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ward.kellogg\Documents\Amedysis\Simulation\Box\5.8.18\"/>
    </mc:Choice>
  </mc:AlternateContent>
  <bookViews>
    <workbookView xWindow="0" yWindow="0" windowWidth="19170" windowHeight="7680" firstSheet="9" activeTab="19"/>
  </bookViews>
  <sheets>
    <sheet name="Developer_READ_ME" sheetId="27" r:id="rId1"/>
    <sheet name="Facilitator_Instructions" sheetId="17" r:id="rId2"/>
    <sheet name="PopUp" sheetId="28" r:id="rId3"/>
    <sheet name="Controls" sheetId="1" r:id="rId4"/>
    <sheet name="Glossary" sheetId="43" r:id="rId5"/>
    <sheet name="tlIntro" sheetId="33" r:id="rId6"/>
    <sheet name="tlProd1DOO" sheetId="65" r:id="rId7"/>
    <sheet name="tlProd1Fcst" sheetId="34" r:id="rId8"/>
    <sheet name="tlProd1Staff" sheetId="63" r:id="rId9"/>
    <sheet name="tlProd2DOO" sheetId="66" r:id="rId10"/>
    <sheet name="tlProd2Fcst" sheetId="62" r:id="rId11"/>
    <sheet name="tlProd2Staff" sheetId="64" r:id="rId12"/>
    <sheet name="tlPnL" sheetId="60" r:id="rId13"/>
    <sheet name="CasePnL" sheetId="72" r:id="rId14"/>
    <sheet name="tlEvents" sheetId="57" r:id="rId15"/>
    <sheet name="obal" sheetId="32" r:id="rId16"/>
    <sheet name="cbal" sheetId="31" r:id="rId17"/>
    <sheet name="dec" sheetId="58" r:id="rId18"/>
    <sheet name="fin" sheetId="47" r:id="rId19"/>
    <sheet name="calc" sheetId="46" r:id="rId20"/>
    <sheet name="adj" sheetId="30" r:id="rId21"/>
    <sheet name="param" sheetId="29" r:id="rId22"/>
    <sheet name="data" sheetId="52" r:id="rId23"/>
    <sheet name="AutoCompetitors" sheetId="69" r:id="rId24"/>
    <sheet name="Draft Model" sheetId="67" r:id="rId25"/>
    <sheet name="Feedback" sheetId="38" r:id="rId26"/>
    <sheet name="CSV File" sheetId="71" r:id="rId27"/>
    <sheet name="Analysis" sheetId="70" r:id="rId28"/>
    <sheet name="decBA1" sheetId="37" r:id="rId29"/>
    <sheet name="mmLOB1" sheetId="51" r:id="rId30"/>
    <sheet name="mmLOB2" sheetId="68" r:id="rId31"/>
    <sheet name="FeedbackTS" sheetId="39" r:id="rId32"/>
  </sheets>
  <functionGroups builtInGroupCount="18"/>
  <definedNames>
    <definedName name="_xlnm._FilterDatabase" localSheetId="20" hidden="1">adj!$A$13:$N$810</definedName>
    <definedName name="_xlnm._FilterDatabase" localSheetId="22" hidden="1">data!$M$21:$V$48</definedName>
    <definedName name="adj_CostCode">adj!$B$16</definedName>
    <definedName name="adj_FTECode">adj!$B$15</definedName>
    <definedName name="adj_IndexTeam">adj!$E$13:$G$13</definedName>
    <definedName name="caclLOB1Emp1Utilization">calc!$E$138:$G$138</definedName>
    <definedName name="caclLOB1Emp2Utilization">calc!$E$148:$G$148</definedName>
    <definedName name="caclLOB1Emp3Utilization">calc!$E$158:$G$158</definedName>
    <definedName name="caclLOB2Emp1Utilization">calc!$E$1174:$G$1174</definedName>
    <definedName name="caclLOB2Emp2Utilization">calc!$E$1184:$G$1184</definedName>
    <definedName name="caclLOB2Emp3Utilization">calc!$E$1194:$G$1194</definedName>
    <definedName name="calcLOB1AvgUtilization">calc!$E$160:$G$160</definedName>
    <definedName name="calcLOB1BDEngage">calc!$E$991:$G$991</definedName>
    <definedName name="calcLOB1Budget">calc!$E$37:$G$37</definedName>
    <definedName name="calcLOB1BudgetMM">calc!$E$48:$G$48</definedName>
    <definedName name="calcLOB1Clinician10AllocatedProd">calc!$E$787:$G$787</definedName>
    <definedName name="calcLOB1Clinician10AvgMissPerc">calc!$E$836:$G$836</definedName>
    <definedName name="calcLOB1Clinician10BaseProd">calc!$E$773:$G$773</definedName>
    <definedName name="calcLOB1Clinician10Disc1AvgMissPerc">calc!$E$344:$G$344</definedName>
    <definedName name="calcLOB1Clinician10Disc1BaseMissPerc">calc!$E$316:$G$316</definedName>
    <definedName name="calcLOB1Clinician10Disc1Emp1AllocatedProd">calc!$E$230:$G$230</definedName>
    <definedName name="calcLOB1Clinician10Disc1Emp1AllowPerc">calc!$E$202:$G$202</definedName>
    <definedName name="calcLOB1Clinician10Disc1Emp1BaseProd">calc!$E$172:$G$172</definedName>
    <definedName name="calcLOB1Clinician10Disc1Emp1GrossProd">calc!$E$286:$G$286</definedName>
    <definedName name="calcLOB1Clinician10Disc1Emp1MissVisits">calc!$E$372:$G$372</definedName>
    <definedName name="calcLOB1Clinician10Disc1Emp1ModifiedProd">calc!$E$260:$G$260</definedName>
    <definedName name="calcLOB1Clinician10Disc1Emp1NetProd">calc!$E$400:$G$400</definedName>
    <definedName name="calcLOB1Clinician10Disc1Emp1OverTIme">calc!$E$435:$G$435</definedName>
    <definedName name="calcLOB1Clinician10Disc2AvgMissPerc">calc!$E$357:$G$357</definedName>
    <definedName name="calcLOB1Clinician10Disc2BaseMissPerc">calc!$E$329:$G$329</definedName>
    <definedName name="calcLOB1Clinician10Disc2Emp1AllocatedProd">calc!$E$243:$G$243</definedName>
    <definedName name="calcLOB1Clinician10Disc2Emp1AllowPerc">calc!$E$215:$G$215</definedName>
    <definedName name="calcLOB1Clinician10Disc2Emp1BaseProd">calc!$E$185:$G$185</definedName>
    <definedName name="calcLOB1Clinician10Disc2Emp1GrossProd">calc!$E$299:$G$299</definedName>
    <definedName name="calcLOB1Clinician10Disc2Emp1MissVisits">calc!$E$385:$G$385</definedName>
    <definedName name="calcLOB1Clinician10Disc2Emp1ModifiedProd">calc!$E$272:$G$272</definedName>
    <definedName name="calcLOB1Clinician10Disc2Emp1NetProd">calc!$E$413:$G$413</definedName>
    <definedName name="calcLOB1Clinician10Disc2Emp1OverTIme">calc!$E$447:$G$447</definedName>
    <definedName name="calcLOB1Clinician10Emp2AllocatedProd">calc!$E$493:$G$493</definedName>
    <definedName name="calcLOB1Clinician10Emp2AllowPerc">calc!$E$478:$G$478</definedName>
    <definedName name="calcLOB1Clinician10Emp2AvgMissPerc">calc!$E$556:$G$556</definedName>
    <definedName name="calcLOB1Clinician10Emp2BaseMissPerc">calc!$E$541:$G$541</definedName>
    <definedName name="calcLOB1Clinician10Emp2BaseProd">calc!$E$461:$G$461</definedName>
    <definedName name="calcLOB1Clinician10Emp2GrossProd">calc!$E$524:$G$524</definedName>
    <definedName name="calcLOB1Clinician10Emp2MissVisits">calc!$E$571:$G$571</definedName>
    <definedName name="calcLOB1Clinician10Emp2ModifiedProd">calc!$E$510:$G$510</definedName>
    <definedName name="calcLOB1Clinician10Emp2NetProd">calc!$E$586:$G$586</definedName>
    <definedName name="calcLOB1Clinician10Emp2OverTIme">calc!$E$603:$G$603</definedName>
    <definedName name="calcLOB1Clinician10Emp3AllocatedProd">calc!$E$649:$G$649</definedName>
    <definedName name="calcLOB1Clinician10Emp3AllowPerc">calc!$E$634:$G$634</definedName>
    <definedName name="calcLOB1Clinician10Emp3AvgMissPerc">calc!$E$712:$G$712</definedName>
    <definedName name="calcLOB1Clinician10Emp3BaseMissPerc">calc!$E$697:$G$697</definedName>
    <definedName name="calcLOB1Clinician10Emp3BaseProd">calc!$E$617:$G$617</definedName>
    <definedName name="calcLOB1Clinician10Emp3GrossProd">calc!$E$680:$G$680</definedName>
    <definedName name="calcLOB1Clinician10Emp3MissVisits">calc!$E$727:$G$727</definedName>
    <definedName name="calcLOB1Clinician10Emp3ModifiedProd">calc!$E$666:$G$666</definedName>
    <definedName name="calcLOB1Clinician10Emp3NetProd">calc!$E$742:$G$742</definedName>
    <definedName name="calcLOB1Clinician10Emp3OverTIme">calc!$E$759:$G$759</definedName>
    <definedName name="calcLOB1Clinician10GrossProd">calc!$E$803:$G$803</definedName>
    <definedName name="calcLOB1Clinician10MissVisits">calc!$E$819:$G$819</definedName>
    <definedName name="calcLOB1Clinician10NetVisits">calc!$E$853:$G$853</definedName>
    <definedName name="calcLOB1Clinician10OverTime">calc!$E$869:$G$869</definedName>
    <definedName name="calcLOB1Clinician11AllocatedProd">calc!$E$788:$G$788</definedName>
    <definedName name="calcLOB1Clinician11AvgMissPerc">calc!$E$837:$G$837</definedName>
    <definedName name="calcLOB1Clinician11BaseProd">calc!$E$774:$G$774</definedName>
    <definedName name="calcLOB1Clinician11Disc1AvgMissPerc">calc!$E$345:$G$345</definedName>
    <definedName name="calcLOB1Clinician11Disc1BaseMissPerc">calc!$E$317:$G$317</definedName>
    <definedName name="calcLOB1Clinician11Disc1Emp1AllocatedProd">calc!$E$231:$G$231</definedName>
    <definedName name="calcLOB1Clinician11Disc1Emp1AllowPerc">calc!$E$203:$G$203</definedName>
    <definedName name="calcLOB1Clinician11Disc1Emp1BaseProd">calc!$E$173:$G$173</definedName>
    <definedName name="calcLOB1Clinician11Disc1Emp1GrossProd">calc!$E$287:$G$287</definedName>
    <definedName name="calcLOB1Clinician11Disc1Emp1MissVisits">calc!$E$373:$G$373</definedName>
    <definedName name="calcLOB1Clinician11Disc1Emp1ModifiedProd">calc!$E$261:$G$261</definedName>
    <definedName name="calcLOB1Clinician11Disc1Emp1NetProd">calc!$E$401:$G$401</definedName>
    <definedName name="calcLOB1Clinician11Disc1Emp1OverTIme">calc!$E$436:$G$436</definedName>
    <definedName name="calcLOB1Clinician11Disc2AvgMissPerc">calc!$E$358:$G$358</definedName>
    <definedName name="calcLOB1Clinician11Disc2BaseMissPerc">calc!$E$330:$G$330</definedName>
    <definedName name="calcLOB1Clinician11Disc2Emp1AllocatedProd">calc!$E$244:$G$244</definedName>
    <definedName name="calcLOB1Clinician11Disc2Emp1AllowPerc">calc!$E$216:$G$216</definedName>
    <definedName name="calcLOB1Clinician11Disc2Emp1BaseProd">calc!$E$186:$G$186</definedName>
    <definedName name="calcLOB1Clinician11Disc2Emp1GrossProd">calc!$E$300:$G$300</definedName>
    <definedName name="calcLOB1Clinician11Disc2Emp1MissVisits">calc!$E$386:$G$386</definedName>
    <definedName name="calcLOB1Clinician11Disc2Emp1ModifiedProd">calc!$E$273:$G$273</definedName>
    <definedName name="calcLOB1Clinician11Disc2Emp1NetProd">calc!$E$414:$G$414</definedName>
    <definedName name="calcLOB1Clinician11Disc2Emp1OverTIme">calc!$E$448:$G$448</definedName>
    <definedName name="calcLOB1Clinician11Emp2AllocatedProd">calc!$E$494:$G$494</definedName>
    <definedName name="calcLOB1Clinician11Emp2AllowPerc">calc!$E$479:$G$479</definedName>
    <definedName name="calcLOB1Clinician11Emp2AvgMissPerc">calc!$E$557:$G$557</definedName>
    <definedName name="calcLOB1Clinician11Emp2BaseMissPerc">calc!$E$542:$G$542</definedName>
    <definedName name="calcLOB1Clinician11Emp2BaseProd">calc!$E$462:$G$462</definedName>
    <definedName name="calcLOB1Clinician11Emp2GrossProd">calc!$E$525:$G$525</definedName>
    <definedName name="calcLOB1Clinician11Emp2MissVisits">calc!$E$572:$G$572</definedName>
    <definedName name="calcLOB1Clinician11Emp2ModifiedProd">calc!$E$511:$G$511</definedName>
    <definedName name="calcLOB1Clinician11Emp2NetProd">calc!$E$587:$G$587</definedName>
    <definedName name="calcLOB1Clinician11Emp2OverTIme">calc!$E$604:$G$604</definedName>
    <definedName name="calcLOB1Clinician11Emp3AllocatedProd">calc!$E$650:$G$650</definedName>
    <definedName name="calcLOB1Clinician11Emp3AllowPerc">calc!$E$635:$G$635</definedName>
    <definedName name="calcLOB1Clinician11Emp3AvgMissPerc">calc!$E$713:$G$713</definedName>
    <definedName name="calcLOB1Clinician11Emp3BaseMissPerc">calc!$E$698:$G$698</definedName>
    <definedName name="calcLOB1Clinician11Emp3BaseProd">calc!$E$618:$G$618</definedName>
    <definedName name="calcLOB1Clinician11Emp3GrossProd">calc!$E$681:$G$681</definedName>
    <definedName name="calcLOB1Clinician11Emp3MissVisits">calc!$E$728:$G$728</definedName>
    <definedName name="calcLOB1Clinician11Emp3ModifiedProd">calc!$E$667:$G$667</definedName>
    <definedName name="calcLOB1Clinician11Emp3NetProd">calc!$E$743:$G$743</definedName>
    <definedName name="calcLOB1Clinician11Emp3OverTIme">calc!$E$760:$G$760</definedName>
    <definedName name="calcLOB1Clinician11GrossProd">calc!$E$804:$G$804</definedName>
    <definedName name="calcLOB1Clinician11LookupValue">calc!$E$922:$G$922</definedName>
    <definedName name="calcLOB1Clinician11MissVisits">calc!$E$820:$G$820</definedName>
    <definedName name="calcLOB1Clinician11NetVisits">calc!$E$854:$G$854</definedName>
    <definedName name="calcLOB1Clinician11OverTime">calc!$E$870:$G$870</definedName>
    <definedName name="calcLOB1Clinician12AllocatedProd">calc!$E$789:$G$789</definedName>
    <definedName name="calcLOB1Clinician12AvgMissPerc">calc!$E$838:$G$838</definedName>
    <definedName name="calcLOB1Clinician12BaseProd">calc!$E$775:$G$775</definedName>
    <definedName name="calcLOB1Clinician12Disc1AvgMissPerc">calc!$E$346:$G$346</definedName>
    <definedName name="calcLOB1Clinician12Disc1BaseMissPerc">calc!$E$318:$G$318</definedName>
    <definedName name="calcLOB1Clinician12Disc1Emp1AllocatedProd">calc!$E$232:$G$232</definedName>
    <definedName name="calcLOB1Clinician12Disc1Emp1AllowPerc">calc!$E$204:$G$204</definedName>
    <definedName name="calcLOB1Clinician12Disc1Emp1BaseProd">calc!$E$174:$G$174</definedName>
    <definedName name="calcLOB1Clinician12Disc1Emp1GrossProd">calc!$E$288:$G$288</definedName>
    <definedName name="calcLOB1Clinician12Disc1Emp1MissVisits">calc!$E$374:$G$374</definedName>
    <definedName name="calcLOB1Clinician12Disc1Emp1ModifiedProd">calc!$E$262:$G$262</definedName>
    <definedName name="calcLOB1Clinician12Disc1Emp1NetProd">calc!$E$402:$G$402</definedName>
    <definedName name="calcLOB1Clinician12Disc1Emp1OverTIme">calc!$E$437:$G$437</definedName>
    <definedName name="calcLOB1Clinician12Disc2AvgMissPerc">calc!$E$359:$G$359</definedName>
    <definedName name="calcLOB1Clinician12Disc2BaseMissPerc">calc!$E$331:$G$331</definedName>
    <definedName name="calcLOB1Clinician12Disc2Emp1AllocatedProd">calc!$E$245:$G$245</definedName>
    <definedName name="calcLOB1Clinician12Disc2Emp1AllowPerc">calc!$E$217:$G$217</definedName>
    <definedName name="calcLOB1Clinician12Disc2Emp1BaseProd">calc!$E$187:$G$187</definedName>
    <definedName name="calcLOB1Clinician12Disc2Emp1GrossProd">calc!$E$301:$G$301</definedName>
    <definedName name="calcLOB1Clinician12Disc2Emp1MissVisits">calc!$E$387:$G$387</definedName>
    <definedName name="calcLOB1Clinician12Disc2Emp1ModifiedProd">calc!$E$274:$G$274</definedName>
    <definedName name="calcLOB1Clinician12Disc2Emp1NetProd">calc!$E$415:$G$415</definedName>
    <definedName name="calcLOB1Clinician12Disc2Emp1OverTIme">calc!$E$449:$G$449</definedName>
    <definedName name="calcLOB1Clinician12Emp2AllocatedProd">calc!$E$495:$G$495</definedName>
    <definedName name="calcLOB1Clinician12Emp2AllowPerc">calc!$E$480:$G$480</definedName>
    <definedName name="calcLOB1Clinician12Emp2AvgMissPerc">calc!$E$558:$G$558</definedName>
    <definedName name="calcLOB1Clinician12Emp2BaseMissPerc">calc!$E$543:$G$543</definedName>
    <definedName name="calcLOB1Clinician12Emp2BaseProd">calc!$E$463:$G$463</definedName>
    <definedName name="calcLOB1Clinician12Emp2GrossProd">calc!$E$526:$G$526</definedName>
    <definedName name="calcLOB1Clinician12Emp2MissVisits">calc!$E$573:$G$573</definedName>
    <definedName name="calcLOB1Clinician12Emp2ModifiedProd">calc!$E$512:$G$512</definedName>
    <definedName name="calcLOB1Clinician12Emp2NetProd">calc!$E$588:$G$588</definedName>
    <definedName name="calcLOB1Clinician12Emp2OverTIme">calc!$E$605:$G$605</definedName>
    <definedName name="calcLOB1Clinician12Emp3AllocatedProd">calc!$E$651:$G$651</definedName>
    <definedName name="calcLOB1Clinician12Emp3AllowPerc">calc!$E$636:$G$636</definedName>
    <definedName name="calcLOB1Clinician12Emp3AvgMissPerc">calc!$E$714:$G$714</definedName>
    <definedName name="calcLOB1Clinician12Emp3BaseMissPerc">calc!$E$699:$G$699</definedName>
    <definedName name="calcLOB1Clinician12Emp3BaseProd">calc!$E$619:$G$619</definedName>
    <definedName name="calcLOB1Clinician12Emp3GrossProd">calc!$E$682:$G$682</definedName>
    <definedName name="calcLOB1Clinician12Emp3MissVisits">calc!$E$729:$G$729</definedName>
    <definedName name="calcLOB1Clinician12Emp3ModifiedProd">calc!$E$668:$G$668</definedName>
    <definedName name="calcLOB1Clinician12Emp3NetProd">calc!$E$744:$G$744</definedName>
    <definedName name="calcLOB1Clinician12Emp3OverTIme">calc!$E$761:$G$761</definedName>
    <definedName name="calcLOB1Clinician12GrossProd">calc!$E$805:$G$805</definedName>
    <definedName name="calcLOB1Clinician12LookupValue">calc!$E$928:$G$928</definedName>
    <definedName name="calcLOB1Clinician12MissVisits">calc!$E$821:$G$821</definedName>
    <definedName name="calcLOB1Clinician12NetVisits">calc!$E$855:$G$855</definedName>
    <definedName name="calcLOB1Clinician12OverTime">calc!$E$871:$G$871</definedName>
    <definedName name="calcLOB1Clinician13Disc1AvgMissPerc">calc!$E$347:$G$347</definedName>
    <definedName name="calcLOB1Clinician13Disc1BaseMissPerc">calc!$E$319:$G$319</definedName>
    <definedName name="calcLOB1Clinician13Disc1Emp1AllocatedProd">calc!$E$233:$G$233</definedName>
    <definedName name="calcLOB1Clinician13Disc1Emp1AllowPerc">calc!$E$205:$G$205</definedName>
    <definedName name="calcLOB1Clinician13Disc1Emp1BaseProd">calc!$E$175:$G$175</definedName>
    <definedName name="calcLOB1Clinician13Disc1Emp1GrossProd">calc!$E$289:$G$289</definedName>
    <definedName name="calcLOB1Clinician13Disc1Emp1MissVisits">calc!$E$375:$G$375</definedName>
    <definedName name="calcLOB1Clinician13Disc1Emp1NetProd">calc!$E$403:$G$403</definedName>
    <definedName name="calcLOB1Clinician14Disc2AvgMissPerc">calc!$E$360:$G$360</definedName>
    <definedName name="calcLOB1Clinician14Disc2BaseMissPerc">calc!$E$332:$G$332</definedName>
    <definedName name="calcLOB1Clinician14Disc2Emp1AllocatedProd">calc!$E$246:$G$246</definedName>
    <definedName name="calcLOB1Clinician14Disc2Emp1AllowPerc">calc!$E$218:$G$218</definedName>
    <definedName name="calcLOB1Clinician14Disc2Emp1BaseProd">calc!$E$188:$G$188</definedName>
    <definedName name="calcLOB1Clinician14Disc2Emp1GrossProd">calc!$E$302:$G$302</definedName>
    <definedName name="calcLOB1Clinician14Disc2Emp1MissVisits">calc!$E$388:$G$388</definedName>
    <definedName name="calcLOB1Clinician14Disc2Emp1NetProd">calc!$E$416:$G$416</definedName>
    <definedName name="calcLOB1Clinician15Emp3AllocatedProd">calc!$E$652:$G$652</definedName>
    <definedName name="calcLOB1Clinician15Emp3AllowPerc">calc!$E$637:$G$637</definedName>
    <definedName name="calcLOB1Clinician15Emp3AvgMissPerc">calc!$E$715:$G$715</definedName>
    <definedName name="calcLOB1Clinician15Emp3BaseProd">calc!$E$620:$G$620</definedName>
    <definedName name="calcLOB1Clinician15Emp3GrossProd">calc!$E$683:$G$683</definedName>
    <definedName name="calcLOB1Clinician15Emp3MissVisits">calc!$E$730:$G$730</definedName>
    <definedName name="calcLOB1Clinician15Emp3NetProd">calc!$E$745:$G$745</definedName>
    <definedName name="calcLOB1Clinician16Emp2AllocatedProd">calc!$E$496:$G$496</definedName>
    <definedName name="calcLOB1Clinician16Emp2AllowPerc">calc!$E$481:$G$481</definedName>
    <definedName name="calcLOB1Clinician16Emp2AvgMissPerc">calc!$E$559:$G$559</definedName>
    <definedName name="calcLOB1Clinician16Emp2BaseMissPerc">calc!$E$544:$G$544</definedName>
    <definedName name="calcLOB1Clinician16Emp2BaseProd">calc!$E$464:$G$464</definedName>
    <definedName name="calcLOB1Clinician16Emp2GrossProd">calc!$E$527:$G$527</definedName>
    <definedName name="calcLOB1Clinician16Emp2MissVisits">calc!$E$574:$G$574</definedName>
    <definedName name="calcLOB1Clinician16Emp3BaseMissPerc">calc!$E$700:$G$700</definedName>
    <definedName name="calcLOB1Clinician1AllocatedProd">calc!$E$778:$G$778</definedName>
    <definedName name="calcLOB1Clinician1AvgMissPerc">calc!$E$827:$G$827</definedName>
    <definedName name="calcLOB1Clinician1BaseProd">calc!$E$764:$G$764</definedName>
    <definedName name="calcLOB1Clinician1Disc1AvgMissPerc">calc!$E$335:$G$335</definedName>
    <definedName name="calcLOB1Clinician1Disc1BaseMissPerc">calc!$E$307:$G$307</definedName>
    <definedName name="calcLOB1Clinician1Disc1Emp1AllocatedProd">calc!$E$221:$G$221</definedName>
    <definedName name="calcLOB1Clinician1Disc1Emp1AllowPerc">calc!$E$193:$G$193</definedName>
    <definedName name="calcLOB1Clinician1Disc1Emp1BaseProd">calc!$E$163:$G$163</definedName>
    <definedName name="calcLOB1Clinician1Disc1Emp1GrossProd">calc!$E$277:$G$277</definedName>
    <definedName name="calcLOB1Clinician1Disc1Emp1MissVisits">calc!$E$363:$G$363</definedName>
    <definedName name="calcLOB1Clinician1Disc1Emp1ModifiedProd">calc!$E$251:$G$251</definedName>
    <definedName name="calcLOB1Clinician1Disc1Emp1NetProd">calc!$E$391:$G$391</definedName>
    <definedName name="calcLOB1Clinician1Disc1Emp1OverTIme">calc!$E$426:$G$426</definedName>
    <definedName name="calcLOB1Clinician1Disc2AvgMissPerc">calc!$E$348:$G$348</definedName>
    <definedName name="calcLOB1Clinician1Disc2BaseMissPerc">calc!$E$320:$G$320</definedName>
    <definedName name="calcLOB1Clinician1Disc2Emp1AllocatedProd">calc!$E$234:$G$234</definedName>
    <definedName name="calcLOB1Clinician1Disc2Emp1AllowPerc">calc!$E$206:$G$206</definedName>
    <definedName name="calcLOB1Clinician1Disc2Emp1BaseProd">calc!$E$176:$G$176</definedName>
    <definedName name="calcLOB1Clinician1Disc2Emp1GrossProd">calc!$E$290:$G$290</definedName>
    <definedName name="calcLOB1Clinician1Disc2Emp1MissVisits">calc!$E$376:$G$376</definedName>
    <definedName name="calcLOB1Clinician1Disc2Emp1ModifiedProd">calc!$E$263:$G$263</definedName>
    <definedName name="calcLOB1Clinician1Disc2Emp1NetProd">calc!$E$404:$G$404</definedName>
    <definedName name="calcLOB1Clinician1Disc2Emp1OverTIme">calc!$E$438:$G$438</definedName>
    <definedName name="calcLOB1Clinician1Emp2AllocatedProd">calc!$E$484:$G$484</definedName>
    <definedName name="calcLOB1Clinician1Emp2AllowPerc">calc!$E$469:$G$469</definedName>
    <definedName name="calcLOB1Clinician1Emp2AvgMissPerc">calc!$E$547:$G$547</definedName>
    <definedName name="calcLOB1Clinician1Emp2BaseMissPerc">calc!$E$532:$G$532</definedName>
    <definedName name="calcLOB1Clinician1Emp2BaseProd">calc!$E$452:$G$452</definedName>
    <definedName name="calcLOB1Clinician1Emp2GrossProd">calc!$E$515:$G$515</definedName>
    <definedName name="calcLOB1Clinician1Emp2MissVisits">calc!$E$562:$G$562</definedName>
    <definedName name="calcLOB1Clinician1Emp2ModifiedProd">calc!$E$501:$G$501</definedName>
    <definedName name="calcLOB1Clinician1Emp2NetProd">calc!$E$577:$G$577</definedName>
    <definedName name="calcLOB1Clinician1Emp2OverTIme">calc!$E$594:$G$594</definedName>
    <definedName name="calcLOB1Clinician1Emp3AllocatedProd">calc!$E$640:$G$640</definedName>
    <definedName name="calcLOB1Clinician1Emp3AllowPerc">calc!$E$625:$G$625</definedName>
    <definedName name="calcLOB1Clinician1Emp3AvgMissPerc">calc!$E$703:$G$703</definedName>
    <definedName name="calcLOB1Clinician1Emp3BaseMissPerc">calc!$E$688:$G$688</definedName>
    <definedName name="calcLOB1Clinician1Emp3BaseProd">calc!$E$608:$G$608</definedName>
    <definedName name="calcLOB1Clinician1Emp3GrossProd">calc!$E$671:$G$671</definedName>
    <definedName name="calcLOB1Clinician1Emp3MissVisits">calc!$E$718:$G$718</definedName>
    <definedName name="calcLOB1Clinician1Emp3ModifiedProd">calc!$E$657:$G$657</definedName>
    <definedName name="calcLOB1Clinician1Emp3NetProd">calc!$E$733:$G$733</definedName>
    <definedName name="calcLOB1Clinician1Emp3OverTIme">calc!$E$750:$G$750</definedName>
    <definedName name="calcLOB1Clinician1GrossProd">calc!$E$794:$G$794</definedName>
    <definedName name="calcLOB1Clinician1MissVisits">calc!$E$810:$G$810</definedName>
    <definedName name="calcLOB1Clinician1NetVisits">calc!$E$844:$G$844</definedName>
    <definedName name="calcLOB1Clinician1OverTime">calc!$E$860:$G$860</definedName>
    <definedName name="calcLOB1Clinician2AllocatedProd">calc!$E$779:$G$779</definedName>
    <definedName name="calcLOB1Clinician2AvgMissPerc">calc!$E$828:$G$828</definedName>
    <definedName name="calcLOB1Clinician2BaseProd">calc!$E$765:$G$765</definedName>
    <definedName name="calcLOB1Clinician2Disc1AvgMissPerc">calc!$E$336:$G$336</definedName>
    <definedName name="calcLOB1Clinician2Disc1BaseMissPerc">calc!$E$308:$G$308</definedName>
    <definedName name="calcLOB1Clinician2Disc1Emp1AllocatedProd">calc!$E$222:$G$222</definedName>
    <definedName name="calcLOB1Clinician2Disc1Emp1AllowPerc">calc!$E$194:$G$194</definedName>
    <definedName name="calcLOB1Clinician2Disc1Emp1BaseProd">calc!$E$164:$G$164</definedName>
    <definedName name="calcLOB1Clinician2Disc1Emp1GrossProd">calc!$E$278:$G$278</definedName>
    <definedName name="calcLOB1Clinician2Disc1Emp1MissVisits">calc!$E$364:$G$364</definedName>
    <definedName name="calcLOB1Clinician2Disc1Emp1ModifiedProd">calc!$E$252:$G$252</definedName>
    <definedName name="calcLOB1Clinician2Disc1Emp1NetProd">calc!$E$392:$G$392</definedName>
    <definedName name="calcLOB1Clinician2Disc1Emp1OverTIme">calc!$E$427:$G$427</definedName>
    <definedName name="calcLOB1Clinician2Disc2AvgMissPerc">calc!$E$349:$G$349</definedName>
    <definedName name="calcLOB1Clinician2Disc2BaseMissPerc">calc!$E$321:$G$321</definedName>
    <definedName name="calcLOB1Clinician2Disc2Emp1AllocatedProd">calc!$E$235:$G$235</definedName>
    <definedName name="calcLOB1Clinician2Disc2Emp1AllowPerc">calc!$E$207:$G$207</definedName>
    <definedName name="calcLOB1Clinician2Disc2Emp1BaseProd">calc!$E$177:$G$177</definedName>
    <definedName name="calcLOB1Clinician2Disc2Emp1GrossProd">calc!$E$291:$G$291</definedName>
    <definedName name="calcLOB1Clinician2Disc2Emp1MissVisits">calc!$E$377:$G$377</definedName>
    <definedName name="calcLOB1Clinician2Disc2Emp1ModifiedProd">calc!$E$264:$G$264</definedName>
    <definedName name="calcLOB1Clinician2Disc2Emp1NetProd">calc!$E$405:$G$405</definedName>
    <definedName name="calcLOB1Clinician2Disc2Emp1OverTIme">calc!$E$439:$G$439</definedName>
    <definedName name="calcLOB1Clinician2Emp2AllocatedProd">calc!$E$485:$G$485</definedName>
    <definedName name="calcLOB1Clinician2Emp2AllowPerc">calc!$E$470:$G$470</definedName>
    <definedName name="calcLOB1Clinician2Emp2AvgMissPerc">calc!$E$548:$G$548</definedName>
    <definedName name="calcLOB1Clinician2Emp2BaseMissPerc">calc!$E$533:$G$533</definedName>
    <definedName name="calcLOB1Clinician2Emp2BaseProd">calc!$E$453:$G$453</definedName>
    <definedName name="calcLOB1Clinician2Emp2GrossProd">calc!$E$516:$G$516</definedName>
    <definedName name="calcLOB1Clinician2Emp2MissVisits">calc!$E$563:$G$563</definedName>
    <definedName name="calcLOB1Clinician2Emp2ModifiedProd">calc!$E$502:$G$502</definedName>
    <definedName name="calcLOB1Clinician2Emp2NetProd">calc!$E$578:$G$578</definedName>
    <definedName name="calcLOB1Clinician2Emp2OverTIme">calc!$E$595:$G$595</definedName>
    <definedName name="calcLOB1Clinician2Emp3AllocatedProd">calc!$E$641:$G$641</definedName>
    <definedName name="calcLOB1Clinician2Emp3AllowPerc">calc!$E$626:$G$626</definedName>
    <definedName name="calcLOB1Clinician2Emp3AvgMissPerc">calc!$E$704:$G$704</definedName>
    <definedName name="calcLOB1Clinician2Emp3BaseMissPerc">calc!$E$689:$G$689</definedName>
    <definedName name="calcLOB1Clinician2Emp3BaseProd">calc!$E$609:$G$609</definedName>
    <definedName name="calcLOB1Clinician2Emp3GrossProd">calc!$E$672:$G$672</definedName>
    <definedName name="calcLOB1Clinician2Emp3MissVisits">calc!$E$719:$G$719</definedName>
    <definedName name="calcLOB1Clinician2Emp3ModifiedProd">calc!$E$658:$G$658</definedName>
    <definedName name="calcLOB1Clinician2Emp3NetProd">calc!$E$734:$G$734</definedName>
    <definedName name="calcLOB1Clinician2Emp3OverTIme">calc!$E$751:$G$751</definedName>
    <definedName name="calcLOB1Clinician2GrossProd">calc!$E$795:$G$795</definedName>
    <definedName name="calcLOB1Clinician2MissVisits">calc!$E$811:$G$811</definedName>
    <definedName name="calcLOB1Clinician2NetVisits">calc!$E$845:$G$845</definedName>
    <definedName name="calcLOB1Clinician2OverTime">calc!$E$861:$G$861</definedName>
    <definedName name="calcLOB1Clinician3AllocatedProd">calc!$E$780:$G$780</definedName>
    <definedName name="calcLOB1Clinician3AvgMissPerc">calc!$E$829:$G$829</definedName>
    <definedName name="calcLOB1Clinician3BaseProd">calc!$E$766:$G$766</definedName>
    <definedName name="calcLOB1Clinician3Disc1AvgMissPerc">calc!$E$337:$G$337</definedName>
    <definedName name="calcLOB1Clinician3Disc1BaseMissPerc">calc!$E$309:$G$309</definedName>
    <definedName name="calcLOB1Clinician3Disc1Emp1AllocatedProd">calc!$E$223:$G$223</definedName>
    <definedName name="calcLOB1Clinician3Disc1Emp1AllowPerc">calc!$E$195:$G$195</definedName>
    <definedName name="calcLOB1Clinician3Disc1Emp1BaseProd">calc!$E$165:$G$165</definedName>
    <definedName name="calcLOB1Clinician3Disc1Emp1GrossProd">calc!$E$279:$G$279</definedName>
    <definedName name="calcLOB1Clinician3Disc1Emp1MissVisits">calc!$E$365:$G$365</definedName>
    <definedName name="calcLOB1Clinician3Disc1Emp1ModifiedProd">calc!$E$253:$G$253</definedName>
    <definedName name="calcLOB1Clinician3Disc1Emp1NetProd">calc!$E$393:$G$393</definedName>
    <definedName name="calcLOB1Clinician3Disc1Emp1OverTIme">calc!$E$428:$G$428</definedName>
    <definedName name="calcLOB1Clinician3Disc2AvgMissPerc">calc!$E$350:$G$350</definedName>
    <definedName name="calcLOB1Clinician3Disc2BaseMissPerc">calc!$E$322:$G$322</definedName>
    <definedName name="calcLOB1Clinician3Disc2Emp1AllocatedProd">calc!$E$236:$G$236</definedName>
    <definedName name="calcLOB1Clinician3Disc2Emp1AllowPerc">calc!$E$208:$G$208</definedName>
    <definedName name="calcLOB1Clinician3Disc2Emp1BaseProd">calc!$E$178:$G$178</definedName>
    <definedName name="calcLOB1Clinician3Disc2Emp1GrossProd">calc!$E$292:$G$292</definedName>
    <definedName name="calcLOB1Clinician3Disc2Emp1MissVisits">calc!$E$378:$G$378</definedName>
    <definedName name="calcLOB1Clinician3Disc2Emp1ModifiedProd">calc!$E$265:$G$265</definedName>
    <definedName name="calcLOB1Clinician3Disc2Emp1NetProd">calc!$E$406:$G$406</definedName>
    <definedName name="calcLOB1Clinician3Disc2Emp1OverTIme">calc!$E$440:$G$440</definedName>
    <definedName name="calcLOB1Clinician3Emp2AllocatedProd">calc!$E$486:$G$486</definedName>
    <definedName name="calcLOB1Clinician3Emp2AllowPerc">calc!$E$471:$G$471</definedName>
    <definedName name="calcLOB1Clinician3Emp2AvgMissPerc">calc!$E$549:$G$549</definedName>
    <definedName name="calcLOB1Clinician3Emp2BaseMissPerc">calc!$E$534:$G$534</definedName>
    <definedName name="calcLOB1Clinician3Emp2BaseProd">calc!$E$454:$G$454</definedName>
    <definedName name="calcLOB1Clinician3Emp2GrossProd">calc!$E$517:$G$517</definedName>
    <definedName name="calcLOB1Clinician3Emp2MissVisits">calc!$E$564:$G$564</definedName>
    <definedName name="calcLOB1Clinician3Emp2ModifiedProd">calc!$E$503:$G$503</definedName>
    <definedName name="calcLOB1Clinician3Emp2NetProd">calc!$E$579:$G$579</definedName>
    <definedName name="calcLOB1Clinician3Emp2OverTIme">calc!$E$596:$G$596</definedName>
    <definedName name="calcLOB1Clinician3Emp3AllocatedProd">calc!$E$642:$G$642</definedName>
    <definedName name="calcLOB1Clinician3Emp3AllowPerc">calc!$E$627:$G$627</definedName>
    <definedName name="calcLOB1Clinician3Emp3AvgMissPerc">calc!$E$705:$G$705</definedName>
    <definedName name="calcLOB1Clinician3Emp3BaseMissPerc">calc!$E$690:$G$690</definedName>
    <definedName name="calcLOB1Clinician3Emp3BaseProd">calc!$E$610:$G$610</definedName>
    <definedName name="calcLOB1Clinician3Emp3GrossProd">calc!$E$673:$G$673</definedName>
    <definedName name="calcLOB1Clinician3Emp3MissVisits">calc!$E$720:$G$720</definedName>
    <definedName name="calcLOB1Clinician3Emp3ModifiedProd">calc!$E$659:$G$659</definedName>
    <definedName name="calcLOB1Clinician3Emp3NetProd">calc!$E$735:$G$735</definedName>
    <definedName name="calcLOB1Clinician3Emp3OverTIme">calc!$E$752:$G$752</definedName>
    <definedName name="calcLOB1Clinician3GrossProd">calc!$E$796:$G$796</definedName>
    <definedName name="calcLOB1Clinician3MissVisits">calc!$E$812:$G$812</definedName>
    <definedName name="calcLOB1Clinician3NetVisits">calc!$E$846:$G$846</definedName>
    <definedName name="calcLOB1Clinician3OverTime">calc!$E$862:$G$862</definedName>
    <definedName name="calcLOB1Clinician4AllocatedProd">calc!$E$781:$G$781</definedName>
    <definedName name="calcLOB1Clinician4AvgMissPerc">calc!$E$830:$G$830</definedName>
    <definedName name="calcLOB1Clinician4BaseProd">calc!$E$767:$G$767</definedName>
    <definedName name="calcLOB1Clinician4Disc1AvgMissPerc">calc!$E$338:$G$338</definedName>
    <definedName name="calcLOB1Clinician4Disc1BaseMissPerc">calc!$E$310:$G$310</definedName>
    <definedName name="calcLOB1Clinician4Disc1Emp1AllocatedProd">calc!$E$224:$G$224</definedName>
    <definedName name="calcLOB1Clinician4Disc1Emp1AllowPerc">calc!$E$196:$G$196</definedName>
    <definedName name="calcLOB1Clinician4Disc1Emp1BaseProd">calc!$E$166:$G$166</definedName>
    <definedName name="calcLOB1Clinician4Disc1Emp1GrossProd">calc!$E$280:$G$280</definedName>
    <definedName name="calcLOB1Clinician4Disc1Emp1MissVisits">calc!$E$366:$G$366</definedName>
    <definedName name="calcLOB1Clinician4Disc1Emp1ModifiedProd">calc!$E$254:$G$254</definedName>
    <definedName name="calcLOB1Clinician4Disc1Emp1NetProd">calc!$E$394:$G$394</definedName>
    <definedName name="calcLOB1Clinician4Disc1Emp1OverTIme">calc!$E$429:$G$429</definedName>
    <definedName name="calcLOB1Clinician4Disc2AvgMissPerc">calc!$E$351:$G$351</definedName>
    <definedName name="calcLOB1Clinician4Disc2BaseMissPerc">calc!$E$323:$G$323</definedName>
    <definedName name="calcLOB1Clinician4Disc2Emp1AllocatedProd">calc!$E$237:$G$237</definedName>
    <definedName name="calcLOB1Clinician4Disc2Emp1AllowPerc">calc!$E$209:$G$209</definedName>
    <definedName name="calcLOB1Clinician4Disc2Emp1BaseProd">calc!$E$179:$G$179</definedName>
    <definedName name="calcLOB1Clinician4Disc2Emp1GrossProd">calc!$E$293:$G$293</definedName>
    <definedName name="calcLOB1Clinician4Disc2Emp1MissVisits">calc!$E$379:$G$379</definedName>
    <definedName name="calcLOB1Clinician4Disc2Emp1ModifiedProd">calc!$E$266:$G$266</definedName>
    <definedName name="calcLOB1Clinician4Disc2Emp1NetProd">calc!$E$407:$G$407</definedName>
    <definedName name="calcLOB1Clinician4Disc2Emp1OverTIme">calc!$E$441:$G$441</definedName>
    <definedName name="calcLOB1Clinician4Emp2AllocatedProd">calc!$E$487:$G$487</definedName>
    <definedName name="calcLOB1Clinician4Emp2AllowPerc">calc!$E$472:$G$472</definedName>
    <definedName name="calcLOB1Clinician4Emp2AvgMissPerc">calc!$E$550:$G$550</definedName>
    <definedName name="calcLOB1Clinician4Emp2BaseMissPerc">calc!$E$535:$G$535</definedName>
    <definedName name="calcLOB1Clinician4Emp2BaseProd">calc!$E$455:$G$455</definedName>
    <definedName name="calcLOB1Clinician4Emp2GrossProd">calc!$E$518:$G$518</definedName>
    <definedName name="calcLOB1Clinician4Emp2MissVisits">calc!$E$565:$G$565</definedName>
    <definedName name="calcLOB1Clinician4Emp2ModifiedProd">calc!$E$504:$G$504</definedName>
    <definedName name="calcLOB1Clinician4Emp2NetProd">calc!$E$580:$G$580</definedName>
    <definedName name="calcLOB1Clinician4Emp2OverTIme">calc!$E$597:$G$597</definedName>
    <definedName name="calcLOB1Clinician4Emp3AllocatedProd">calc!$E$643:$G$643</definedName>
    <definedName name="calcLOB1Clinician4Emp3AllowPerc">calc!$E$628:$G$628</definedName>
    <definedName name="calcLOB1Clinician4Emp3AvgMissPerc">calc!$E$706:$G$706</definedName>
    <definedName name="calcLOB1Clinician4Emp3BaseMissPerc">calc!$E$691:$G$691</definedName>
    <definedName name="calcLOB1Clinician4Emp3BaseProd">calc!$E$611:$G$611</definedName>
    <definedName name="calcLOB1Clinician4Emp3GrossProd">calc!$E$674:$G$674</definedName>
    <definedName name="calcLOB1Clinician4Emp3MissVisits">calc!$E$721:$G$721</definedName>
    <definedName name="calcLOB1Clinician4Emp3ModifiedProd">calc!$E$660:$G$660</definedName>
    <definedName name="calcLOB1Clinician4Emp3NetProd">calc!$E$736:$G$736</definedName>
    <definedName name="calcLOB1Clinician4Emp3OverTIme">calc!$E$753:$G$753</definedName>
    <definedName name="calcLOB1Clinician4GrossProd">calc!$E$797:$G$797</definedName>
    <definedName name="calcLOB1Clinician4MissVisits">calc!$E$813:$G$813</definedName>
    <definedName name="calcLOB1Clinician4NetVisits">calc!$E$847:$G$847</definedName>
    <definedName name="calcLOB1Clinician4OverTime">calc!$E$863:$G$863</definedName>
    <definedName name="calcLOB1Clinician5AllocatedProd">calc!$E$782:$G$782</definedName>
    <definedName name="calcLOB1Clinician5AvgMissPerc">calc!$E$831:$G$831</definedName>
    <definedName name="calcLOB1Clinician5BaseProd">calc!$E$768:$G$768</definedName>
    <definedName name="calcLOB1Clinician5Disc1AvgMissPerc">calc!$E$339:$G$339</definedName>
    <definedName name="calcLOB1Clinician5Disc1BaseMissPerc">calc!$E$311:$G$311</definedName>
    <definedName name="calcLOB1Clinician5Disc1Emp1AllocatedProd">calc!$E$225:$G$225</definedName>
    <definedName name="calcLOB1Clinician5Disc1Emp1AllowPerc">calc!$E$197:$G$197</definedName>
    <definedName name="calcLOB1Clinician5Disc1Emp1BaseProd">calc!$E$167:$G$167</definedName>
    <definedName name="calcLOB1Clinician5Disc1Emp1GrossProd">calc!$E$281:$G$281</definedName>
    <definedName name="calcLOB1Clinician5Disc1Emp1MissVisits">calc!$E$367:$G$367</definedName>
    <definedName name="calcLOB1Clinician5Disc1Emp1ModifiedProd">calc!$E$255:$G$255</definedName>
    <definedName name="calcLOB1Clinician5Disc1Emp1NetProd">calc!$E$395:$G$395</definedName>
    <definedName name="calcLOB1Clinician5Disc1Emp1OverTIme">calc!$E$430:$G$430</definedName>
    <definedName name="calcLOB1Clinician5Disc2AvgMissPerc">calc!$E$352:$G$352</definedName>
    <definedName name="calcLOB1Clinician5Disc2BaseMissPerc">calc!$E$324:$G$324</definedName>
    <definedName name="calcLOB1Clinician5Disc2Emp1AllocatedProd">calc!$E$238:$G$238</definedName>
    <definedName name="calcLOB1Clinician5Disc2Emp1AllowPerc">calc!$E$210:$G$210</definedName>
    <definedName name="calcLOB1Clinician5Disc2Emp1BaseProd">calc!$E$180:$G$180</definedName>
    <definedName name="calcLOB1Clinician5Disc2Emp1GrossProd">calc!$E$294:$G$294</definedName>
    <definedName name="calcLOB1Clinician5Disc2Emp1MissVisits">calc!$E$380:$G$380</definedName>
    <definedName name="calcLOB1Clinician5Disc2Emp1ModifiedProd">calc!$E$267:$G$267</definedName>
    <definedName name="calcLOB1Clinician5Disc2Emp1NetProd">calc!$E$408:$G$408</definedName>
    <definedName name="calcLOB1Clinician5Disc2Emp1OverTIme">calc!$E$442:$G$442</definedName>
    <definedName name="calcLOB1Clinician5Emp2AllocatedProd">calc!$E$488:$G$488</definedName>
    <definedName name="calcLOB1Clinician5Emp2AllowPerc">calc!$E$473:$G$473</definedName>
    <definedName name="calcLOB1Clinician5Emp2AvgMissPerc">calc!$E$551:$G$551</definedName>
    <definedName name="calcLOB1Clinician5Emp2BaseMissPerc">calc!$E$536:$G$536</definedName>
    <definedName name="calcLOB1Clinician5Emp2BaseProd">calc!$E$456:$G$456</definedName>
    <definedName name="calcLOB1Clinician5Emp2GrossProd">calc!$E$519:$G$519</definedName>
    <definedName name="calcLOB1Clinician5Emp2MissVisits">calc!$E$566:$G$566</definedName>
    <definedName name="calcLOB1Clinician5Emp2ModifiedProd">calc!$E$505:$G$505</definedName>
    <definedName name="calcLOB1Clinician5Emp2NetProd">calc!$E$581:$G$581</definedName>
    <definedName name="calcLOB1Clinician5Emp2OverTIme">calc!$E$598:$G$598</definedName>
    <definedName name="calcLOB1Clinician5Emp3AllocatedProd">calc!$E$644:$G$644</definedName>
    <definedName name="calcLOB1Clinician5Emp3AllowPerc">calc!$E$629:$G$629</definedName>
    <definedName name="calcLOB1Clinician5Emp3AvgMissPerc">calc!$E$707:$G$707</definedName>
    <definedName name="calcLOB1Clinician5Emp3BaseMissPerc">calc!$E$692:$G$692</definedName>
    <definedName name="calcLOB1Clinician5Emp3BaseProd">calc!$E$612:$G$612</definedName>
    <definedName name="calcLOB1Clinician5Emp3GrossProd">calc!$E$675:$G$675</definedName>
    <definedName name="calcLOB1Clinician5Emp3MissVisits">calc!$E$722:$G$722</definedName>
    <definedName name="calcLOB1Clinician5Emp3ModifiedProd">calc!$E$661:$G$661</definedName>
    <definedName name="calcLOB1Clinician5Emp3NetProd">calc!$E$737:$G$737</definedName>
    <definedName name="calcLOB1Clinician5Emp3OverTIme">calc!$E$754:$G$754</definedName>
    <definedName name="calcLOB1Clinician5GrossProd">calc!$E$798:$G$798</definedName>
    <definedName name="calcLOB1Clinician5MissVisits">calc!$E$814:$G$814</definedName>
    <definedName name="calcLOB1Clinician5NetVisits">calc!$E$848:$G$848</definedName>
    <definedName name="calcLOB1Clinician5OverTime">calc!$E$864:$G$864</definedName>
    <definedName name="calcLOB1Clinician6AllocatedProd">calc!$E$783:$G$783</definedName>
    <definedName name="calcLOB1Clinician6AvgMissPerc">calc!$E$832:$G$832</definedName>
    <definedName name="calcLOB1Clinician6BaseProd">calc!$E$769:$G$769</definedName>
    <definedName name="calcLOB1Clinician6Disc1AvgMissPerc">calc!$E$340:$G$340</definedName>
    <definedName name="calcLOB1Clinician6Disc1BaseMissPerc">calc!$E$312:$G$312</definedName>
    <definedName name="calcLOB1Clinician6Disc1Emp1AllocatedProd">calc!$E$226:$G$226</definedName>
    <definedName name="calcLOB1Clinician6Disc1Emp1AllowPerc">calc!$E$198:$G$198</definedName>
    <definedName name="calcLOB1Clinician6Disc1Emp1BaseProd">calc!$E$168:$G$168</definedName>
    <definedName name="calcLOB1Clinician6Disc1Emp1GrossProd">calc!$E$282:$G$282</definedName>
    <definedName name="calcLOB1Clinician6Disc1Emp1MissVisits">calc!$E$368:$G$368</definedName>
    <definedName name="calcLOB1Clinician6Disc1Emp1ModifiedProd">calc!$E$256:$G$256</definedName>
    <definedName name="calcLOB1Clinician6Disc1Emp1NetProd">calc!$E$396:$G$396</definedName>
    <definedName name="calcLOB1Clinician6Disc1Emp1OverTIme">calc!$E$431:$G$431</definedName>
    <definedName name="calcLOB1Clinician6Disc2AvgMissPerc">calc!$E$353:$G$353</definedName>
    <definedName name="calcLOB1Clinician6Disc2BaseMissPerc">calc!$E$325:$G$325</definedName>
    <definedName name="calcLOB1Clinician6Disc2Emp1AllocatedProd">calc!$E$239:$G$239</definedName>
    <definedName name="calcLOB1Clinician6Disc2Emp1AllowPerc">calc!$E$211:$G$211</definedName>
    <definedName name="calcLOB1Clinician6Disc2Emp1BaseProd">calc!$E$181:$G$181</definedName>
    <definedName name="calcLOB1Clinician6Disc2Emp1GrossProd">calc!$E$295:$G$295</definedName>
    <definedName name="calcLOB1Clinician6Disc2Emp1MissVisits">calc!$E$381:$G$381</definedName>
    <definedName name="calcLOB1Clinician6Disc2Emp1ModifiedProd">calc!$E$268:$G$268</definedName>
    <definedName name="calcLOB1Clinician6Disc2Emp1NetProd">calc!$E$409:$G$409</definedName>
    <definedName name="calcLOB1Clinician6Disc2Emp1OverTIme">calc!$E$443:$G$443</definedName>
    <definedName name="calcLOB1Clinician6Emp2AllocatedProd">calc!$E$489:$G$489</definedName>
    <definedName name="calcLOB1Clinician6Emp2AllowPerc">calc!$E$474:$G$474</definedName>
    <definedName name="calcLOB1Clinician6Emp2AvgMissPerc">calc!$E$552:$G$552</definedName>
    <definedName name="calcLOB1Clinician6Emp2BaseMissPerc">calc!$E$537:$G$537</definedName>
    <definedName name="calcLOB1Clinician6Emp2BaseProd">calc!$E$457:$G$457</definedName>
    <definedName name="calcLOB1Clinician6Emp2GrossProd">calc!$E$520:$G$520</definedName>
    <definedName name="calcLOB1Clinician6Emp2MissVisits">calc!$E$567:$G$567</definedName>
    <definedName name="calcLOB1Clinician6Emp2ModifiedProd">calc!$E$506:$G$506</definedName>
    <definedName name="calcLOB1Clinician6Emp2NetProd">calc!$E$582:$G$582</definedName>
    <definedName name="calcLOB1Clinician6Emp2OverTIme">calc!$E$599:$G$599</definedName>
    <definedName name="calcLOB1Clinician6Emp3AllocatedProd">calc!$E$645:$G$645</definedName>
    <definedName name="calcLOB1Clinician6Emp3AllowPerc">calc!$E$630:$G$630</definedName>
    <definedName name="calcLOB1Clinician6Emp3AvgMissPerc">calc!$E$708:$G$708</definedName>
    <definedName name="calcLOB1Clinician6Emp3BaseMissPerc">calc!$E$693:$G$693</definedName>
    <definedName name="calcLOB1Clinician6Emp3BaseProd">calc!$E$613:$G$613</definedName>
    <definedName name="calcLOB1Clinician6Emp3GrossProd">calc!$E$676:$G$676</definedName>
    <definedName name="calcLOB1Clinician6Emp3MissVisits">calc!$E$723:$G$723</definedName>
    <definedName name="calcLOB1Clinician6Emp3ModifiedProd">calc!$E$662:$G$662</definedName>
    <definedName name="calcLOB1Clinician6Emp3NetProd">calc!$E$738:$G$738</definedName>
    <definedName name="calcLOB1Clinician6Emp3OverTIme">calc!$E$755:$G$755</definedName>
    <definedName name="calcLOB1Clinician6GrossProd">calc!$E$799:$G$799</definedName>
    <definedName name="calcLOB1Clinician6MissVisits">calc!$E$815:$G$815</definedName>
    <definedName name="calcLOB1Clinician6NetVisits">calc!$E$849:$G$849</definedName>
    <definedName name="calcLOB1Clinician6OverTime">calc!$E$865:$G$865</definedName>
    <definedName name="calcLOB1Clinician7AllocatedProd">calc!$E$784:$G$784</definedName>
    <definedName name="calcLOB1Clinician7AvgMissPerc">calc!$E$833:$G$833</definedName>
    <definedName name="calcLOB1Clinician7BaseProd">calc!$E$770:$G$770</definedName>
    <definedName name="calcLOB1Clinician7Disc1AvgMissPerc">calc!$E$341:$G$341</definedName>
    <definedName name="calcLOB1Clinician7Disc1BaseMissPerc">calc!$E$313:$G$313</definedName>
    <definedName name="calcLOB1Clinician7Disc1Emp1AllocatedProd">calc!$E$227:$G$227</definedName>
    <definedName name="calcLOB1Clinician7Disc1Emp1AllowPerc">calc!$E$199:$G$199</definedName>
    <definedName name="calcLOB1Clinician7Disc1Emp1BaseProd">calc!$E$169:$G$169</definedName>
    <definedName name="calcLOB1Clinician7Disc1Emp1GrossProd">calc!$E$283:$G$283</definedName>
    <definedName name="calcLOB1Clinician7Disc1Emp1MissVisits">calc!$E$369:$G$369</definedName>
    <definedName name="calcLOB1Clinician7Disc1Emp1ModifiedProd">calc!$E$257:$G$257</definedName>
    <definedName name="calcLOB1Clinician7Disc1Emp1NetProd">calc!$E$397:$G$397</definedName>
    <definedName name="calcLOB1Clinician7Disc1Emp1OverTIme">calc!$E$432:$G$432</definedName>
    <definedName name="calcLOB1Clinician7Disc2AvgMissPerc">calc!$E$354:$G$354</definedName>
    <definedName name="calcLOB1Clinician7Disc2BaseMissPerc">calc!$E$326:$G$326</definedName>
    <definedName name="calcLOB1Clinician7Disc2Emp1AllocatedProd">calc!$E$240:$G$240</definedName>
    <definedName name="calcLOB1Clinician7Disc2Emp1AllowPerc">calc!$E$212:$G$212</definedName>
    <definedName name="calcLOB1Clinician7Disc2Emp1BaseProd">calc!$E$182:$G$182</definedName>
    <definedName name="calcLOB1Clinician7Disc2Emp1GrossProd">calc!$E$296:$G$296</definedName>
    <definedName name="calcLOB1Clinician7Disc2Emp1MissVisits">calc!$E$382:$G$382</definedName>
    <definedName name="calcLOB1Clinician7Disc2Emp1ModifiedProd">calc!$E$269:$G$269</definedName>
    <definedName name="calcLOB1Clinician7Disc2Emp1NetProd">calc!$E$410:$G$410</definedName>
    <definedName name="calcLOB1Clinician7Disc2Emp1OverTIme">calc!$E$444:$G$444</definedName>
    <definedName name="calcLOB1Clinician7Emp2AllocatedProd">calc!$E$490:$G$490</definedName>
    <definedName name="calcLOB1Clinician7Emp2AllowPerc">calc!$E$475:$G$475</definedName>
    <definedName name="calcLOB1Clinician7Emp2AvgMissPerc">calc!$E$553:$G$553</definedName>
    <definedName name="calcLOB1Clinician7Emp2BaseMissPerc">calc!$E$538:$G$538</definedName>
    <definedName name="calcLOB1Clinician7Emp2BaseProd">calc!$E$458:$G$458</definedName>
    <definedName name="calcLOB1Clinician7Emp2GrossProd">calc!$E$521:$G$521</definedName>
    <definedName name="calcLOB1Clinician7Emp2MissVisits">calc!$E$568:$G$568</definedName>
    <definedName name="calcLOB1Clinician7Emp2ModifiedProd">calc!$E$507:$G$507</definedName>
    <definedName name="calcLOB1Clinician7Emp2NetProd">calc!$E$583:$G$583</definedName>
    <definedName name="calcLOB1Clinician7Emp2OverTIme">calc!$E$600:$G$600</definedName>
    <definedName name="calcLOB1Clinician7Emp3AllocatedProd">calc!$E$646:$G$646</definedName>
    <definedName name="calcLOB1Clinician7Emp3AllowPerc">calc!$E$631:$G$631</definedName>
    <definedName name="calcLOB1Clinician7Emp3AvgMissPerc">calc!$E$709:$G$709</definedName>
    <definedName name="calcLOB1Clinician7Emp3BaseMissPerc">calc!$E$694:$G$694</definedName>
    <definedName name="calcLOB1Clinician7Emp3BaseProd">calc!$E$614:$G$614</definedName>
    <definedName name="calcLOB1Clinician7Emp3GrossProd">calc!$E$677:$G$677</definedName>
    <definedName name="calcLOB1Clinician7Emp3MissVisits">calc!$E$724:$G$724</definedName>
    <definedName name="calcLOB1Clinician7Emp3ModifiedProd">calc!$E$663:$G$663</definedName>
    <definedName name="calcLOB1Clinician7Emp3NetProd">calc!$E$739:$G$739</definedName>
    <definedName name="calcLOB1Clinician7Emp3OverTIme">calc!$E$756:$G$756</definedName>
    <definedName name="calcLOB1Clinician7GrossProd">calc!$E$800:$G$800</definedName>
    <definedName name="calcLOB1Clinician7MissVisits">calc!$E$816:$G$816</definedName>
    <definedName name="calcLOB1Clinician7NetVisits">calc!$E$850:$G$850</definedName>
    <definedName name="calcLOB1Clinician7OverTime">calc!$E$866:$G$866</definedName>
    <definedName name="calcLOB1Clinician8AllocatedProd">calc!$E$785:$G$785</definedName>
    <definedName name="calcLOB1Clinician8AvgMissPerc">calc!$E$834:$G$834</definedName>
    <definedName name="calcLOB1Clinician8BaseProd">calc!$E$771:$G$771</definedName>
    <definedName name="calcLOB1Clinician8Disc1AvgMissPerc">calc!$E$342:$G$342</definedName>
    <definedName name="calcLOB1Clinician8Disc1BaseMissPerc">calc!$E$314:$G$314</definedName>
    <definedName name="calcLOB1Clinician8Disc1Emp1AllocatedProd">calc!$E$228:$G$228</definedName>
    <definedName name="calcLOB1Clinician8Disc1Emp1AllowPerc">calc!$E$200:$G$200</definedName>
    <definedName name="calcLOB1Clinician8Disc1Emp1BaseProd">calc!$E$170:$G$170</definedName>
    <definedName name="calcLOB1Clinician8Disc1Emp1GrossProd">calc!$E$284:$G$284</definedName>
    <definedName name="calcLOB1Clinician8Disc1Emp1MissVisits">calc!$E$370:$G$370</definedName>
    <definedName name="calcLOB1Clinician8Disc1Emp1ModifiedProd">calc!$E$258:$G$258</definedName>
    <definedName name="calcLOB1Clinician8Disc1Emp1NetProd">calc!$E$398:$G$398</definedName>
    <definedName name="calcLOB1Clinician8Disc1Emp1OverTIme">calc!$E$433:$G$433</definedName>
    <definedName name="calcLOB1Clinician8Disc2AvgMissPerc">calc!$E$355:$G$355</definedName>
    <definedName name="calcLOB1Clinician8Disc2BaseMissPerc">calc!$E$327:$G$327</definedName>
    <definedName name="calcLOB1Clinician8Disc2Emp1AllocatedProd">calc!$E$241:$G$241</definedName>
    <definedName name="calcLOB1Clinician8Disc2Emp1AllowPerc">calc!$E$213:$G$213</definedName>
    <definedName name="calcLOB1Clinician8Disc2Emp1BaseProd">calc!$E$183:$G$183</definedName>
    <definedName name="calcLOB1Clinician8Disc2Emp1GrossProd">calc!$E$297:$G$297</definedName>
    <definedName name="calcLOB1Clinician8Disc2Emp1MissVisits">calc!$E$383:$G$383</definedName>
    <definedName name="calcLOB1Clinician8Disc2Emp1ModifiedProd">calc!$E$270:$G$270</definedName>
    <definedName name="calcLOB1Clinician8Disc2Emp1NetProd">calc!$E$411:$G$411</definedName>
    <definedName name="calcLOB1Clinician8Disc2Emp1OverTIme">calc!$E$445:$G$445</definedName>
    <definedName name="calcLOB1Clinician8Emp2AllocatedProd">calc!$E$491:$G$491</definedName>
    <definedName name="calcLOB1Clinician8Emp2AllowPerc">calc!$E$476:$G$476</definedName>
    <definedName name="calcLOB1Clinician8Emp2AvgMissPerc">calc!$E$554:$G$554</definedName>
    <definedName name="calcLOB1Clinician8Emp2BaseMissPerc">calc!$E$539:$G$539</definedName>
    <definedName name="calcLOB1Clinician8Emp2BaseProd">calc!$E$459:$G$459</definedName>
    <definedName name="calcLOB1Clinician8Emp2GrossProd">calc!$E$522:$G$522</definedName>
    <definedName name="calcLOB1Clinician8Emp2MissVisits">calc!$E$569:$G$569</definedName>
    <definedName name="calcLOB1Clinician8Emp2ModifiedProd">calc!$E$508:$G$508</definedName>
    <definedName name="calcLOB1Clinician8Emp2NetProd">calc!$E$584:$G$584</definedName>
    <definedName name="calcLOB1Clinician8Emp2OverTIme">calc!$E$601:$G$601</definedName>
    <definedName name="calcLOB1Clinician8Emp3AllocatedProd">calc!$E$647:$G$647</definedName>
    <definedName name="calcLOB1Clinician8Emp3AllowPerc">calc!$E$632:$G$632</definedName>
    <definedName name="calcLOB1Clinician8Emp3AvgMissPerc">calc!$E$710:$G$710</definedName>
    <definedName name="calcLOB1Clinician8Emp3BaseMissPerc">calc!$E$695:$G$695</definedName>
    <definedName name="calcLOB1Clinician8Emp3BaseProd">calc!$E$615:$G$615</definedName>
    <definedName name="calcLOB1Clinician8Emp3GrossProd">calc!$E$678:$G$678</definedName>
    <definedName name="calcLOB1Clinician8Emp3MissVisits">calc!$E$725:$G$725</definedName>
    <definedName name="calcLOB1Clinician8Emp3ModifiedProd">calc!$E$664:$G$664</definedName>
    <definedName name="calcLOB1Clinician8Emp3NetProd">calc!$E$740:$G$740</definedName>
    <definedName name="calcLOB1Clinician8Emp3OverTIme">calc!$E$757:$G$757</definedName>
    <definedName name="calcLOB1Clinician8GrossProd">calc!$E$801:$G$801</definedName>
    <definedName name="calcLOB1Clinician8MissVisits">calc!$E$817:$G$817</definedName>
    <definedName name="calcLOB1Clinician8NetVisits">calc!$E$851:$G$851</definedName>
    <definedName name="calcLOB1Clinician8OverTime">calc!$E$867:$G$867</definedName>
    <definedName name="calcLOB1Clinician9AllocatedProd">calc!$E$786:$G$786</definedName>
    <definedName name="calcLOB1Clinician9AvgMissPerc">calc!$E$835:$G$835</definedName>
    <definedName name="calcLOB1Clinician9BaseProd">calc!$E$772:$G$772</definedName>
    <definedName name="calcLOB1Clinician9Disc1AvgMissPerc">calc!$E$343:$G$343</definedName>
    <definedName name="calcLOB1Clinician9Disc1BaseMissPerc">calc!$E$315:$G$315</definedName>
    <definedName name="calcLOB1Clinician9Disc1Emp1AllocatedProd">calc!$E$229:$G$229</definedName>
    <definedName name="calcLOB1Clinician9Disc1Emp1AllowPerc">calc!$E$201:$G$201</definedName>
    <definedName name="calcLOB1Clinician9Disc1Emp1BaseProd">calc!$E$171:$G$171</definedName>
    <definedName name="calcLOB1Clinician9Disc1Emp1GrossProd">calc!$E$285:$G$285</definedName>
    <definedName name="calcLOB1Clinician9Disc1Emp1MissVisits">calc!$E$371:$G$371</definedName>
    <definedName name="calcLOB1Clinician9Disc1Emp1ModifiedProd">calc!$E$259:$G$259</definedName>
    <definedName name="calcLOB1Clinician9Disc1Emp1NetProd">calc!$E$399:$G$399</definedName>
    <definedName name="calcLOB1Clinician9Disc1Emp1OverTIme">calc!$E$434:$G$434</definedName>
    <definedName name="calcLOB1Clinician9Disc2AvgMissPerc">calc!$E$356:$G$356</definedName>
    <definedName name="calcLOB1Clinician9Disc2BaseMissPerc">calc!$E$328:$G$328</definedName>
    <definedName name="calcLOB1Clinician9Disc2Emp1AllocatedProd">calc!$E$242:$G$242</definedName>
    <definedName name="calcLOB1Clinician9Disc2Emp1AllowPerc">calc!$E$214:$G$214</definedName>
    <definedName name="calcLOB1Clinician9Disc2Emp1BaseProd">calc!$E$184:$G$184</definedName>
    <definedName name="calcLOB1Clinician9Disc2Emp1GrossProd">calc!$E$298:$G$298</definedName>
    <definedName name="calcLOB1Clinician9Disc2Emp1MissVisits">calc!$E$384:$G$384</definedName>
    <definedName name="calcLOB1Clinician9Disc2Emp1ModifiedProd">calc!$E$271:$G$271</definedName>
    <definedName name="calcLOB1Clinician9Disc2Emp1NetProd">calc!$E$412:$G$412</definedName>
    <definedName name="calcLOB1Clinician9Disc2Emp1OverTIme">calc!$E$446:$G$446</definedName>
    <definedName name="calcLOB1Clinician9Emp2AllocatedProd">calc!$E$492:$G$492</definedName>
    <definedName name="calcLOB1Clinician9Emp2AllowPerc">calc!$E$477:$G$477</definedName>
    <definedName name="calcLOB1Clinician9Emp2AvgMissPerc">calc!$E$555:$G$555</definedName>
    <definedName name="calcLOB1Clinician9Emp2BaseMissPerc">calc!$E$540:$G$540</definedName>
    <definedName name="calcLOB1Clinician9Emp2BaseProd">calc!$E$460:$G$460</definedName>
    <definedName name="calcLOB1Clinician9Emp2GrossProd">calc!$E$523:$G$523</definedName>
    <definedName name="calcLOB1Clinician9Emp2MissVisits">calc!$E$570:$G$570</definedName>
    <definedName name="calcLOB1Clinician9Emp2ModifiedProd">calc!$E$509:$G$509</definedName>
    <definedName name="calcLOB1Clinician9Emp2NetProd">calc!$E$585:$G$585</definedName>
    <definedName name="calcLOB1Clinician9Emp2OverTIme">calc!$E$602:$G$602</definedName>
    <definedName name="calcLOB1Clinician9Emp3AllocatedProd">calc!$E$648:$G$648</definedName>
    <definedName name="calcLOB1Clinician9Emp3AllowPerc">calc!$E$633:$G$633</definedName>
    <definedName name="calcLOB1Clinician9Emp3AvgMissPerc">calc!$E$711:$G$711</definedName>
    <definedName name="calcLOB1Clinician9Emp3BaseMissPerc">calc!$E$696:$G$696</definedName>
    <definedName name="calcLOB1Clinician9Emp3BaseProd">calc!$E$616:$G$616</definedName>
    <definedName name="calcLOB1Clinician9Emp3GrossProd">calc!$E$679:$G$679</definedName>
    <definedName name="calcLOB1Clinician9Emp3MissVisits">calc!$E$726:$G$726</definedName>
    <definedName name="calcLOB1Clinician9Emp3ModifiedProd">calc!$E$665:$G$665</definedName>
    <definedName name="calcLOB1Clinician9Emp3NetProd">calc!$E$741:$G$741</definedName>
    <definedName name="calcLOB1Clinician9Emp3OverTIme">calc!$E$758:$G$758</definedName>
    <definedName name="calcLOB1Clinician9GrossProd">calc!$E$802:$G$802</definedName>
    <definedName name="calcLOB1Clinician9MissVisits">calc!$E$818:$G$818</definedName>
    <definedName name="calcLOB1Clinician9NetVisits">calc!$E$852:$G$852</definedName>
    <definedName name="calcLOB1Clinician9OverTime">calc!$E$868:$G$868</definedName>
    <definedName name="calcLOB1ClinicianAllocatedVisits">calc!$E$791:$G$791</definedName>
    <definedName name="calcLOB1ClinicianAvgMissPerc">calc!$E$841:$G$841</definedName>
    <definedName name="calcLOB1ClinicianGrossProd">calc!$E$807:$G$807</definedName>
    <definedName name="calcLOB1ClinicianMissVisits">calc!$E$823:$G$823</definedName>
    <definedName name="calcLOB1ClinicianMissVisitsPerc">calc!$E$824:$G$824</definedName>
    <definedName name="calcLOB1ClinicianNetVisits">calc!$E$857:$G$857</definedName>
    <definedName name="calcLOB1ClinicianOverTime">calc!$E$873:$G$873</definedName>
    <definedName name="calcLOB1ClinicianOverTimePerc">calc!$E$874:$G$874</definedName>
    <definedName name="calcLOB1ClinicianTotalMissPerc">calc!$E$840:$G$840</definedName>
    <definedName name="calcLOB1CSAT">calc!$E$973:$G$973</definedName>
    <definedName name="calcLOB1Disc1EmpCount">calc!$E$908:$G$908</definedName>
    <definedName name="calcLOB1Disc1Retention">calc!$E$1010:$G$1010</definedName>
    <definedName name="calcLOB1Disc1TotalVisits">calc!$E$420:$G$420</definedName>
    <definedName name="calcLOB1Disc1TotalVisitsPerc">calc!$E$422:$G$422</definedName>
    <definedName name="calcLOB1Disc2BelowLicsenceVisits">calc!$E$424:$G$424</definedName>
    <definedName name="calcLOB1Disc2EmpCount">calc!$E$909:$G$909</definedName>
    <definedName name="calcLOB1Disc2Retention">calc!$E$1018:$G$1018</definedName>
    <definedName name="calcLOB1Disc2TotalVisits">calc!$E$421:$G$421</definedName>
    <definedName name="calcLOB1Disc2TotalVisitsPerc">calc!$E$423:$G$423</definedName>
    <definedName name="calcLOB1Disc3EmpCount">calc!$E$911:$G$911</definedName>
    <definedName name="calcLOB1Disc3Retention">calc!$E$1026:$G$1026</definedName>
    <definedName name="calcLOB1Disc4EmpCount">calc!$E$912:$G$912</definedName>
    <definedName name="calcLOB1Disc4Retention">calc!$E$1034:$G$1034</definedName>
    <definedName name="calcLOB1DOOActionTime1">calc!$E$941:$G$941</definedName>
    <definedName name="calcLOB1DOOActionTime2">calc!$E$942:$G$942</definedName>
    <definedName name="calcLOB1DOOActionTime3">calc!$E$943:$G$943</definedName>
    <definedName name="calcLOB1DOOActionTime4">calc!$E$944:$G$944</definedName>
    <definedName name="calcLOB1DOOActionTime5">calc!$E$945:$G$945</definedName>
    <definedName name="calcLOB1DOOActionTime6">calc!$E$946:$G$946</definedName>
    <definedName name="calcLOB1DOOBaseTime1">calc!$E$931:$G$931</definedName>
    <definedName name="calcLOB1DOOBaseTime2">calc!$E$932:$G$932</definedName>
    <definedName name="calcLOB1DOOBaseTime3">calc!$E$933:$G$933</definedName>
    <definedName name="calcLOB1DOOBaseTime4">calc!$E$934:$G$934</definedName>
    <definedName name="calcLOB1DOOBaseTime5">calc!$E$935:$G$935</definedName>
    <definedName name="calcLOB1DOOBaseTime6">calc!$E$936:$G$936</definedName>
    <definedName name="calcLOB1DOOPlanTime1">calc!$E$951:$G$951</definedName>
    <definedName name="calcLOB1DOOPlanTime2">calc!$E$952:$G$952</definedName>
    <definedName name="calcLOB1DOOPlanTime3">calc!$E$953:$G$953</definedName>
    <definedName name="calcLOB1DOOPlanTime4">calc!$E$954:$G$954</definedName>
    <definedName name="calcLOB1DOOPlanTime5">calc!$E$955:$G$955</definedName>
    <definedName name="calcLOB1DOOPlanTime6">calc!$E$956:$G$956</definedName>
    <definedName name="calcLOB1DOOStaffModImpact">calc!$E$962:$G$962</definedName>
    <definedName name="calcLOB1DOOTotalActionTime">calc!$E$948:$G$948</definedName>
    <definedName name="calcLOB1DOOTotalBaseTime">calc!$E$938:$G$938</definedName>
    <definedName name="calcLOB1DOOTotalPlanTime">calc!$E$958:$G$958</definedName>
    <definedName name="calcLOB1Emp1ActualVisits">calc!$E$885:$G$885</definedName>
    <definedName name="calcLOB1Emp1AllocatedProd">calc!$E$248:$G$248</definedName>
    <definedName name="calcLOB1Emp1BaseProdCapacity">calc!$E$190:$G$190</definedName>
    <definedName name="calcLOB1Emp1Capacity">calc!$E$133:$G$133</definedName>
    <definedName name="calcLOB1Emp1Count">calc!$E$910:$G$910</definedName>
    <definedName name="calcLOB1Emp1GrossProdCapacity">calc!$E$304:$G$304</definedName>
    <definedName name="calcLOB1Emp1NetProduction">calc!$E$418:$G$418</definedName>
    <definedName name="calcLOB1Emp1PercNonSalaried">calc!$E$419:$G$419</definedName>
    <definedName name="calcLOB1Emp1Visits">calc!$E$107:$G$107</definedName>
    <definedName name="calcLOB1Emp1Work">calc!$E$137:$G$137</definedName>
    <definedName name="calcLOB1Emp2ActualVisits">calc!$E$895:$G$895</definedName>
    <definedName name="calcLOB1Emp2AllocatedProd">calc!$E$498:$G$498</definedName>
    <definedName name="calcLOB1Emp2BaseProdCapacity">calc!$E$466:$G$466</definedName>
    <definedName name="calcLOB1Emp2Capacity">calc!$E$143:$G$143</definedName>
    <definedName name="calcLOB1Emp2GrossProdCapacity">calc!$E$529:$G$529</definedName>
    <definedName name="calcLOB1Emp2NetProduction">calc!$E$591:$G$591</definedName>
    <definedName name="calcLOB1Emp2Visits">calc!$E$117:$G$117</definedName>
    <definedName name="calcLOB1Emp2Work">calc!$E$147:$G$147</definedName>
    <definedName name="calcLOB1Emp3ActualVisits">calc!$E$905:$G$905</definedName>
    <definedName name="calcLOB1Emp3AllocatedProd">calc!$E$654:$G$654</definedName>
    <definedName name="calcLOB1Emp3BaseProdCapacity">calc!$E$622:$G$622</definedName>
    <definedName name="calcLOB1Emp3Capacity">calc!$E$153:$G$153</definedName>
    <definedName name="calcLOB1Emp3GrossProdCapacity">calc!$E$685:$G$685</definedName>
    <definedName name="calcLOB1Emp3NetProduction">calc!$E$747:$G$747</definedName>
    <definedName name="calcLOB1Emp3Visits">calc!$E$127:$G$127</definedName>
    <definedName name="calcLOB1Emp3Work">calc!$E$157:$G$157</definedName>
    <definedName name="calcLOB1ESAT">calc!$E$983:$G$983</definedName>
    <definedName name="calcLOB1MeetingCount">calc!$E$1036:$G$1036</definedName>
    <definedName name="calcLOB1Patients">calc!$E$96:$G$96</definedName>
    <definedName name="calcLOB1Prod1Seg1Budget">calc!$E$29:$G$29</definedName>
    <definedName name="calcLOB1Prod1Seg1BudgetMM">calc!$E$40:$G$40</definedName>
    <definedName name="calcLOB1Prod1Seg1Emp1ActualVisits">calc!$E$878:$G$878</definedName>
    <definedName name="calcLOB1Prod1Seg1Emp1Visits">calc!$E$100:$G$100</definedName>
    <definedName name="calcLOB1Prod1Seg1Emp2ActualVisits">calc!$E$888:$G$888</definedName>
    <definedName name="calcLOB1Prod1Seg1Emp2Visits">calc!$E$110:$G$110</definedName>
    <definedName name="calcLOB1Prod1Seg1Emp3ActualVisits">calc!$E$898:$G$898</definedName>
    <definedName name="calcLOB1Prod1Seg1Emp3Visits">calc!$E$120:$G$120</definedName>
    <definedName name="calcLOB1Prod1Seg1Patients">calc!$E$88:$G$88</definedName>
    <definedName name="calcLOB1Prod1Seg1RunRate">calc!$E$6:$G$6</definedName>
    <definedName name="calcLOB1Prod1Seg1RunRateM1">calc!$E$52:$G$52</definedName>
    <definedName name="calcLOB1Prod1Seg1RunRateM2">calc!$E$64:$G$64</definedName>
    <definedName name="calcLOB1Prod1Seg1RunRateM3">calc!$E$76:$G$76</definedName>
    <definedName name="calcLOB1Prod1Seg1RunRateMM">calc!$E$17:$G$17</definedName>
    <definedName name="calcLOB1Prod1Seg2Budget">calc!$E$30:$G$30</definedName>
    <definedName name="calcLOB1Prod1Seg2BudgetMM">calc!$E$41:$G$41</definedName>
    <definedName name="calcLOB1Prod1Seg2Emp1ActualVisits">calc!$E$879:$G$879</definedName>
    <definedName name="calcLOB1Prod1Seg2Emp1Visits">calc!$E$101:$G$101</definedName>
    <definedName name="calcLOB1Prod1Seg2Emp2ActualVisits">calc!$E$889:$G$889</definedName>
    <definedName name="calcLOB1Prod1Seg2Emp2Visits">calc!$E$111:$G$111</definedName>
    <definedName name="calcLOB1Prod1Seg2Emp3ActualVisits">calc!$E$899:$G$899</definedName>
    <definedName name="calcLOB1Prod1Seg2Emp3Visits">calc!$E$121:$G$121</definedName>
    <definedName name="calcLOB1Prod1Seg2Patients">calc!$E$89:$G$89</definedName>
    <definedName name="calcLOB1Prod1Seg2RunRate">calc!$E$7:$G$7</definedName>
    <definedName name="calcLOB1Prod1Seg2RunRateM1">calc!$E$53:$G$53</definedName>
    <definedName name="calcLOB1Prod1Seg2RunRateM2">calc!$E$65:$G$65</definedName>
    <definedName name="calcLOB1Prod1Seg2RunRateM3">calc!$E$77:$G$77</definedName>
    <definedName name="calcLOB1Prod1Seg2RunRateMM">calc!$E$18:$G$18</definedName>
    <definedName name="calcLOB1Prod1Seg3Budget">calc!$E$31:$G$31</definedName>
    <definedName name="calcLOB1Prod1Seg3BudgetMM">calc!$E$42:$G$42</definedName>
    <definedName name="calcLOB1Prod1Seg3Emp1ActualVisits">calc!$E$880:$G$880</definedName>
    <definedName name="calcLOB1Prod1Seg3Emp1Visits">calc!$E$102:$G$102</definedName>
    <definedName name="calcLOB1Prod1Seg3Emp2ActualVisits">calc!$E$890:$G$890</definedName>
    <definedName name="calcLOB1Prod1Seg3Emp2Visits">calc!$E$112:$G$112</definedName>
    <definedName name="calcLOB1Prod1Seg3Emp3ActualVisits">calc!$E$900:$G$900</definedName>
    <definedName name="calcLOB1Prod1Seg3Emp3Visits">calc!$E$122:$G$122</definedName>
    <definedName name="calcLOB1Prod1Seg3Patients">calc!$E$90:$G$90</definedName>
    <definedName name="calcLOB1Prod1Seg3RunRate">calc!$E$8:$G$8</definedName>
    <definedName name="calcLOB1Prod1Seg3RunRateM1">calc!$E$54:$G$54</definedName>
    <definedName name="calcLOB1Prod1Seg3RunRateM2">calc!$E$66:$G$66</definedName>
    <definedName name="calcLOB1Prod1Seg3RunRateM3">calc!$E$78:$G$78</definedName>
    <definedName name="calcLOB1Prod1Seg3RunRateMM">calc!$E$19:$G$19</definedName>
    <definedName name="calcLOB1Prod2Seg1Budget">calc!$E$33:$G$33</definedName>
    <definedName name="calcLOB1Prod2Seg1BudgetMM">calc!$E$44:$G$44</definedName>
    <definedName name="calcLOB1Prod2Seg1Emp1ActualVisits">calc!$E$881:$G$881</definedName>
    <definedName name="calcLOB1Prod2Seg1Emp1Visits">calc!$E$103:$G$103</definedName>
    <definedName name="calcLOB1Prod2Seg1Emp2ActualVisits">calc!$E$891:$G$891</definedName>
    <definedName name="calcLOB1Prod2Seg1Emp2Visits">calc!$E$113:$G$113</definedName>
    <definedName name="calcLOB1Prod2Seg1Emp3ActualVisits">calc!$E$901:$G$901</definedName>
    <definedName name="calcLOB1Prod2Seg1Emp3Visits">calc!$E$123:$G$123</definedName>
    <definedName name="calcLOB1Prod2Seg1Patients">calc!$E$92:$G$92</definedName>
    <definedName name="calcLOB1Prod2Seg1RunRate">calc!$E$10:$G$10</definedName>
    <definedName name="calcLOB1Prod2Seg1RunRateM1">calc!$E$56:$G$56</definedName>
    <definedName name="calcLOB1Prod2Seg1RunRateM2">calc!$E$68:$G$68</definedName>
    <definedName name="calcLOB1Prod2Seg1RunRateM3">calc!$E$80:$G$80</definedName>
    <definedName name="calcLOB1Prod2Seg1RunRateMM">calc!$E$21:$G$21</definedName>
    <definedName name="calcLOB1Prod2Seg2Budget">calc!$E$34:$G$34</definedName>
    <definedName name="calcLOB1Prod2Seg2BudgetMM">calc!$E$45:$G$45</definedName>
    <definedName name="calcLOB1Prod2Seg2Emp1ActualVisits">calc!$E$882:$G$882</definedName>
    <definedName name="calcLOB1Prod2Seg2Emp1Visits">calc!$E$104:$G$104</definedName>
    <definedName name="calcLOB1Prod2Seg2Emp2ActualVisits">calc!$E$892:$G$892</definedName>
    <definedName name="calcLOB1Prod2Seg2Emp2Visits">calc!$E$114:$G$114</definedName>
    <definedName name="calcLOB1Prod2Seg2Emp3ActualVisits">calc!$E$902:$G$902</definedName>
    <definedName name="calcLOB1Prod2Seg2Emp3Visits">calc!$E$124:$G$124</definedName>
    <definedName name="calcLOB1Prod2Seg2Patients">calc!$E$93:$G$93</definedName>
    <definedName name="calcLOB1Prod2Seg2RunRate">calc!$E$11:$G$11</definedName>
    <definedName name="calcLOB1Prod2Seg2RunRateM1">calc!$E$57:$G$57</definedName>
    <definedName name="calcLOB1Prod2Seg2RunRateM2">calc!$E$69:$G$69</definedName>
    <definedName name="calcLOB1Prod2Seg2RunRateM3">calc!$E$81:$G$81</definedName>
    <definedName name="calcLOB1Prod2Seg2RunRateMM">calc!$E$22:$G$22</definedName>
    <definedName name="calcLOB1Prod2Seg3Budget">calc!$E$35:$G$35</definedName>
    <definedName name="calcLOB1Prod2Seg3BudgetMM">calc!$E$46:$G$46</definedName>
    <definedName name="calcLOB1Prod2Seg3Emp1ActualVisits">calc!$E$883:$G$883</definedName>
    <definedName name="calcLOB1Prod2Seg3Emp1Visits">calc!$E$105:$G$105</definedName>
    <definedName name="calcLOB1Prod2Seg3Emp2ActualVisits">calc!$E$893:$G$893</definedName>
    <definedName name="calcLOB1Prod2Seg3Emp2Visits">calc!$E$115:$G$115</definedName>
    <definedName name="calcLOB1Prod2Seg3Emp3ActualVisits">calc!$E$903:$G$903</definedName>
    <definedName name="calcLOB1Prod2Seg3Emp3Visits">calc!$E$125:$G$125</definedName>
    <definedName name="calcLOB1Prod2Seg3Patients">calc!$E$94:$G$94</definedName>
    <definedName name="calcLOB1Prod2Seg3RunRate">calc!$E$12:$G$12</definedName>
    <definedName name="calcLOB1Prod2Seg3RunRateM1">calc!$E$58:$G$58</definedName>
    <definedName name="calcLOB1Prod2Seg3RunRateM2">calc!$E$70:$G$70</definedName>
    <definedName name="calcLOB1Prod2Seg3RunRateM3">calc!$E$82:$G$82</definedName>
    <definedName name="calcLOB1Prod2Seg3RunRateMM">calc!$E$23:$G$23</definedName>
    <definedName name="calcLOB1RunRate">calc!$E$14:$G$14</definedName>
    <definedName name="calcLOB1RunRateM1">calc!$E$60:$G$60</definedName>
    <definedName name="calcLOB1RunRateM2">calc!$E$72:$G$72</definedName>
    <definedName name="calcLOB1RunRateM3">calc!$E$84:$G$84</definedName>
    <definedName name="calcLOB1RunRateMM">calc!$E$25:$G$25</definedName>
    <definedName name="calcLOB1Stars">calc!$E$1001:$G$1001</definedName>
    <definedName name="calcLOB2AvgUtilization">calc!$E$1196:$G$1196</definedName>
    <definedName name="calcLOB2BDEngage">calc!$E$2042:$G$2042</definedName>
    <definedName name="calcLOB2Budget">calc!$E$1073:$G$1073</definedName>
    <definedName name="calcLOB2BudgetMM">calc!$E$1084:$G$1084</definedName>
    <definedName name="calcLOB2Clinician10AllocatedProd">calc!$E$1823:$G$1823</definedName>
    <definedName name="calcLOB2Clinician10AvgMissPerc">calc!$E$1886:$G$1886</definedName>
    <definedName name="calcLOB2Clinician10BaseNetProd">calc!$E$1839:$G$1839</definedName>
    <definedName name="calcLOB2Clinician10BaseProd">calc!$E$1809:$G$1809</definedName>
    <definedName name="calcLOB2Clinician10Disc1AvgMissPerc">calc!$E$1380:$G$1380</definedName>
    <definedName name="calcLOB2Clinician10Disc1BaseMissPerc">calc!$E$1352:$G$1352</definedName>
    <definedName name="calcLOB2Clinician10Disc1Emp1AllocatedProd">calc!$E$1265:$G$1265</definedName>
    <definedName name="calcLOB2Clinician10Disc1Emp1AllowPerc">calc!$E$1238:$G$1238</definedName>
    <definedName name="calcLOB2Clinician10Disc1Emp1BaseProd">calc!$E$1208:$G$1208</definedName>
    <definedName name="calcLOB2Clinician10Disc1Emp1GrossProd">calc!$E$1322:$G$1322</definedName>
    <definedName name="calcLOB2Clinician10Disc1Emp1MissVisits">calc!$E$1408:$G$1408</definedName>
    <definedName name="calcLOB2Clinician10Disc1Emp1ModifiedProd">calc!$E$1295:$G$1295</definedName>
    <definedName name="calcLOB2Clinician10Disc1Emp1NetProd">calc!$E$1436:$G$1436</definedName>
    <definedName name="calcLOB2Clinician10Disc1Emp1OverTIme">calc!$E$1471:$G$1471</definedName>
    <definedName name="calcLOB2Clinician10Disc2AvgMissPerc">calc!$E$1393:$G$1393</definedName>
    <definedName name="calcLOB2Clinician10Disc2BaseMissPerc">calc!$E$1365:$G$1365</definedName>
    <definedName name="calcLOB2Clinician10Disc2Emp1AllocatedProd">calc!$E$1278:$G$1278</definedName>
    <definedName name="calcLOB2Clinician10Disc2Emp1AllowPerc">calc!$E$1251:$G$1251</definedName>
    <definedName name="calcLOB2Clinician10Disc2Emp1BaseProd">calc!$E$1221:$G$1221</definedName>
    <definedName name="calcLOB2Clinician10Disc2Emp1GrossProd">calc!$E$1335:$G$1335</definedName>
    <definedName name="calcLOB2Clinician10Disc2Emp1MissVisits">calc!$E$1421:$G$1421</definedName>
    <definedName name="calcLOB2Clinician10Disc2Emp1ModifiedProd">calc!$E$1307:$G$1307</definedName>
    <definedName name="calcLOB2Clinician10Disc2Emp1NetProd">calc!$E$1449:$G$1449</definedName>
    <definedName name="calcLOB2Clinician10Disc2Emp1OverTIme">calc!$E$1483:$G$1483</definedName>
    <definedName name="calcLOB2Clinician10Emp2AllocatedProd">calc!$E$1529:$G$1529</definedName>
    <definedName name="calcLOB2Clinician10Emp2AllowPerc">calc!$E$1514:$G$1514</definedName>
    <definedName name="calcLOB2Clinician10Emp2AvgMissPerc">calc!$E$1592:$G$1592</definedName>
    <definedName name="calcLOB2Clinician10Emp2BaseMissPerc">calc!$E$1577:$G$1577</definedName>
    <definedName name="calcLOB2Clinician10Emp2BaseProd">calc!$E$1497:$G$1497</definedName>
    <definedName name="calcLOB2Clinician10Emp2GrossProd">calc!$E$1560:$G$1560</definedName>
    <definedName name="calcLOB2Clinician10Emp2MissVisits">calc!$E$1607:$G$1607</definedName>
    <definedName name="calcLOB2Clinician10Emp2ModifiedProd">calc!$E$1546:$G$1546</definedName>
    <definedName name="calcLOB2Clinician10Emp2NetProd">calc!$E$1622:$G$1622</definedName>
    <definedName name="calcLOB2Clinician10Emp2OverTIme">calc!$E$1639:$G$1639</definedName>
    <definedName name="calcLOB2Clinician10Emp3AllocatedProd">calc!$E$1685:$G$1685</definedName>
    <definedName name="calcLOB2Clinician10Emp3AllowPerc">calc!$E$1670:$G$1670</definedName>
    <definedName name="calcLOB2Clinician10Emp3AvgMissPerc">calc!$E$1748:$G$1748</definedName>
    <definedName name="calcLOB2Clinician10Emp3BaseMissPerc">calc!$E$1733:$G$1733</definedName>
    <definedName name="calcLOB2Clinician10Emp3BaseProd">calc!$E$1653:$G$1653</definedName>
    <definedName name="calcLOB2Clinician10Emp3GrossProd">calc!$E$1716:$G$1716</definedName>
    <definedName name="calcLOB2Clinician10Emp3MissVisits">calc!$E$1763:$G$1763</definedName>
    <definedName name="calcLOB2Clinician10Emp3ModifiedProd">calc!$E$1702:$G$1702</definedName>
    <definedName name="calcLOB2Clinician10Emp3NetProd">calc!$E$1778:$G$1778</definedName>
    <definedName name="calcLOB2Clinician10Emp3OverTIme">calc!$E$1795:$G$1795</definedName>
    <definedName name="calcLOB2Clinician10GrossProd">calc!$E$1853:$G$1853</definedName>
    <definedName name="calcLOB2Clinician10MissVisits">calc!$E$1869:$G$1869</definedName>
    <definedName name="calcLOB2Clinician10NetVisits">calc!$E$1903:$G$1903</definedName>
    <definedName name="calcLOB2Clinician10OverTime">calc!$E$1919:$G$1919</definedName>
    <definedName name="calcLOB2Clinician11AllocatedProd">calc!$E$1824:$G$1824</definedName>
    <definedName name="calcLOB2Clinician11AvgMissPerc">calc!$E$1887:$G$1887</definedName>
    <definedName name="calcLOB2Clinician11BaseNetProd">calc!$E$1840:$G$1840</definedName>
    <definedName name="calcLOB2Clinician11BaseProd">calc!$E$1810:$G$1810</definedName>
    <definedName name="calcLOB2Clinician11Disc1AvgMissPerc">calc!$E$1381:$G$1381</definedName>
    <definedName name="calcLOB2Clinician11Disc1BaseMissPerc">calc!$E$1353:$G$1353</definedName>
    <definedName name="calcLOB2Clinician11Disc1Emp1AllocatedProd">calc!$E$1266:$G$1266</definedName>
    <definedName name="calcLOB2Clinician11Disc1Emp1AllowPerc">calc!$E$1239:$G$1239</definedName>
    <definedName name="calcLOB2Clinician11Disc1Emp1BaseProd">calc!$E$1209:$G$1209</definedName>
    <definedName name="calcLOB2Clinician11Disc1Emp1GrossProd">calc!$E$1323:$G$1323</definedName>
    <definedName name="calcLOB2Clinician11Disc1Emp1MissVisits">calc!$E$1409:$G$1409</definedName>
    <definedName name="calcLOB2Clinician11Disc1Emp1ModifiedProd">calc!$E$1296:$G$1296</definedName>
    <definedName name="calcLOB2Clinician11Disc1Emp1NetProd">calc!$E$1437:$G$1437</definedName>
    <definedName name="calcLOB2Clinician11Disc1Emp1OverTIme">calc!$E$1472:$G$1472</definedName>
    <definedName name="calcLOB2Clinician11Disc2AvgMissPerc">calc!$E$1394:$G$1394</definedName>
    <definedName name="calcLOB2Clinician11Disc2BaseMissPerc">calc!$E$1366:$G$1366</definedName>
    <definedName name="calcLOB2Clinician11Disc2Emp1AllocatedProd">calc!$E$1279:$G$1279</definedName>
    <definedName name="calcLOB2Clinician11Disc2Emp1AllowPerc">calc!$E$1252:$G$1252</definedName>
    <definedName name="calcLOB2Clinician11Disc2Emp1BaseProd">calc!$E$1222:$G$1222</definedName>
    <definedName name="calcLOB2Clinician11Disc2Emp1GrossProd">calc!$E$1336:$G$1336</definedName>
    <definedName name="calcLOB2Clinician11Disc2Emp1MissVisits">calc!$E$1422:$G$1422</definedName>
    <definedName name="calcLOB2Clinician11Disc2Emp1ModifiedProd">calc!$E$1308:$G$1308</definedName>
    <definedName name="calcLOB2Clinician11Disc2Emp1NetProd">calc!$E$1450:$G$1450</definedName>
    <definedName name="calcLOB2Clinician11Disc2Emp1OverTIme">calc!$E$1484:$G$1484</definedName>
    <definedName name="calcLOB2Clinician11Emp2AllocatedProd">calc!$E$1530:$G$1530</definedName>
    <definedName name="calcLOB2Clinician11Emp2AllowPerc">calc!$E$1515:$G$1515</definedName>
    <definedName name="calcLOB2Clinician11Emp2AvgMissPerc">calc!$E$1593:$G$1593</definedName>
    <definedName name="calcLOB2Clinician11Emp2BaseMissPerc">calc!$E$1578:$G$1578</definedName>
    <definedName name="calcLOB2Clinician11Emp2BaseProd">calc!$E$1498:$G$1498</definedName>
    <definedName name="calcLOB2Clinician11Emp2GrossProd">calc!$E$1561:$G$1561</definedName>
    <definedName name="calcLOB2Clinician11Emp2MissVisits">calc!$E$1608:$G$1608</definedName>
    <definedName name="calcLOB2Clinician11Emp2ModifiedProd">calc!$E$1547:$G$1547</definedName>
    <definedName name="calcLOB2Clinician11Emp2NetProd">calc!$E$1623:$G$1623</definedName>
    <definedName name="calcLOB2Clinician11Emp2OverTIme">calc!$E$1640:$G$1640</definedName>
    <definedName name="calcLOB2Clinician11Emp3AllocatedProd">calc!$E$1686:$G$1686</definedName>
    <definedName name="calcLOB2Clinician11Emp3AllowPerc">calc!$E$1671:$G$1671</definedName>
    <definedName name="calcLOB2Clinician11Emp3AvgMissPerc">calc!$E$1749:$G$1749</definedName>
    <definedName name="calcLOB2Clinician11Emp3BaseMissPerc">calc!$E$1734:$G$1734</definedName>
    <definedName name="calcLOB2Clinician11Emp3BaseProd">calc!$E$1654:$G$1654</definedName>
    <definedName name="calcLOB2Clinician11Emp3GrossProd">calc!$E$1717:$G$1717</definedName>
    <definedName name="calcLOB2Clinician11Emp3MissVisits">calc!$E$1764:$G$1764</definedName>
    <definedName name="calcLOB2Clinician11Emp3ModifiedProd">calc!$E$1703:$G$1703</definedName>
    <definedName name="calcLOB2Clinician11Emp3NetProd">calc!$E$1779:$G$1779</definedName>
    <definedName name="calcLOB2Clinician11Emp3OverTIme">calc!$E$1796:$G$1796</definedName>
    <definedName name="calcLOB2Clinician11GrossProd">calc!$E$1854:$G$1854</definedName>
    <definedName name="calcLOB2Clinician11LookupValue">calc!$E$1973:$G$1973</definedName>
    <definedName name="calcLOB2Clinician11MissVisits">calc!$E$1870:$G$1870</definedName>
    <definedName name="calcLOB2Clinician11NetVisits">calc!$E$1904:$G$1904</definedName>
    <definedName name="calcLOB2Clinician11OverTime">calc!$E$1920:$G$1920</definedName>
    <definedName name="calcLOB2Clinician12AllocatedProd">calc!$E$1825:$G$1825</definedName>
    <definedName name="calcLOB2Clinician12AvgMissPerc">calc!$E$1888:$G$1888</definedName>
    <definedName name="calcLOB2Clinician12BaseNetProd">calc!$E$1841:$G$1841</definedName>
    <definedName name="calcLOB2Clinician12BaseProd">calc!$E$1811:$G$1811</definedName>
    <definedName name="calcLOB2Clinician12Disc1AvgMissPerc">calc!$E$1382:$G$1382</definedName>
    <definedName name="calcLOB2Clinician12Disc1BaseMissPerc">calc!$E$1354:$G$1354</definedName>
    <definedName name="calcLOB2Clinician12Disc1Emp1AllocatedProd">calc!$E$1267:$G$1267</definedName>
    <definedName name="calcLOB2Clinician12Disc1Emp1AllowPerc">calc!$E$1240:$G$1240</definedName>
    <definedName name="calcLOB2Clinician12Disc1Emp1BaseProd">calc!$E$1210:$G$1210</definedName>
    <definedName name="calcLOB2Clinician12Disc1Emp1GrossProd">calc!$E$1324:$G$1324</definedName>
    <definedName name="calcLOB2Clinician12Disc1Emp1MissVisits">calc!$E$1410:$G$1410</definedName>
    <definedName name="calcLOB2Clinician12Disc1Emp1ModifiedProd">calc!$E$1297:$G$1297</definedName>
    <definedName name="calcLOB2Clinician12Disc1Emp1NetProd">calc!$E$1438:$G$1438</definedName>
    <definedName name="calcLOB2Clinician12Disc1Emp1OverTIme">calc!$E$1473:$G$1473</definedName>
    <definedName name="calcLOB2Clinician12Disc2AvgMissPerc">calc!$E$1395:$G$1395</definedName>
    <definedName name="calcLOB2Clinician12Disc2BaseMissPerc">calc!$E$1367:$G$1367</definedName>
    <definedName name="calcLOB2Clinician12Disc2Emp1AllocatedProd">calc!$E$1280:$G$1280</definedName>
    <definedName name="calcLOB2Clinician12Disc2Emp1AllowPerc">calc!$E$1253:$G$1253</definedName>
    <definedName name="calcLOB2Clinician12Disc2Emp1BaseProd">calc!$E$1223:$G$1223</definedName>
    <definedName name="calcLOB2Clinician12Disc2Emp1GrossProd">calc!$E$1337:$G$1337</definedName>
    <definedName name="calcLOB2Clinician12Disc2Emp1MissVisits">calc!$E$1423:$G$1423</definedName>
    <definedName name="calcLOB2Clinician12Disc2Emp1ModifiedProd">calc!$E$1309:$G$1309</definedName>
    <definedName name="calcLOB2Clinician12Disc2Emp1NetProd">calc!$E$1451:$G$1451</definedName>
    <definedName name="calcLOB2Clinician12Disc2Emp1OverTIme">calc!$E$1485:$G$1485</definedName>
    <definedName name="calcLOB2Clinician12Emp2AllocatedProd">calc!$E$1531:$G$1531</definedName>
    <definedName name="calcLOB2Clinician12Emp2AllowPerc">calc!$E$1516:$G$1516</definedName>
    <definedName name="calcLOB2Clinician12Emp2AvgMissPerc">calc!$E$1594:$G$1594</definedName>
    <definedName name="calcLOB2Clinician12Emp2BaseMissPerc">calc!$E$1579:$G$1579</definedName>
    <definedName name="calcLOB2Clinician12Emp2BaseProd">calc!$E$1499:$G$1499</definedName>
    <definedName name="calcLOB2Clinician12Emp2GrossProd">calc!$E$1562:$G$1562</definedName>
    <definedName name="calcLOB2Clinician12Emp2MissVisits">calc!$E$1609:$G$1609</definedName>
    <definedName name="calcLOB2Clinician12Emp2ModifiedProd">calc!$E$1548:$G$1548</definedName>
    <definedName name="calcLOB2Clinician12Emp2NetProd">calc!$E$1624:$G$1624</definedName>
    <definedName name="calcLOB2Clinician12Emp2OverTIme">calc!$E$1641:$G$1641</definedName>
    <definedName name="calcLOB2Clinician12Emp3AllocatedProd">calc!$E$1687:$G$1687</definedName>
    <definedName name="calcLOB2Clinician12Emp3AllowPerc">calc!$E$1672:$G$1672</definedName>
    <definedName name="calcLOB2Clinician12Emp3AvgMissPerc">calc!$E$1750:$G$1750</definedName>
    <definedName name="calcLOB2Clinician12Emp3BaseMissPerc">calc!$E$1735:$G$1735</definedName>
    <definedName name="calcLOB2Clinician12Emp3BaseProd">calc!$E$1655:$G$1655</definedName>
    <definedName name="calcLOB2Clinician12Emp3GrossProd">calc!$E$1718:$G$1718</definedName>
    <definedName name="calcLOB2Clinician12Emp3MissVisits">calc!$E$1765:$G$1765</definedName>
    <definedName name="calcLOB2Clinician12Emp3ModifiedProd">calc!$E$1704:$G$1704</definedName>
    <definedName name="calcLOB2Clinician12Emp3NetProd">calc!$E$1780:$G$1780</definedName>
    <definedName name="calcLOB2Clinician12Emp3OverTIme">calc!$E$1797:$G$1797</definedName>
    <definedName name="calcLOB2Clinician12GrossProd">calc!$E$1855:$G$1855</definedName>
    <definedName name="calcLOB2Clinician12LookupValue">calc!$E$1979:$G$1979</definedName>
    <definedName name="calcLOB2Clinician12MissVisits">calc!$E$1871:$G$1871</definedName>
    <definedName name="calcLOB2Clinician12NetVisits">calc!$E$1905:$G$1905</definedName>
    <definedName name="calcLOB2Clinician12OverTime">calc!$E$1921:$G$1921</definedName>
    <definedName name="calcLOB2Clinician13Disc1AvgMissPerc">calc!$E$1383:$G$1383</definedName>
    <definedName name="calcLOB2Clinician13Disc1BaseMissPerc">calc!$E$1355:$G$1355</definedName>
    <definedName name="calcLOB2Clinician13Disc1Emp1AllocatedProd">calc!$E$1268:$G$1268</definedName>
    <definedName name="calcLOB2Clinician13Disc1Emp1AllowPerc">calc!$E$1241:$G$1241</definedName>
    <definedName name="calcLOB2Clinician13Disc1Emp1BaseProd">calc!$E$1211:$G$1211</definedName>
    <definedName name="calcLOB2Clinician13Disc1Emp1GrossProd">calc!$E$1325:$G$1325</definedName>
    <definedName name="calcLOB2Clinician13Disc1Emp1MissVisits">calc!$E$1411:$G$1411</definedName>
    <definedName name="calcLOB2Clinician13Disc1Emp1NetProd">calc!$E$1439:$G$1439</definedName>
    <definedName name="calcLOB2Clinician14Disc2AvgMissPerc">calc!$E$1396:$G$1396</definedName>
    <definedName name="calcLOB2Clinician14Disc2BaseMissPerc">calc!$E$1368:$G$1368</definedName>
    <definedName name="calcLOB2Clinician14Disc2Emp1AllocatedProd">calc!$E$1281:$G$1281</definedName>
    <definedName name="calcLOB2Clinician14Disc2Emp1AllowPerc">calc!$E$1254:$G$1254</definedName>
    <definedName name="calcLOB2Clinician14Disc2Emp1BaseProd">calc!$E$1224:$G$1224</definedName>
    <definedName name="calcLOB2Clinician14Disc2Emp1GrossProd">calc!$E$1338:$G$1338</definedName>
    <definedName name="calcLOB2Clinician14Disc2Emp1MissVisits">calc!$E$1424:$G$1424</definedName>
    <definedName name="calcLOB2Clinician14Disc2Emp1NetProd">calc!$E$1452:$G$1452</definedName>
    <definedName name="calcLOB2Clinician15Emp3AllocatedProd">calc!$E$1688:$G$1688</definedName>
    <definedName name="calcLOB2Clinician15Emp3AllowPerc">calc!$E$1673:$G$1673</definedName>
    <definedName name="calcLOB2Clinician15Emp3AvgMissPerc">calc!$E$1751:$G$1751</definedName>
    <definedName name="calcLOB2Clinician15Emp3BaseProd">calc!$E$1656:$G$1656</definedName>
    <definedName name="calcLOB2Clinician15Emp3GrossProd">calc!$E$1719:$G$1719</definedName>
    <definedName name="calcLOB2Clinician15Emp3MissVisits">calc!$E$1766:$G$1766</definedName>
    <definedName name="calcLOB2Clinician15Emp3NetProd">calc!$E$1781:$G$1781</definedName>
    <definedName name="calcLOB2Clinician16Emp2AllocatedProd">calc!$E$1532:$G$1532</definedName>
    <definedName name="calcLOB2Clinician16Emp2AllowPerc">calc!$E$1517:$G$1517</definedName>
    <definedName name="calcLOB2Clinician16Emp2AvgMissPerc">calc!$E$1595:$G$1595</definedName>
    <definedName name="calcLOB2Clinician16Emp2BaseMissPerc">calc!$E$1580:$G$1580</definedName>
    <definedName name="calcLOB2Clinician16Emp2BaseProd">calc!$E$1500:$G$1500</definedName>
    <definedName name="calcLOB2Clinician16Emp2GrossProd">calc!$E$1563:$G$1563</definedName>
    <definedName name="calcLOB2Clinician16Emp2MissVisits">calc!$E$1610:$G$1610</definedName>
    <definedName name="calcLOB2Clinician16Emp2NetProd">calc!$E$1625:$G$1625</definedName>
    <definedName name="calcLOB2Clinician16Emp3BaseMissPerc">calc!$E$1736:$G$1736</definedName>
    <definedName name="calcLOB2Clinician1AllocatedProd">calc!$E$1814:$G$1814</definedName>
    <definedName name="calcLOB2Clinician1AvgMissPerc">calc!$E$1877:$G$1877</definedName>
    <definedName name="calcLOB2Clinician1BaseNetProd">calc!$E$1830:$G$1830</definedName>
    <definedName name="calcLOB2Clinician1BaseProd">calc!$E$1800:$G$1800</definedName>
    <definedName name="calcLOB2Clinician1Disc1AvgMissPerc">calc!$E$1371:$G$1371</definedName>
    <definedName name="calcLOB2Clinician1Disc1BaseMissPerc">calc!$E$1343:$G$1343</definedName>
    <definedName name="calcLOB2Clinician1Disc1Emp1AllocatedProd">calc!$E$1256:$G$1256</definedName>
    <definedName name="calcLOB2Clinician1Disc1Emp1AllowPerc">calc!$E$1229:$G$1229</definedName>
    <definedName name="calcLOB2Clinician1Disc1Emp1BaseProd">calc!$E$1199:$G$1199</definedName>
    <definedName name="calcLOB2Clinician1Disc1Emp1GrossProd">calc!$E$1313:$G$1313</definedName>
    <definedName name="calcLOB2Clinician1Disc1Emp1MissVisits">calc!$E$1399:$G$1399</definedName>
    <definedName name="calcLOB2Clinician1Disc1Emp1ModifiedProd">calc!$E$1286:$G$1286</definedName>
    <definedName name="calcLOB2Clinician1Disc1Emp1NetProd">calc!$E$1427:$G$1427</definedName>
    <definedName name="calcLOB2Clinician1Disc1Emp1OverTIme">calc!$E$1462:$G$1462</definedName>
    <definedName name="calcLOB2Clinician1Disc2AvgMissPerc">calc!$E$1384:$G$1384</definedName>
    <definedName name="calcLOB2Clinician1Disc2BaseMissPerc">calc!$E$1356:$G$1356</definedName>
    <definedName name="calcLOB2Clinician1Disc2Emp1AllocatedProd">calc!$E$1269:$G$1269</definedName>
    <definedName name="calcLOB2Clinician1Disc2Emp1AllowPerc">calc!$E$1242:$G$1242</definedName>
    <definedName name="calcLOB2Clinician1Disc2Emp1BaseProd">calc!$E$1212:$G$1212</definedName>
    <definedName name="calcLOB2Clinician1Disc2Emp1GrossProd">calc!$E$1326:$G$1326</definedName>
    <definedName name="calcLOB2Clinician1Disc2Emp1MissVisits">calc!$E$1412:$G$1412</definedName>
    <definedName name="calcLOB2Clinician1Disc2Emp1ModifiedProd">calc!$E$1298:$G$1298</definedName>
    <definedName name="calcLOB2Clinician1Disc2Emp1NetProd">calc!$E$1440:$G$1440</definedName>
    <definedName name="calcLOB2Clinician1Disc2Emp1OverTIme">calc!$E$1474:$G$1474</definedName>
    <definedName name="calcLOB2Clinician1Emp2AllocatedProd">calc!$E$1520:$G$1520</definedName>
    <definedName name="calcLOB2Clinician1Emp2AllowPerc">calc!$E$1505:$G$1505</definedName>
    <definedName name="calcLOB2Clinician1Emp2AvgMissPerc">calc!$E$1583:$G$1583</definedName>
    <definedName name="calcLOB2Clinician1Emp2BaseMissPerc">calc!$E$1568:$G$1568</definedName>
    <definedName name="calcLOB2Clinician1Emp2BaseProd">calc!$E$1488:$G$1488</definedName>
    <definedName name="calcLOB2Clinician1Emp2GrossProd">calc!$E$1551:$G$1551</definedName>
    <definedName name="calcLOB2Clinician1Emp2MissVisits">calc!$E$1598:$G$1598</definedName>
    <definedName name="calcLOB2Clinician1Emp2ModifiedProd">calc!$E$1537:$G$1537</definedName>
    <definedName name="calcLOB2Clinician1Emp2NetProd">calc!$E$1613:$G$1613</definedName>
    <definedName name="calcLOB2Clinician1Emp2OverTIme">calc!$E$1630:$G$1630</definedName>
    <definedName name="calcLOB2Clinician1Emp3AllocatedProd">calc!$E$1676:$G$1676</definedName>
    <definedName name="calcLOB2Clinician1Emp3AllowPerc">calc!$E$1661:$G$1661</definedName>
    <definedName name="calcLOB2Clinician1Emp3AvgMissPerc">calc!$E$1739:$G$1739</definedName>
    <definedName name="calcLOB2Clinician1Emp3BaseMissPerc">calc!$E$1724:$G$1724</definedName>
    <definedName name="calcLOB2Clinician1Emp3BaseProd">calc!$E$1644:$G$1644</definedName>
    <definedName name="calcLOB2Clinician1Emp3GrossProd">calc!$E$1707:$G$1707</definedName>
    <definedName name="calcLOB2Clinician1Emp3MissVisits">calc!$E$1754:$G$1754</definedName>
    <definedName name="calcLOB2Clinician1Emp3ModifiedProd">calc!$E$1693:$G$1693</definedName>
    <definedName name="calcLOB2Clinician1Emp3NetProd">calc!$E$1769:$G$1769</definedName>
    <definedName name="calcLOB2Clinician1Emp3OverTIme">calc!$E$1786:$G$1786</definedName>
    <definedName name="calcLOB2Clinician1GrossProd">calc!$E$1844:$G$1844</definedName>
    <definedName name="calcLOB2Clinician1MissVisits">calc!$E$1860:$G$1860</definedName>
    <definedName name="calcLOB2Clinician1NetVisits">calc!$E$1894:$G$1894</definedName>
    <definedName name="calcLOB2Clinician1OverTime">calc!$E$1910:$G$1910</definedName>
    <definedName name="calcLOB2Clinician2AllocatedProd">calc!$E$1815:$G$1815</definedName>
    <definedName name="calcLOB2Clinician2AvgMissPerc">calc!$E$1878:$G$1878</definedName>
    <definedName name="calcLOB2Clinician2BaseNetProd">calc!$E$1831:$G$1831</definedName>
    <definedName name="calcLOB2Clinician2BaseProd">calc!$E$1801:$G$1801</definedName>
    <definedName name="calcLOB2Clinician2Disc1AvgMissPerc">calc!$E$1372:$G$1372</definedName>
    <definedName name="calcLOB2Clinician2Disc1BaseMissPerc">calc!$E$1344:$G$1344</definedName>
    <definedName name="calcLOB2Clinician2Disc1Emp1AllocatedProd">calc!$E$1257:$G$1257</definedName>
    <definedName name="calcLOB2Clinician2Disc1Emp1AllowPerc">calc!$E$1230:$G$1230</definedName>
    <definedName name="calcLOB2Clinician2Disc1Emp1BaseProd">calc!$E$1200:$G$1200</definedName>
    <definedName name="calcLOB2Clinician2Disc1Emp1GrossProd">calc!$E$1314:$G$1314</definedName>
    <definedName name="calcLOB2Clinician2Disc1Emp1MissVisits">calc!$E$1400:$G$1400</definedName>
    <definedName name="calcLOB2Clinician2Disc1Emp1ModifiedProd">calc!$E$1287:$G$1287</definedName>
    <definedName name="calcLOB2Clinician2Disc1Emp1NetProd">calc!$E$1428:$G$1428</definedName>
    <definedName name="calcLOB2Clinician2Disc1Emp1OverTIme">calc!$E$1463:$G$1463</definedName>
    <definedName name="calcLOB2Clinician2Disc2AvgMissPerc">calc!$E$1385:$G$1385</definedName>
    <definedName name="calcLOB2Clinician2Disc2BaseMissPerc">calc!$E$1357:$G$1357</definedName>
    <definedName name="calcLOB2Clinician2Disc2Emp1AllocatedProd">calc!$E$1270:$G$1270</definedName>
    <definedName name="calcLOB2Clinician2Disc2Emp1AllowPerc">calc!$E$1243:$G$1243</definedName>
    <definedName name="calcLOB2Clinician2Disc2Emp1BaseProd">calc!$E$1213:$G$1213</definedName>
    <definedName name="calcLOB2Clinician2Disc2Emp1GrossProd">calc!$E$1327:$G$1327</definedName>
    <definedName name="calcLOB2Clinician2Disc2Emp1MissVisits">calc!$E$1413:$G$1413</definedName>
    <definedName name="calcLOB2Clinician2Disc2Emp1ModifiedProd">calc!$E$1299:$G$1299</definedName>
    <definedName name="calcLOB2Clinician2Disc2Emp1NetProd">calc!$E$1441:$G$1441</definedName>
    <definedName name="calcLOB2Clinician2Disc2Emp1OverTIme">calc!$E$1475:$G$1475</definedName>
    <definedName name="calcLOB2Clinician2Emp2AllocatedProd">calc!$E$1521:$G$1521</definedName>
    <definedName name="calcLOB2Clinician2Emp2AllowPerc">calc!$E$1506:$G$1506</definedName>
    <definedName name="calcLOB2Clinician2Emp2AvgMissPerc">calc!$E$1584:$G$1584</definedName>
    <definedName name="calcLOB2Clinician2Emp2BaseMissPerc">calc!$E$1569:$G$1569</definedName>
    <definedName name="calcLOB2Clinician2Emp2BaseProd">calc!$E$1489:$G$1489</definedName>
    <definedName name="calcLOB2Clinician2Emp2GrossProd">calc!$E$1552:$G$1552</definedName>
    <definedName name="calcLOB2Clinician2Emp2MissVisits">calc!$E$1599:$G$1599</definedName>
    <definedName name="calcLOB2Clinician2Emp2ModifiedProd">calc!$E$1538:$G$1538</definedName>
    <definedName name="calcLOB2Clinician2Emp2NetProd">calc!$E$1614:$G$1614</definedName>
    <definedName name="calcLOB2Clinician2Emp2OverTIme">calc!$E$1631:$G$1631</definedName>
    <definedName name="calcLOB2Clinician2Emp3AllocatedProd">calc!$E$1677:$G$1677</definedName>
    <definedName name="calcLOB2Clinician2Emp3AllowPerc">calc!$E$1662:$G$1662</definedName>
    <definedName name="calcLOB2Clinician2Emp3AvgMissPerc">calc!$E$1740:$G$1740</definedName>
    <definedName name="calcLOB2Clinician2Emp3BaseMissPerc">calc!$E$1725:$G$1725</definedName>
    <definedName name="calcLOB2Clinician2Emp3BaseProd">calc!$E$1645:$G$1645</definedName>
    <definedName name="calcLOB2Clinician2Emp3GrossProd">calc!$E$1708:$G$1708</definedName>
    <definedName name="calcLOB2Clinician2Emp3MissVisits">calc!$E$1755:$G$1755</definedName>
    <definedName name="calcLOB2Clinician2Emp3ModifiedProd">calc!$E$1694:$G$1694</definedName>
    <definedName name="calcLOB2Clinician2Emp3NetProd">calc!$E$1770:$G$1770</definedName>
    <definedName name="calcLOB2Clinician2Emp3OverTIme">calc!$E$1787:$G$1787</definedName>
    <definedName name="calcLOB2Clinician2GrossProd">calc!$E$1845:$G$1845</definedName>
    <definedName name="calcLOB2Clinician2MissVisits">calc!$E$1861:$G$1861</definedName>
    <definedName name="calcLOB2Clinician2NetVisits">calc!$E$1895:$G$1895</definedName>
    <definedName name="calcLOB2Clinician2OverTime">calc!$E$1911:$G$1911</definedName>
    <definedName name="calcLOB2Clinician3AllocatedProd">calc!$E$1816:$G$1816</definedName>
    <definedName name="calcLOB2Clinician3AvgMissPerc">calc!$E$1879:$G$1879</definedName>
    <definedName name="calcLOB2Clinician3BaseNetProd">calc!$E$1832:$G$1832</definedName>
    <definedName name="calcLOB2Clinician3BaseProd">calc!$E$1802:$G$1802</definedName>
    <definedName name="calcLOB2Clinician3Disc1AvgMissPerc">calc!$E$1373:$G$1373</definedName>
    <definedName name="calcLOB2Clinician3Disc1BaseMissPerc">calc!$E$1345:$G$1345</definedName>
    <definedName name="calcLOB2Clinician3Disc1Emp1AllocatedProd">calc!$E$1258:$G$1258</definedName>
    <definedName name="calcLOB2Clinician3Disc1Emp1AllowPerc">calc!$E$1231:$G$1231</definedName>
    <definedName name="calcLOB2Clinician3Disc1Emp1BaseProd">calc!$E$1201:$G$1201</definedName>
    <definedName name="calcLOB2Clinician3Disc1Emp1GrossProd">calc!$E$1315:$G$1315</definedName>
    <definedName name="calcLOB2Clinician3Disc1Emp1MissVisits">calc!$E$1401:$G$1401</definedName>
    <definedName name="calcLOB2Clinician3Disc1Emp1ModifiedProd">calc!$E$1288:$G$1288</definedName>
    <definedName name="calcLOB2Clinician3Disc1Emp1NetProd">calc!$E$1429:$G$1429</definedName>
    <definedName name="calcLOB2Clinician3Disc1Emp1OverTIme">calc!$E$1464:$G$1464</definedName>
    <definedName name="calcLOB2Clinician3Disc2AvgMissPerc">calc!$E$1386:$G$1386</definedName>
    <definedName name="calcLOB2Clinician3Disc2BaseMissPerc">calc!$E$1358:$G$1358</definedName>
    <definedName name="calcLOB2Clinician3Disc2Emp1AllocatedProd">calc!$E$1271:$G$1271</definedName>
    <definedName name="calcLOB2Clinician3Disc2Emp1AllowPerc">calc!$E$1244:$G$1244</definedName>
    <definedName name="calcLOB2Clinician3Disc2Emp1BaseProd">calc!$E$1214:$G$1214</definedName>
    <definedName name="calcLOB2Clinician3Disc2Emp1GrossProd">calc!$E$1328:$G$1328</definedName>
    <definedName name="calcLOB2Clinician3Disc2Emp1MissVisits">calc!$E$1414:$G$1414</definedName>
    <definedName name="calcLOB2Clinician3Disc2Emp1ModifiedProd">calc!$E$1300:$G$1300</definedName>
    <definedName name="calcLOB2Clinician3Disc2Emp1NetProd">calc!$E$1442:$G$1442</definedName>
    <definedName name="calcLOB2Clinician3Disc2Emp1OverTIme">calc!$E$1476:$G$1476</definedName>
    <definedName name="calcLOB2Clinician3Emp2AllocatedProd">calc!$E$1522:$G$1522</definedName>
    <definedName name="calcLOB2Clinician3Emp2AllowPerc">calc!$E$1507:$G$1507</definedName>
    <definedName name="calcLOB2Clinician3Emp2AvgMissPerc">calc!$E$1585:$G$1585</definedName>
    <definedName name="calcLOB2Clinician3Emp2BaseMissPerc">calc!$E$1570:$G$1570</definedName>
    <definedName name="calcLOB2Clinician3Emp2BaseProd">calc!$E$1490:$G$1490</definedName>
    <definedName name="calcLOB2Clinician3Emp2GrossProd">calc!$E$1553:$G$1553</definedName>
    <definedName name="calcLOB2Clinician3Emp2MissVisits">calc!$E$1600:$G$1600</definedName>
    <definedName name="calcLOB2Clinician3Emp2ModifiedProd">calc!$E$1539:$G$1539</definedName>
    <definedName name="calcLOB2Clinician3Emp2NetProd">calc!$E$1615:$G$1615</definedName>
    <definedName name="calcLOB2Clinician3Emp2OverTIme">calc!$E$1632:$G$1632</definedName>
    <definedName name="calcLOB2Clinician3Emp3AllocatedProd">calc!$E$1678:$G$1678</definedName>
    <definedName name="calcLOB2Clinician3Emp3AllowPerc">calc!$E$1663:$G$1663</definedName>
    <definedName name="calcLOB2Clinician3Emp3AvgMissPerc">calc!$E$1741:$G$1741</definedName>
    <definedName name="calcLOB2Clinician3Emp3BaseMissPerc">calc!$E$1726:$G$1726</definedName>
    <definedName name="calcLOB2Clinician3Emp3BaseProd">calc!$E$1646:$G$1646</definedName>
    <definedName name="calcLOB2Clinician3Emp3GrossProd">calc!$E$1709:$G$1709</definedName>
    <definedName name="calcLOB2Clinician3Emp3MissVisits">calc!$E$1756:$G$1756</definedName>
    <definedName name="calcLOB2Clinician3Emp3ModifiedProd">calc!$E$1695:$G$1695</definedName>
    <definedName name="calcLOB2Clinician3Emp3NetProd">calc!$E$1771:$G$1771</definedName>
    <definedName name="calcLOB2Clinician3Emp3OverTIme">calc!$E$1788:$G$1788</definedName>
    <definedName name="calcLOB2Clinician3GrossProd">calc!$E$1846:$G$1846</definedName>
    <definedName name="calcLOB2Clinician3MissVisits">calc!$E$1862:$G$1862</definedName>
    <definedName name="calcLOB2Clinician3NetVisits">calc!$E$1896:$G$1896</definedName>
    <definedName name="calcLOB2Clinician3OverTime">calc!$E$1912:$G$1912</definedName>
    <definedName name="calcLOB2Clinician4AllocatedProd">calc!$E$1817:$G$1817</definedName>
    <definedName name="calcLOB2Clinician4AvgMissPerc">calc!$E$1880:$G$1880</definedName>
    <definedName name="calcLOB2Clinician4BaseNetProd">calc!$E$1833:$G$1833</definedName>
    <definedName name="calcLOB2Clinician4BaseProd">calc!$E$1803:$G$1803</definedName>
    <definedName name="calcLOB2Clinician4Disc1AvgMissPerc">calc!$E$1374:$G$1374</definedName>
    <definedName name="calcLOB2Clinician4Disc1BaseMissPerc">calc!$E$1346:$G$1346</definedName>
    <definedName name="calcLOB2Clinician4Disc1Emp1AllocatedProd">calc!$E$1259:$G$1259</definedName>
    <definedName name="calcLOB2Clinician4Disc1Emp1AllowPerc">calc!$E$1232:$G$1232</definedName>
    <definedName name="calcLOB2Clinician4Disc1Emp1BaseProd">calc!$E$1202:$G$1202</definedName>
    <definedName name="calcLOB2Clinician4Disc1Emp1GrossProd">calc!$E$1316:$G$1316</definedName>
    <definedName name="calcLOB2Clinician4Disc1Emp1MissVisits">calc!$E$1402:$G$1402</definedName>
    <definedName name="calcLOB2Clinician4Disc1Emp1ModifiedProd">calc!$E$1289:$G$1289</definedName>
    <definedName name="calcLOB2Clinician4Disc1Emp1NetProd">calc!$E$1430:$G$1430</definedName>
    <definedName name="calcLOB2Clinician4Disc1Emp1OverTIme">calc!$E$1465:$G$1465</definedName>
    <definedName name="calcLOB2Clinician4Disc2AvgMissPerc">calc!$E$1387:$G$1387</definedName>
    <definedName name="calcLOB2Clinician4Disc2BaseMissPerc">calc!$E$1359:$G$1359</definedName>
    <definedName name="calcLOB2Clinician4Disc2Emp1AllocatedProd">calc!$E$1272:$G$1272</definedName>
    <definedName name="calcLOB2Clinician4Disc2Emp1AllowPerc">calc!$E$1245:$G$1245</definedName>
    <definedName name="calcLOB2Clinician4Disc2Emp1BaseProd">calc!$E$1215:$G$1215</definedName>
    <definedName name="calcLOB2Clinician4Disc2Emp1GrossProd">calc!$E$1329:$G$1329</definedName>
    <definedName name="calcLOB2Clinician4Disc2Emp1MissVisits">calc!$E$1415:$G$1415</definedName>
    <definedName name="calcLOB2Clinician4Disc2Emp1ModifiedProd">calc!$E$1301:$G$1301</definedName>
    <definedName name="calcLOB2Clinician4Disc2Emp1NetProd">calc!$E$1443:$G$1443</definedName>
    <definedName name="calcLOB2Clinician4Disc2Emp1OverTIme">calc!$E$1477:$G$1477</definedName>
    <definedName name="calcLOB2Clinician4Emp2AllocatedProd">calc!$E$1523:$G$1523</definedName>
    <definedName name="calcLOB2Clinician4Emp2AllowPerc">calc!$E$1508:$G$1508</definedName>
    <definedName name="calcLOB2Clinician4Emp2AvgMissPerc">calc!$E$1586:$G$1586</definedName>
    <definedName name="calcLOB2Clinician4Emp2BaseMissPerc">calc!$E$1571:$G$1571</definedName>
    <definedName name="calcLOB2Clinician4Emp2BaseProd">calc!$E$1491:$G$1491</definedName>
    <definedName name="calcLOB2Clinician4Emp2GrossProd">calc!$E$1554:$G$1554</definedName>
    <definedName name="calcLOB2Clinician4Emp2MissVisits">calc!$E$1601:$G$1601</definedName>
    <definedName name="calcLOB2Clinician4Emp2ModifiedProd">calc!$E$1540:$G$1540</definedName>
    <definedName name="calcLOB2Clinician4Emp2NetProd">calc!$E$1616:$G$1616</definedName>
    <definedName name="calcLOB2Clinician4Emp2OverTIme">calc!$E$1633:$G$1633</definedName>
    <definedName name="calcLOB2Clinician4Emp3AllocatedProd">calc!$E$1679:$G$1679</definedName>
    <definedName name="calcLOB2Clinician4Emp3AllowPerc">calc!$E$1664:$G$1664</definedName>
    <definedName name="calcLOB2Clinician4Emp3AvgMissPerc">calc!$E$1742:$G$1742</definedName>
    <definedName name="calcLOB2Clinician4Emp3BaseMissPerc">calc!$E$1727:$G$1727</definedName>
    <definedName name="calcLOB2Clinician4Emp3BaseProd">calc!$E$1647:$G$1647</definedName>
    <definedName name="calcLOB2Clinician4Emp3GrossProd">calc!$E$1710:$G$1710</definedName>
    <definedName name="calcLOB2Clinician4Emp3MissVisits">calc!$E$1757:$G$1757</definedName>
    <definedName name="calcLOB2Clinician4Emp3ModifiedProd">calc!$E$1696:$G$1696</definedName>
    <definedName name="calcLOB2Clinician4Emp3NetProd">calc!$E$1772:$G$1772</definedName>
    <definedName name="calcLOB2Clinician4Emp3OverTIme">calc!$E$1789:$G$1789</definedName>
    <definedName name="calcLOB2Clinician4GrossProd">calc!$E$1847:$G$1847</definedName>
    <definedName name="calcLOB2Clinician4MissVisits">calc!$E$1863:$G$1863</definedName>
    <definedName name="calcLOB2Clinician4NetVisits">calc!$E$1897:$G$1897</definedName>
    <definedName name="calcLOB2Clinician4OverTime">calc!$E$1913:$G$1913</definedName>
    <definedName name="calcLOB2Clinician5AllocatedProd">calc!$E$1818:$G$1818</definedName>
    <definedName name="calcLOB2Clinician5AvgMissPerc">calc!$E$1881:$G$1881</definedName>
    <definedName name="calcLOB2Clinician5BaseNetProd">calc!$E$1834:$G$1834</definedName>
    <definedName name="calcLOB2Clinician5BaseProd">calc!$E$1804:$G$1804</definedName>
    <definedName name="calcLOB2Clinician5Disc1AvgMissPerc">calc!$E$1375:$G$1375</definedName>
    <definedName name="calcLOB2Clinician5Disc1BaseMissPerc">calc!$E$1347:$G$1347</definedName>
    <definedName name="calcLOB2Clinician5Disc1Emp1AllocatedProd">calc!$E$1260:$G$1260</definedName>
    <definedName name="calcLOB2Clinician5Disc1Emp1AllowPerc">calc!$E$1233:$G$1233</definedName>
    <definedName name="calcLOB2Clinician5Disc1Emp1BaseProd">calc!$E$1203:$G$1203</definedName>
    <definedName name="calcLOB2Clinician5Disc1Emp1GrossProd">calc!$E$1317:$G$1317</definedName>
    <definedName name="calcLOB2Clinician5Disc1Emp1MissVisits">calc!$E$1403:$G$1403</definedName>
    <definedName name="calcLOB2Clinician5Disc1Emp1ModifiedProd">calc!$E$1290:$G$1290</definedName>
    <definedName name="calcLOB2Clinician5Disc1Emp1NetProd">calc!$E$1431:$G$1431</definedName>
    <definedName name="calcLOB2Clinician5Disc1Emp1OverTIme">calc!$E$1466:$G$1466</definedName>
    <definedName name="calcLOB2Clinician5Disc2AvgMissPerc">calc!$E$1388:$G$1388</definedName>
    <definedName name="calcLOB2Clinician5Disc2BaseMissPerc">calc!$E$1360:$G$1360</definedName>
    <definedName name="calcLOB2Clinician5Disc2Emp1AllocatedProd">calc!$E$1273:$G$1273</definedName>
    <definedName name="calcLOB2Clinician5Disc2Emp1AllowPerc">calc!$E$1246:$G$1246</definedName>
    <definedName name="calcLOB2Clinician5Disc2Emp1BaseProd">calc!$E$1216:$G$1216</definedName>
    <definedName name="calcLOB2Clinician5Disc2Emp1GrossProd">calc!$E$1330:$G$1330</definedName>
    <definedName name="calcLOB2Clinician5Disc2Emp1MissVisits">calc!$E$1416:$G$1416</definedName>
    <definedName name="calcLOB2Clinician5Disc2Emp1ModifiedProd">calc!$E$1302:$G$1302</definedName>
    <definedName name="calcLOB2Clinician5Disc2Emp1NetProd">calc!$E$1444:$G$1444</definedName>
    <definedName name="calcLOB2Clinician5Disc2Emp1OverTIme">calc!$E$1478:$G$1478</definedName>
    <definedName name="calcLOB2Clinician5Emp2AllocatedProd">calc!$E$1524:$G$1524</definedName>
    <definedName name="calcLOB2Clinician5Emp2AllowPerc">calc!$E$1509:$G$1509</definedName>
    <definedName name="calcLOB2Clinician5Emp2AvgMissPerc">calc!$E$1587:$G$1587</definedName>
    <definedName name="calcLOB2Clinician5Emp2BaseMissPerc">calc!$E$1572:$G$1572</definedName>
    <definedName name="calcLOB2Clinician5Emp2BaseProd">calc!$E$1492:$G$1492</definedName>
    <definedName name="calcLOB2Clinician5Emp2GrossProd">calc!$E$1555:$G$1555</definedName>
    <definedName name="calcLOB2Clinician5Emp2MissVisits">calc!$E$1602:$G$1602</definedName>
    <definedName name="calcLOB2Clinician5Emp2ModifiedProd">calc!$E$1541:$G$1541</definedName>
    <definedName name="calcLOB2Clinician5Emp2NetProd">calc!$E$1617:$G$1617</definedName>
    <definedName name="calcLOB2Clinician5Emp2OverTIme">calc!$E$1634:$G$1634</definedName>
    <definedName name="calcLOB2Clinician5Emp3AllocatedProd">calc!$E$1680:$G$1680</definedName>
    <definedName name="calcLOB2Clinician5Emp3AllowPerc">calc!$E$1665:$G$1665</definedName>
    <definedName name="calcLOB2Clinician5Emp3AvgMissPerc">calc!$E$1743:$G$1743</definedName>
    <definedName name="calcLOB2Clinician5Emp3BaseMissPerc">calc!$E$1728:$G$1728</definedName>
    <definedName name="calcLOB2Clinician5Emp3BaseProd">calc!$E$1648:$G$1648</definedName>
    <definedName name="calcLOB2Clinician5Emp3GrossProd">calc!$E$1711:$G$1711</definedName>
    <definedName name="calcLOB2Clinician5Emp3MissVisits">calc!$E$1758:$G$1758</definedName>
    <definedName name="calcLOB2Clinician5Emp3ModifiedProd">calc!$E$1697:$G$1697</definedName>
    <definedName name="calcLOB2Clinician5Emp3NetProd">calc!$E$1773:$G$1773</definedName>
    <definedName name="calcLOB2Clinician5Emp3OverTIme">calc!$E$1790:$G$1790</definedName>
    <definedName name="calcLOB2Clinician5GrossProd">calc!$E$1848:$G$1848</definedName>
    <definedName name="calcLOB2Clinician5MissVisits">calc!$E$1864:$G$1864</definedName>
    <definedName name="calcLOB2Clinician5NetVisits">calc!$E$1898:$G$1898</definedName>
    <definedName name="calcLOB2Clinician5OverTime">calc!$E$1914:$G$1914</definedName>
    <definedName name="calcLOB2Clinician6AllocatedProd">calc!$E$1819:$G$1819</definedName>
    <definedName name="calcLOB2Clinician6AvgMissPerc">calc!$E$1882:$G$1882</definedName>
    <definedName name="calcLOB2Clinician6BaseNetProd">calc!$E$1835:$G$1835</definedName>
    <definedName name="calcLOB2Clinician6BaseProd">calc!$E$1805:$G$1805</definedName>
    <definedName name="calcLOB2Clinician6Disc1AvgMissPerc">calc!$E$1376:$G$1376</definedName>
    <definedName name="calcLOB2Clinician6Disc1BaseMissPerc">calc!$E$1348:$G$1348</definedName>
    <definedName name="calcLOB2Clinician6Disc1Emp1AllocatedProd">calc!$E$1261:$G$1261</definedName>
    <definedName name="calcLOB2Clinician6Disc1Emp1AllowPerc">calc!$E$1234:$G$1234</definedName>
    <definedName name="calcLOB2Clinician6Disc1Emp1BaseProd">calc!$E$1204:$G$1204</definedName>
    <definedName name="calcLOB2Clinician6Disc1Emp1GrossProd">calc!$E$1318:$G$1318</definedName>
    <definedName name="calcLOB2Clinician6Disc1Emp1MissVisits">calc!$E$1404:$G$1404</definedName>
    <definedName name="calcLOB2Clinician6Disc1Emp1ModifiedProd">calc!$E$1291:$G$1291</definedName>
    <definedName name="calcLOB2Clinician6Disc1Emp1NetProd">calc!$E$1432:$G$1432</definedName>
    <definedName name="calcLOB2Clinician6Disc1Emp1OverTIme">calc!$E$1467:$G$1467</definedName>
    <definedName name="calcLOB2Clinician6Disc2AvgMissPerc">calc!$E$1389:$G$1389</definedName>
    <definedName name="calcLOB2Clinician6Disc2BaseMissPerc">calc!$E$1361:$G$1361</definedName>
    <definedName name="calcLOB2Clinician6Disc2Emp1AllocatedProd">calc!$E$1274:$G$1274</definedName>
    <definedName name="calcLOB2Clinician6Disc2Emp1AllowPerc">calc!$E$1247:$G$1247</definedName>
    <definedName name="calcLOB2Clinician6Disc2Emp1BaseProd">calc!$E$1217:$G$1217</definedName>
    <definedName name="calcLOB2Clinician6Disc2Emp1GrossProd">calc!$E$1331:$G$1331</definedName>
    <definedName name="calcLOB2Clinician6Disc2Emp1MissVisits">calc!$E$1417:$G$1417</definedName>
    <definedName name="calcLOB2Clinician6Disc2Emp1ModifiedProd">calc!$E$1303:$G$1303</definedName>
    <definedName name="calcLOB2Clinician6Disc2Emp1NetProd">calc!$E$1445:$G$1445</definedName>
    <definedName name="calcLOB2Clinician6Disc2Emp1OverTIme">calc!$E$1479:$G$1479</definedName>
    <definedName name="calcLOB2Clinician6Emp2AllocatedProd">calc!$E$1525:$G$1525</definedName>
    <definedName name="calcLOB2Clinician6Emp2AllowPerc">calc!$E$1510:$G$1510</definedName>
    <definedName name="calcLOB2Clinician6Emp2AvgMissPerc">calc!$E$1588:$G$1588</definedName>
    <definedName name="calcLOB2Clinician6Emp2BaseMissPerc">calc!$E$1573:$G$1573</definedName>
    <definedName name="calcLOB2Clinician6Emp2BaseProd">calc!$E$1493:$G$1493</definedName>
    <definedName name="calcLOB2Clinician6Emp2GrossProd">calc!$E$1556:$G$1556</definedName>
    <definedName name="calcLOB2Clinician6Emp2MissVisits">calc!$E$1603:$G$1603</definedName>
    <definedName name="calcLOB2Clinician6Emp2ModifiedProd">calc!$E$1542:$G$1542</definedName>
    <definedName name="calcLOB2Clinician6Emp2NetProd">calc!$E$1618:$G$1618</definedName>
    <definedName name="calcLOB2Clinician6Emp2OverTIme">calc!$E$1635:$G$1635</definedName>
    <definedName name="calcLOB2Clinician6Emp3AllocatedProd">calc!$E$1681:$G$1681</definedName>
    <definedName name="calcLOB2Clinician6Emp3AllowPerc">calc!$E$1666:$G$1666</definedName>
    <definedName name="calcLOB2Clinician6Emp3AvgMissPerc">calc!$E$1744:$G$1744</definedName>
    <definedName name="calcLOB2Clinician6Emp3BaseMissPerc">calc!$E$1729:$G$1729</definedName>
    <definedName name="calcLOB2Clinician6Emp3BaseProd">calc!$E$1649:$G$1649</definedName>
    <definedName name="calcLOB2Clinician6Emp3GrossProd">calc!$E$1712:$G$1712</definedName>
    <definedName name="calcLOB2Clinician6Emp3MissVisits">calc!$E$1759:$G$1759</definedName>
    <definedName name="calcLOB2Clinician6Emp3ModifiedProd">calc!$E$1698:$G$1698</definedName>
    <definedName name="calcLOB2Clinician6Emp3NetProd">calc!$E$1774:$G$1774</definedName>
    <definedName name="calcLOB2Clinician6Emp3OverTIme">calc!$E$1791:$G$1791</definedName>
    <definedName name="calcLOB2Clinician6GrossProd">calc!$E$1849:$G$1849</definedName>
    <definedName name="calcLOB2Clinician6MissVisits">calc!$E$1865:$G$1865</definedName>
    <definedName name="calcLOB2Clinician6NetVisits">calc!$E$1899:$G$1899</definedName>
    <definedName name="calcLOB2Clinician6OverTime">calc!$E$1915:$G$1915</definedName>
    <definedName name="calcLOB2Clinician7AllocatedProd">calc!$E$1820:$G$1820</definedName>
    <definedName name="calcLOB2Clinician7AvgMissPerc">calc!$E$1883:$G$1883</definedName>
    <definedName name="calcLOB2Clinician7BaseNetProd">calc!$E$1836:$G$1836</definedName>
    <definedName name="calcLOB2Clinician7BaseProd">calc!$E$1806:$G$1806</definedName>
    <definedName name="calcLOB2Clinician7Disc1AvgMissPerc">calc!$E$1377:$G$1377</definedName>
    <definedName name="calcLOB2Clinician7Disc1BaseMissPerc">calc!$E$1349:$G$1349</definedName>
    <definedName name="calcLOB2Clinician7Disc1Emp1AllocatedProd">calc!$E$1262:$G$1262</definedName>
    <definedName name="calcLOB2Clinician7Disc1Emp1AllowPerc">calc!$E$1235:$G$1235</definedName>
    <definedName name="calcLOB2Clinician7Disc1Emp1BaseProd">calc!$E$1205:$G$1205</definedName>
    <definedName name="calcLOB2Clinician7Disc1Emp1GrossProd">calc!$E$1319:$G$1319</definedName>
    <definedName name="calcLOB2Clinician7Disc1Emp1MissVisits">calc!$E$1405:$G$1405</definedName>
    <definedName name="calcLOB2Clinician7Disc1Emp1ModifiedProd">calc!$E$1292:$G$1292</definedName>
    <definedName name="calcLOB2Clinician7Disc1Emp1NetProd">calc!$E$1433:$G$1433</definedName>
    <definedName name="calcLOB2Clinician7Disc1Emp1OverTIme">calc!$E$1468:$G$1468</definedName>
    <definedName name="calcLOB2Clinician7Disc2AvgMissPerc">calc!$E$1390:$G$1390</definedName>
    <definedName name="calcLOB2Clinician7Disc2BaseMissPerc">calc!$E$1362:$G$1362</definedName>
    <definedName name="calcLOB2Clinician7Disc2Emp1AllocatedProd">calc!$E$1275:$G$1275</definedName>
    <definedName name="calcLOB2Clinician7Disc2Emp1AllowPerc">calc!$E$1248:$G$1248</definedName>
    <definedName name="calcLOB2Clinician7Disc2Emp1BaseProd">calc!$E$1218:$G$1218</definedName>
    <definedName name="calcLOB2Clinician7Disc2Emp1GrossProd">calc!$E$1332:$G$1332</definedName>
    <definedName name="calcLOB2Clinician7Disc2Emp1MissVisits">calc!$E$1418:$G$1418</definedName>
    <definedName name="calcLOB2Clinician7Disc2Emp1ModifiedProd">calc!$E$1304:$G$1304</definedName>
    <definedName name="calcLOB2Clinician7Disc2Emp1NetProd">calc!$E$1446:$G$1446</definedName>
    <definedName name="calcLOB2Clinician7Disc2Emp1OverTIme">calc!$E$1480:$G$1480</definedName>
    <definedName name="calcLOB2Clinician7Emp2AllocatedProd">calc!$E$1526:$G$1526</definedName>
    <definedName name="calcLOB2Clinician7Emp2AllowPerc">calc!$E$1511:$G$1511</definedName>
    <definedName name="calcLOB2Clinician7Emp2AvgMissPerc">calc!$E$1589:$G$1589</definedName>
    <definedName name="calcLOB2Clinician7Emp2BaseMissPerc">calc!$E$1574:$G$1574</definedName>
    <definedName name="calcLOB2Clinician7Emp2BaseProd">calc!$E$1494:$G$1494</definedName>
    <definedName name="calcLOB2Clinician7Emp2GrossProd">calc!$E$1557:$G$1557</definedName>
    <definedName name="calcLOB2Clinician7Emp2MissVisits">calc!$E$1604:$G$1604</definedName>
    <definedName name="calcLOB2Clinician7Emp2ModifiedProd">calc!$E$1543:$G$1543</definedName>
    <definedName name="calcLOB2Clinician7Emp2NetProd">calc!$E$1619:$G$1619</definedName>
    <definedName name="calcLOB2Clinician7Emp2OverTIme">calc!$E$1636:$G$1636</definedName>
    <definedName name="calcLOB2Clinician7Emp3AllocatedProd">calc!$E$1682:$G$1682</definedName>
    <definedName name="calcLOB2Clinician7Emp3AllowPerc">calc!$E$1667:$G$1667</definedName>
    <definedName name="calcLOB2Clinician7Emp3AvgMissPerc">calc!$E$1745:$G$1745</definedName>
    <definedName name="calcLOB2Clinician7Emp3BaseMissPerc">calc!$E$1730:$G$1730</definedName>
    <definedName name="calcLOB2Clinician7Emp3BaseProd">calc!$E$1650:$G$1650</definedName>
    <definedName name="calcLOB2Clinician7Emp3GrossProd">calc!$E$1713:$G$1713</definedName>
    <definedName name="calcLOB2Clinician7Emp3MissVisits">calc!$E$1760:$G$1760</definedName>
    <definedName name="calcLOB2Clinician7Emp3ModifiedProd">calc!$E$1699:$G$1699</definedName>
    <definedName name="calcLOB2Clinician7Emp3NetProd">calc!$E$1775:$G$1775</definedName>
    <definedName name="calcLOB2Clinician7Emp3OverTIme">calc!$E$1792:$G$1792</definedName>
    <definedName name="calcLOB2Clinician7GrossProd">calc!$E$1850:$G$1850</definedName>
    <definedName name="calcLOB2Clinician7MissVisits">calc!$E$1866:$G$1866</definedName>
    <definedName name="calcLOB2Clinician7NetVisits">calc!$E$1900:$G$1900</definedName>
    <definedName name="calcLOB2Clinician7OverTime">calc!$E$1916:$G$1916</definedName>
    <definedName name="calcLOB2Clinician8AllocatedProd">calc!$E$1821:$G$1821</definedName>
    <definedName name="calcLOB2Clinician8AvgMissPerc">calc!$E$1884:$G$1884</definedName>
    <definedName name="calcLOB2Clinician8BaseNetProd">calc!$E$1837:$G$1837</definedName>
    <definedName name="calcLOB2Clinician8BaseProd">calc!$E$1807:$G$1807</definedName>
    <definedName name="calcLOB2Clinician8Disc1AvgMissPerc">calc!$E$1378:$G$1378</definedName>
    <definedName name="calcLOB2Clinician8Disc1BaseMissPerc">calc!$E$1350:$G$1350</definedName>
    <definedName name="calcLOB2Clinician8Disc1Emp1AllocatedProd">calc!$E$1263:$G$1263</definedName>
    <definedName name="calcLOB2Clinician8Disc1Emp1AllowPerc">calc!$E$1236:$G$1236</definedName>
    <definedName name="calcLOB2Clinician8Disc1Emp1BaseProd">calc!$E$1206:$G$1206</definedName>
    <definedName name="calcLOB2Clinician8Disc1Emp1GrossProd">calc!$E$1320:$G$1320</definedName>
    <definedName name="calcLOB2Clinician8Disc1Emp1MissVisits">calc!$E$1406:$G$1406</definedName>
    <definedName name="calcLOB2Clinician8Disc1Emp1ModifiedProd">calc!$E$1293:$G$1293</definedName>
    <definedName name="calcLOB2Clinician8Disc1Emp1NetProd">calc!$E$1434:$G$1434</definedName>
    <definedName name="calcLOB2Clinician8Disc1Emp1OverTIme">calc!$E$1469:$G$1469</definedName>
    <definedName name="calcLOB2Clinician8Disc2AvgMissPerc">calc!$E$1391:$G$1391</definedName>
    <definedName name="calcLOB2Clinician8Disc2BaseMissPerc">calc!$E$1363:$G$1363</definedName>
    <definedName name="calcLOB2Clinician8Disc2Emp1AllocatedProd">calc!$E$1276:$G$1276</definedName>
    <definedName name="calcLOB2Clinician8Disc2Emp1AllowPerc">calc!$E$1249:$G$1249</definedName>
    <definedName name="calcLOB2Clinician8Disc2Emp1BaseProd">calc!$E$1219:$G$1219</definedName>
    <definedName name="calcLOB2Clinician8Disc2Emp1GrossProd">calc!$E$1333:$G$1333</definedName>
    <definedName name="calcLOB2Clinician8Disc2Emp1MissVisits">calc!$E$1419:$G$1419</definedName>
    <definedName name="calcLOB2Clinician8Disc2Emp1ModifiedProd">calc!$E$1305:$G$1305</definedName>
    <definedName name="calcLOB2Clinician8Disc2Emp1NetProd">calc!$E$1447:$G$1447</definedName>
    <definedName name="calcLOB2Clinician8Disc2Emp1OverTIme">calc!$E$1481:$G$1481</definedName>
    <definedName name="calcLOB2Clinician8Emp2AllocatedProd">calc!$E$1527:$G$1527</definedName>
    <definedName name="calcLOB2Clinician8Emp2AllowPerc">calc!$E$1512:$G$1512</definedName>
    <definedName name="calcLOB2Clinician8Emp2AvgMissPerc">calc!$E$1590:$G$1590</definedName>
    <definedName name="calcLOB2Clinician8Emp2BaseMissPerc">calc!$E$1575:$G$1575</definedName>
    <definedName name="calcLOB2Clinician8Emp2BaseProd">calc!$E$1495:$G$1495</definedName>
    <definedName name="calcLOB2Clinician8Emp2GrossProd">calc!$E$1558:$G$1558</definedName>
    <definedName name="calcLOB2Clinician8Emp2MissVisits">calc!$E$1605:$G$1605</definedName>
    <definedName name="calcLOB2Clinician8Emp2ModifiedProd">calc!$E$1544:$G$1544</definedName>
    <definedName name="calcLOB2Clinician8Emp2NetProd">calc!$E$1620:$G$1620</definedName>
    <definedName name="calcLOB2Clinician8Emp2OverTIme">calc!$E$1637:$G$1637</definedName>
    <definedName name="calcLOB2Clinician8Emp3AllocatedProd">calc!$E$1683:$G$1683</definedName>
    <definedName name="calcLOB2Clinician8Emp3AllowPerc">calc!$E$1668:$G$1668</definedName>
    <definedName name="calcLOB2Clinician8Emp3AvgMissPerc">calc!$E$1746:$G$1746</definedName>
    <definedName name="calcLOB2Clinician8Emp3BaseMissPerc">calc!$E$1731:$G$1731</definedName>
    <definedName name="calcLOB2Clinician8Emp3BaseProd">calc!$E$1651:$G$1651</definedName>
    <definedName name="calcLOB2Clinician8Emp3GrossProd">calc!$E$1714:$G$1714</definedName>
    <definedName name="calcLOB2Clinician8Emp3MissVisits">calc!$E$1761:$G$1761</definedName>
    <definedName name="calcLOB2Clinician8Emp3ModifiedProd">calc!$E$1700:$G$1700</definedName>
    <definedName name="calcLOB2Clinician8Emp3NetProd">calc!$E$1776:$G$1776</definedName>
    <definedName name="calcLOB2Clinician8Emp3OverTIme">calc!$E$1793:$G$1793</definedName>
    <definedName name="calcLOB2Clinician8GrossProd">calc!$E$1851:$G$1851</definedName>
    <definedName name="calcLOB2Clinician8MissVisits">calc!$E$1867:$G$1867</definedName>
    <definedName name="calcLOB2Clinician8NetVisits">calc!$E$1901:$G$1901</definedName>
    <definedName name="calcLOB2Clinician8OverTime">calc!$E$1917:$G$1917</definedName>
    <definedName name="calcLOB2Clinician9AllocatedProd">calc!$E$1822:$G$1822</definedName>
    <definedName name="calcLOB2Clinician9AvgMissPerc">calc!$E$1885:$G$1885</definedName>
    <definedName name="calcLOB2Clinician9BaseNetProd">calc!$E$1838:$G$1838</definedName>
    <definedName name="calcLOB2Clinician9BaseProd">calc!$E$1808:$G$1808</definedName>
    <definedName name="calcLOB2Clinician9Disc1AvgMissPerc">calc!$E$1379:$G$1379</definedName>
    <definedName name="calcLOB2Clinician9Disc1BaseMissPerc">calc!$E$1351:$G$1351</definedName>
    <definedName name="calcLOB2Clinician9Disc1Emp1AllocatedProd">calc!$E$1264:$G$1264</definedName>
    <definedName name="calcLOB2Clinician9Disc1Emp1AllowPerc">calc!$E$1237:$G$1237</definedName>
    <definedName name="calcLOB2Clinician9Disc1Emp1BaseProd">calc!$E$1207:$G$1207</definedName>
    <definedName name="calcLOB2Clinician9Disc1Emp1GrossProd">calc!$E$1321:$G$1321</definedName>
    <definedName name="calcLOB2Clinician9Disc1Emp1MissVisits">calc!$E$1407:$G$1407</definedName>
    <definedName name="calcLOB2Clinician9Disc1Emp1ModifiedProd">calc!$E$1294:$G$1294</definedName>
    <definedName name="calcLOB2Clinician9Disc1Emp1NetProd">calc!$E$1435:$G$1435</definedName>
    <definedName name="calcLOB2Clinician9Disc1Emp1OverTIme">calc!$E$1470:$G$1470</definedName>
    <definedName name="calcLOB2Clinician9Disc2AvgMissPerc">calc!$E$1392:$G$1392</definedName>
    <definedName name="calcLOB2Clinician9Disc2BaseMissPerc">calc!$E$1364:$G$1364</definedName>
    <definedName name="calcLOB2Clinician9Disc2Emp1AllocatedProd">calc!$E$1277:$G$1277</definedName>
    <definedName name="calcLOB2Clinician9Disc2Emp1AllowPerc">calc!$E$1250:$G$1250</definedName>
    <definedName name="calcLOB2Clinician9Disc2Emp1BaseProd">calc!$E$1220:$G$1220</definedName>
    <definedName name="calcLOB2Clinician9Disc2Emp1GrossProd">calc!$E$1334:$G$1334</definedName>
    <definedName name="calcLOB2Clinician9Disc2Emp1MissVisits">calc!$E$1420:$G$1420</definedName>
    <definedName name="calcLOB2Clinician9Disc2Emp1ModifiedProd">calc!$E$1306:$G$1306</definedName>
    <definedName name="calcLOB2Clinician9Disc2Emp1NetProd">calc!$E$1448:$G$1448</definedName>
    <definedName name="calcLOB2Clinician9Disc2Emp1OverTIme">calc!$E$1482:$G$1482</definedName>
    <definedName name="calcLOB2Clinician9Emp2AllocatedProd">calc!$E$1528:$G$1528</definedName>
    <definedName name="calcLOB2Clinician9Emp2AllowPerc">calc!$E$1513:$G$1513</definedName>
    <definedName name="calcLOB2Clinician9Emp2AvgMissPerc">calc!$E$1591:$G$1591</definedName>
    <definedName name="calcLOB2Clinician9Emp2BaseMissPerc">calc!$E$1576:$G$1576</definedName>
    <definedName name="calcLOB2Clinician9Emp2BaseProd">calc!$E$1496:$G$1496</definedName>
    <definedName name="calcLOB2Clinician9Emp2GrossProd">calc!$E$1559:$G$1559</definedName>
    <definedName name="calcLOB2Clinician9Emp2MissVisits">calc!$E$1606:$G$1606</definedName>
    <definedName name="calcLOB2Clinician9Emp2ModifiedProd">calc!$E$1545:$G$1545</definedName>
    <definedName name="calcLOB2Clinician9Emp2NetProd">calc!$E$1621:$G$1621</definedName>
    <definedName name="calcLOB2Clinician9Emp2OverTIme">calc!$E$1638:$G$1638</definedName>
    <definedName name="calcLOB2Clinician9Emp3AllocatedProd">calc!$E$1684:$G$1684</definedName>
    <definedName name="calcLOB2Clinician9Emp3AllowPerc">calc!$E$1669:$G$1669</definedName>
    <definedName name="calcLOB2Clinician9Emp3AvgMissPerc">calc!$E$1747:$G$1747</definedName>
    <definedName name="calcLOB2Clinician9Emp3BaseMissPerc">calc!$E$1732:$G$1732</definedName>
    <definedName name="calcLOB2Clinician9Emp3BaseProd">calc!$E$1652:$G$1652</definedName>
    <definedName name="calcLOB2Clinician9Emp3GrossProd">calc!$E$1715:$G$1715</definedName>
    <definedName name="calcLOB2Clinician9Emp3MissVisits">calc!$E$1762:$G$1762</definedName>
    <definedName name="calcLOB2Clinician9Emp3ModifiedProd">calc!$E$1701:$G$1701</definedName>
    <definedName name="calcLOB2Clinician9Emp3NetProd">calc!$E$1777:$G$1777</definedName>
    <definedName name="calcLOB2Clinician9Emp3OverTIme">calc!$E$1794:$G$1794</definedName>
    <definedName name="calcLOB2Clinician9GrossProd">calc!$E$1852:$G$1852</definedName>
    <definedName name="calcLOB2Clinician9MissVisits">calc!$E$1868:$G$1868</definedName>
    <definedName name="calcLOB2Clinician9NetVisits">calc!$E$1902:$G$1902</definedName>
    <definedName name="calcLOB2Clinician9OverTime">calc!$E$1918:$G$1918</definedName>
    <definedName name="calcLOB2ClinicianAllocatedVisits">calc!$E$1827:$G$1827</definedName>
    <definedName name="calcLOB2ClinicianAvgMissPerc">calc!$E$1891:$G$1891</definedName>
    <definedName name="calcLOB2ClinicianGrossProd">calc!$E$1857:$G$1857</definedName>
    <definedName name="calcLOB2ClinicianMissVisits">calc!$E$1873:$G$1873</definedName>
    <definedName name="calcLOB2ClinicianMissVisitsPerc">calc!$E$1874:$G$1874</definedName>
    <definedName name="calcLOB2ClinicianNetVisits">calc!$E$1907:$G$1907</definedName>
    <definedName name="calcLOB2ClinicianOverTime">calc!$E$1923:$G$1923</definedName>
    <definedName name="calcLOB2ClinicianOverTimePerc">calc!$E$1924:$G$1924</definedName>
    <definedName name="calcLOB2ClinicianTotalMissPerc">calc!$E$1890:$G$1890</definedName>
    <definedName name="calcLOB2CSAT">calc!$E$2024:$G$2024</definedName>
    <definedName name="calcLOB2Disc1EmpCount">calc!$E$1959:$G$1959</definedName>
    <definedName name="calcLOB2Disc1Retention">calc!$E$2061:$G$2061</definedName>
    <definedName name="calcLOB2Disc1TotalVisits">calc!$E$1456:$G$1456</definedName>
    <definedName name="calcLOB2Disc1TotalVisitsPerc">calc!$E$1458:$G$1458</definedName>
    <definedName name="calcLOB2Disc2BelowLicsenceVisits">calc!$E$1460:$G$1460</definedName>
    <definedName name="calcLOB2Disc2EmpCount">calc!$E$1960:$G$1960</definedName>
    <definedName name="calcLOB2Disc2Retention">calc!$E$2069:$G$2069</definedName>
    <definedName name="calcLOB2Disc2TotalVisits">calc!$E$1457:$G$1457</definedName>
    <definedName name="calcLOB2Disc2TotalVisitsPerc">calc!$E$1459:$G$1459</definedName>
    <definedName name="calcLOB2Disc3EmpCount">calc!$E$1962:$G$1962</definedName>
    <definedName name="calcLOB2Disc3Retention">calc!$E$2077:$G$2077</definedName>
    <definedName name="calcLOB2Disc4EmpCount">calc!$E$1963:$G$1963</definedName>
    <definedName name="calcLOB2Disc4Retention">calc!$E$2085:$G$2085</definedName>
    <definedName name="calcLOB2DOOActionTime1">calc!$E$1992:$G$1992</definedName>
    <definedName name="calcLOB2DOOActionTime2">calc!$E$1993:$G$1993</definedName>
    <definedName name="calcLOB2DOOActionTime3">calc!$E$1994:$G$1994</definedName>
    <definedName name="calcLOB2DOOActionTime4">calc!$E$1995:$G$1995</definedName>
    <definedName name="calcLOB2DOOActionTime5">calc!$E$1996:$G$1996</definedName>
    <definedName name="calcLOB2DOOActionTime6">calc!$E$1997:$G$1997</definedName>
    <definedName name="calcLOB2DOOBaseTime1">calc!$E$1982:$G$1982</definedName>
    <definedName name="calcLOB2DOOBaseTime2">calc!$E$1983:$G$1983</definedName>
    <definedName name="calcLOB2DOOBaseTime3">calc!$E$1984:$G$1984</definedName>
    <definedName name="calcLOB2DOOBaseTime4">calc!$E$1985:$G$1985</definedName>
    <definedName name="calcLOB2DOOBaseTime5">calc!$E$1986:$G$1986</definedName>
    <definedName name="calcLOB2DOOBaseTime6">calc!$E$1987:$G$1987</definedName>
    <definedName name="calcLOB2DOOPlanTime1">calc!$E$2002:$G$2002</definedName>
    <definedName name="calcLOB2DOOPlanTime2">calc!$E$2003:$G$2003</definedName>
    <definedName name="calcLOB2DOOPlanTime3">calc!$E$2004:$G$2004</definedName>
    <definedName name="calcLOB2DOOPlanTime4">calc!$E$2005:$G$2005</definedName>
    <definedName name="calcLOB2DOOPlanTime5">calc!$E$2006:$G$2006</definedName>
    <definedName name="calcLOB2DOOPlanTime6">calc!$E$2007:$G$2007</definedName>
    <definedName name="calcLOB2DOOStaffModImpact">calc!$E$2013:$G$2013</definedName>
    <definedName name="calcLOB2DOOTotalActionTime">calc!$E$1999:$G$1999</definedName>
    <definedName name="calcLOB2DOOTotalBaseTime">calc!$E$1989:$G$1989</definedName>
    <definedName name="calcLOB2DOOTotalPlanTime">calc!$E$2009:$G$2009</definedName>
    <definedName name="calcLOB2Emp1ActualVisits">calc!$E$1936:$G$1936</definedName>
    <definedName name="calcLOB2Emp1AllocatedProd">calc!$E$1283:$G$1283</definedName>
    <definedName name="calcLOB2Emp1BaseProdCapacity">calc!$E$1226:$G$1226</definedName>
    <definedName name="calcLOB2Emp1Capacity">calc!$E$1169:$G$1169</definedName>
    <definedName name="calcLOB2Emp1Count">calc!$E$1961:$G$1961</definedName>
    <definedName name="calcLOB2Emp1GrossProdCapacity">calc!$E$1340:$G$1340</definedName>
    <definedName name="calcLOB2Emp1NetProduction">calc!$E$1454:$G$1454</definedName>
    <definedName name="calcLOB2Emp1PercNonSalaried">calc!$E$1455:$G$1455</definedName>
    <definedName name="calcLOB2Emp1Visits">calc!$E$1143:$G$1143</definedName>
    <definedName name="calcLOB2Emp1Work">calc!$E$1173:$G$1173</definedName>
    <definedName name="calcLOB2Emp2ActualVisits">calc!$E$1946:$G$1946</definedName>
    <definedName name="calcLOB2Emp2AllocatedProd">calc!$E$1534:$G$1534</definedName>
    <definedName name="calcLOB2Emp2BaseProdCapacity">calc!$E$1502:$G$1502</definedName>
    <definedName name="calcLOB2Emp2Capacity">calc!$E$1179:$G$1179</definedName>
    <definedName name="calcLOB2Emp2GrossProdCapacity">calc!$E$1565:$G$1565</definedName>
    <definedName name="calcLOB2Emp2NetProduction">calc!$E$1627:$G$1627</definedName>
    <definedName name="calcLOB2Emp2Visits">calc!$E$1153:$G$1153</definedName>
    <definedName name="calcLOB2Emp2Work">calc!$E$1183:$G$1183</definedName>
    <definedName name="calcLOB2Emp3ActualVisits">calc!$E$1956:$G$1956</definedName>
    <definedName name="calcLOB2Emp3AllocatedProd">calc!$E$1690:$G$1690</definedName>
    <definedName name="calcLOB2Emp3BaseProdCapacity">calc!$E$1658:$G$1658</definedName>
    <definedName name="calcLOB2Emp3Capacity">calc!$E$1189:$G$1189</definedName>
    <definedName name="calcLOB2Emp3GrossProdCapacity">calc!$E$1721:$G$1721</definedName>
    <definedName name="calcLOB2Emp3NetProduction">calc!$E$1783:$G$1783</definedName>
    <definedName name="calcLOB2Emp3Visits">calc!$E$1163:$G$1163</definedName>
    <definedName name="calcLOB2Emp3Work">calc!$E$1193:$G$1193</definedName>
    <definedName name="calcLOB2ESAT">calc!$E$2034:$G$2034</definedName>
    <definedName name="calcLOB2MeetingCount">calc!$E$2087:$G$2087</definedName>
    <definedName name="calcLOB2Patients">calc!$E$1132:$G$1132</definedName>
    <definedName name="calcLOB2Prod1Seg1Budget">calc!$E$1065:$G$1065</definedName>
    <definedName name="calcLOB2Prod1Seg1BudgetMM">calc!$E$1076:$G$1076</definedName>
    <definedName name="calcLOB2Prod1Seg1Emp1ActualVisits">calc!$E$1929:$G$1929</definedName>
    <definedName name="calcLOB2Prod1Seg1Emp1Visits">calc!$E$1136:$G$1136</definedName>
    <definedName name="calcLOB2Prod1Seg1Emp2ActualVisits">calc!$E$1939:$G$1939</definedName>
    <definedName name="calcLOB2Prod1Seg1Emp2Visits">calc!$E$1146:$G$1146</definedName>
    <definedName name="calcLOB2Prod1Seg1Emp3ActualVisits">calc!$E$1949:$G$1949</definedName>
    <definedName name="calcLOB2Prod1Seg1Emp3Visits">calc!$E$1156:$G$1156</definedName>
    <definedName name="calcLOB2Prod1Seg1Patients">calc!$E$1124:$G$1124</definedName>
    <definedName name="calcLOB2Prod1Seg1RunRate">calc!$E$1042:$G$1042</definedName>
    <definedName name="calcLOB2Prod1Seg1RunRateM1">calc!$E$1088:$G$1088</definedName>
    <definedName name="calcLOB2Prod1Seg1RunRateM2">calc!$E$1100:$G$1100</definedName>
    <definedName name="calcLOB2Prod1Seg1RunRateM3">calc!$E$1112:$G$1112</definedName>
    <definedName name="calcLOB2Prod1Seg1RunRateMM">calc!$E$1053:$G$1053</definedName>
    <definedName name="calcLOB2Prod1Seg2Budget">calc!$E$1066:$G$1066</definedName>
    <definedName name="calcLOB2Prod1Seg2BudgetMM">calc!$E$1077:$G$1077</definedName>
    <definedName name="calcLOB2Prod1Seg2Emp1ActualVisits">calc!$E$1930:$G$1930</definedName>
    <definedName name="calcLOB2Prod1Seg2Emp1Visits">calc!$E$1137:$G$1137</definedName>
    <definedName name="calcLOB2Prod1Seg2Emp2ActualVisits">calc!$E$1940:$G$1940</definedName>
    <definedName name="calcLOB2Prod1Seg2Emp2Visits">calc!$E$1147:$G$1147</definedName>
    <definedName name="calcLOB2Prod1Seg2Emp3ActualVisits">calc!$E$1950:$G$1950</definedName>
    <definedName name="calcLOB2Prod1Seg2Emp3Visits">calc!$E$1157:$G$1157</definedName>
    <definedName name="calcLOB2Prod1Seg2Patients">calc!$E$1125:$G$1125</definedName>
    <definedName name="calcLOB2Prod1Seg2RunRate">calc!$E$1043:$G$1043</definedName>
    <definedName name="calcLOB2Prod1Seg2RunRateM1">calc!$E$1089:$G$1089</definedName>
    <definedName name="calcLOB2Prod1Seg2RunRateM2">calc!$E$1101:$G$1101</definedName>
    <definedName name="calcLOB2Prod1Seg2RunRateM3">calc!$E$1113:$G$1113</definedName>
    <definedName name="calcLOB2Prod1Seg2RunRateMM">calc!$E$1054:$G$1054</definedName>
    <definedName name="calcLOB2Prod1Seg3Budget">calc!$E$1067:$G$1067</definedName>
    <definedName name="calcLOB2Prod1Seg3BudgetMM">calc!$E$1078:$G$1078</definedName>
    <definedName name="calcLOB2Prod1Seg3Emp1ActualVisits">calc!$E$1931:$G$1931</definedName>
    <definedName name="calcLOB2Prod1Seg3Emp1Visits">calc!$E$1138:$G$1138</definedName>
    <definedName name="calcLOB2Prod1Seg3Emp2ActualVisits">calc!$E$1941:$G$1941</definedName>
    <definedName name="calcLOB2Prod1Seg3Emp2Visits">calc!$E$1148:$G$1148</definedName>
    <definedName name="calcLOB2Prod1Seg3Emp3ActualVisits">calc!$E$1951:$G$1951</definedName>
    <definedName name="calcLOB2Prod1Seg3Emp3Visits">calc!$E$1158:$G$1158</definedName>
    <definedName name="calcLOB2Prod1Seg3Patients">calc!$E$1126:$G$1126</definedName>
    <definedName name="calcLOB2Prod1Seg3RunRate">calc!$E$1044:$G$1044</definedName>
    <definedName name="calcLOB2Prod1Seg3RunRateM1">calc!$E$1090:$G$1090</definedName>
    <definedName name="calcLOB2Prod1Seg3RunRateM2">calc!$E$1102:$G$1102</definedName>
    <definedName name="calcLOB2Prod1Seg3RunRateM3">calc!$E$1114:$G$1114</definedName>
    <definedName name="calcLOB2Prod1Seg3RunRateMM">calc!$E$1055:$G$1055</definedName>
    <definedName name="calcLOB2Prod2Seg1Budget">calc!$E$1069:$G$1069</definedName>
    <definedName name="calcLOB2Prod2Seg1BudgetMM">calc!$E$1080:$G$1080</definedName>
    <definedName name="calcLOB2Prod2Seg1Emp1ActualVisits">calc!$E$1932:$G$1932</definedName>
    <definedName name="calcLOB2Prod2Seg1Emp1Visits">calc!$E$1139:$G$1139</definedName>
    <definedName name="calcLOB2Prod2Seg1Emp2ActualVisits">calc!$E$1942:$G$1942</definedName>
    <definedName name="calcLOB2Prod2Seg1Emp2Visits">calc!$E$1149:$G$1149</definedName>
    <definedName name="calcLOB2Prod2Seg1Emp3ActualVisits">calc!$E$1952:$G$1952</definedName>
    <definedName name="calcLOB2Prod2Seg1Emp3Visits">calc!$E$1159:$G$1159</definedName>
    <definedName name="calcLOB2Prod2Seg1Patients">calc!$E$1128:$G$1128</definedName>
    <definedName name="calcLOB2Prod2Seg1RunRate">calc!$E$1046:$G$1046</definedName>
    <definedName name="calcLOB2Prod2Seg1RunRateM1">calc!$E$1092:$G$1092</definedName>
    <definedName name="calcLOB2Prod2Seg1RunRateM2">calc!$E$1104:$G$1104</definedName>
    <definedName name="calcLOB2Prod2Seg1RunRateM3">calc!$E$1116:$G$1116</definedName>
    <definedName name="calcLOB2Prod2Seg1RunRateMM">calc!$E$1057:$G$1057</definedName>
    <definedName name="calcLOB2Prod2Seg2Budget">calc!$E$1070:$G$1070</definedName>
    <definedName name="calcLOB2Prod2Seg2BudgetMM">calc!$E$1081:$G$1081</definedName>
    <definedName name="calcLOB2Prod2Seg2Emp1ActualVisits">calc!$E$1933:$G$1933</definedName>
    <definedName name="calcLOB2Prod2Seg2Emp1Visits">calc!$E$1140:$G$1140</definedName>
    <definedName name="calcLOB2Prod2Seg2Emp2ActualVisits">calc!$E$1943:$G$1943</definedName>
    <definedName name="calcLOB2Prod2Seg2Emp2Visits">calc!$E$1150:$G$1150</definedName>
    <definedName name="calcLOB2Prod2Seg2Emp3ActualVisits">calc!$E$1953:$G$1953</definedName>
    <definedName name="calcLOB2Prod2Seg2Emp3Visits">calc!$E$1160:$G$1160</definedName>
    <definedName name="calcLOB2Prod2Seg2Patients">calc!$E$1129:$G$1129</definedName>
    <definedName name="calcLOB2Prod2Seg2RunRate">calc!$E$1047:$G$1047</definedName>
    <definedName name="calcLOB2Prod2Seg2RunRateM1">calc!$E$1093:$G$1093</definedName>
    <definedName name="calcLOB2Prod2Seg2RunRateM2">calc!$E$1105:$G$1105</definedName>
    <definedName name="calcLOB2Prod2Seg2RunRateM3">calc!$E$1117:$G$1117</definedName>
    <definedName name="calcLOB2Prod2Seg2RunRateMM">calc!$E$1058:$G$1058</definedName>
    <definedName name="calcLOB2Prod2Seg3Budget">calc!$E$1071:$G$1071</definedName>
    <definedName name="calcLOB2Prod2Seg3BudgetMM">calc!$E$1082:$G$1082</definedName>
    <definedName name="calcLOB2Prod2Seg3Emp1ActualVisits">calc!$E$1934:$G$1934</definedName>
    <definedName name="calcLOB2Prod2Seg3Emp1Visits">calc!$E$1141:$G$1141</definedName>
    <definedName name="calcLOB2Prod2Seg3Emp2ActualVisits">calc!$E$1944:$G$1944</definedName>
    <definedName name="calcLOB2Prod2Seg3Emp2Visits">calc!$E$1151:$G$1151</definedName>
    <definedName name="calcLOB2Prod2Seg3Emp3ActualVisits">calc!$E$1954:$G$1954</definedName>
    <definedName name="calcLOB2Prod2Seg3Emp3Visits">calc!$E$1161:$G$1161</definedName>
    <definedName name="calcLOB2Prod2Seg3Patients">calc!$E$1130:$G$1130</definedName>
    <definedName name="calcLOB2Prod2Seg3RunRate">calc!$E$1048:$G$1048</definedName>
    <definedName name="calcLOB2Prod2Seg3RunRateM1">calc!$E$1094:$G$1094</definedName>
    <definedName name="calcLOB2Prod2Seg3RunRateM2">calc!$E$1106:$G$1106</definedName>
    <definedName name="calcLOB2Prod2Seg3RunRateM3">calc!$E$1118:$G$1118</definedName>
    <definedName name="calcLOB2Prod2Seg3RunRateMM">calc!$E$1059:$G$1059</definedName>
    <definedName name="calcLOB2RunRate">calc!$E$1050:$G$1050</definedName>
    <definedName name="calcLOB2RunRateM1">calc!$E$1096:$G$1096</definedName>
    <definedName name="calcLOB2RunRateM2">calc!$E$1108:$G$1108</definedName>
    <definedName name="calcLOB2RunRateM3">calc!$E$1120:$G$1120</definedName>
    <definedName name="calcLOB2RunRateMM">calc!$E$1061:$G$1061</definedName>
    <definedName name="calcLOB2Stars">calc!$E$2053:$G$2053</definedName>
    <definedName name="calcR2LOB1AvgUtilization">calc!$K$160:$M$160</definedName>
    <definedName name="calcR2LOB1BDEngage">calc!$K$991:$M$991</definedName>
    <definedName name="calcR2LOB1Budget">calc!$K$37:$M$37</definedName>
    <definedName name="calcR2LOB1BudgetMM">calc!$K$48:$M$48</definedName>
    <definedName name="calcR2LOB1Clinician10AllocatedProd">calc!$K$787:$M$787</definedName>
    <definedName name="calcR2LOB1Clinician10AvgMissPerc">calc!$K$836:$M$836</definedName>
    <definedName name="calcR2LOB1Clinician10BaseProd">calc!$K$773:$M$773</definedName>
    <definedName name="calcR2LOB1Clinician10Disc1AvgMissPerc">calc!$K$344:$M$344</definedName>
    <definedName name="calcR2LOB1Clinician10Disc1BaseMissPerc">calc!$K$316:$M$316</definedName>
    <definedName name="calcR2LOB1Clinician10Disc1Emp1AllocatedProd">calc!$K$230:$M$230</definedName>
    <definedName name="calcR2LOB1Clinician10Disc1Emp1AllowPerc">calc!$K$202:$M$202</definedName>
    <definedName name="calcR2LOB1Clinician10Disc1Emp1BaseProd">calc!$K$172:$M$172</definedName>
    <definedName name="calcR2LOB1Clinician10Disc1Emp1GrossProd">calc!$K$286:$M$286</definedName>
    <definedName name="calcR2LOB1Clinician10Disc1Emp1MissVisits">calc!$K$372:$M$372</definedName>
    <definedName name="calcR2LOB1Clinician10Disc1Emp1ModifiedProd">calc!$K$260:$M$260</definedName>
    <definedName name="calcR2LOB1Clinician10Disc1Emp1NetProd">calc!$K$400:$M$400</definedName>
    <definedName name="calcR2LOB1Clinician10Disc1Emp1OverTIme">calc!$K$435:$M$435</definedName>
    <definedName name="calcR2LOB1Clinician10Disc2AvgMissPerc">calc!$K$357:$M$357</definedName>
    <definedName name="calcR2LOB1Clinician10Disc2BaseMissPerc">calc!$K$329:$M$329</definedName>
    <definedName name="calcR2LOB1Clinician10Disc2Emp1AllocatedProd">calc!$K$243:$M$243</definedName>
    <definedName name="calcR2LOB1Clinician10Disc2Emp1AllowPerc">calc!$K$215:$M$215</definedName>
    <definedName name="calcR2LOB1Clinician10Disc2Emp1BaseProd">calc!$K$185:$M$185</definedName>
    <definedName name="calcR2LOB1Clinician10Disc2Emp1GrossProd">calc!$K$299:$M$299</definedName>
    <definedName name="calcR2LOB1Clinician10Disc2Emp1MissVisits">calc!$K$385:$M$385</definedName>
    <definedName name="calcR2LOB1Clinician10Disc2Emp1ModifiedProd">calc!$K$272:$M$272</definedName>
    <definedName name="calcR2LOB1Clinician10Disc2Emp1NetProd">calc!$K$413:$M$413</definedName>
    <definedName name="calcR2LOB1Clinician10Disc2Emp1OverTIme">calc!$K$447:$M$447</definedName>
    <definedName name="calcR2LOB1Clinician10Emp2AllocatedProd">calc!$K$493:$M$493</definedName>
    <definedName name="calcR2LOB1Clinician10Emp2AllowPerc">calc!$K$478:$M$478</definedName>
    <definedName name="calcR2LOB1Clinician10Emp2AvgMissPerc">calc!$K$556:$M$556</definedName>
    <definedName name="calcR2LOB1Clinician10Emp2BaseMissPerc">calc!$K$541:$M$541</definedName>
    <definedName name="calcR2LOB1Clinician10Emp2BaseProd">calc!$K$461:$M$461</definedName>
    <definedName name="calcR2LOB1Clinician10Emp2GrossProd">calc!$K$524:$M$524</definedName>
    <definedName name="calcR2LOB1Clinician10Emp2MissVisits">calc!$K$571:$M$571</definedName>
    <definedName name="calcR2LOB1Clinician10Emp2ModifiedProd">calc!$K$510:$M$510</definedName>
    <definedName name="calcR2LOB1Clinician10Emp2NetProd">calc!$K$586:$M$586</definedName>
    <definedName name="calcR2LOB1Clinician10Emp2OverTIme">calc!$K$603:$M$603</definedName>
    <definedName name="calcR2LOB1Clinician10Emp3AllocatedProd">calc!$K$649:$M$649</definedName>
    <definedName name="calcR2LOB1Clinician10Emp3AllowPerc">calc!$K$634:$M$634</definedName>
    <definedName name="calcR2LOB1Clinician10Emp3AvgMissPerc">calc!$K$712:$M$712</definedName>
    <definedName name="calcR2LOB1Clinician10Emp3BaseMissPerc">calc!$K$697:$M$697</definedName>
    <definedName name="calcR2LOB1Clinician10Emp3BaseProd">calc!$K$617:$M$617</definedName>
    <definedName name="calcR2LOB1Clinician10Emp3GrossProd">calc!$K$680:$M$680</definedName>
    <definedName name="calcR2LOB1Clinician10Emp3MissVisits">calc!$K$727:$M$727</definedName>
    <definedName name="calcR2LOB1Clinician10Emp3ModifiedProd">calc!$K$666:$M$666</definedName>
    <definedName name="calcR2LOB1Clinician10Emp3NetProd">calc!$K$742:$M$742</definedName>
    <definedName name="calcR2LOB1Clinician10Emp3OverTIme">calc!$K$759:$M$759</definedName>
    <definedName name="calcR2LOB1Clinician10GrossProd">calc!$K$803:$M$803</definedName>
    <definedName name="calcR2LOB1Clinician10MissVisits">calc!$K$819:$M$819</definedName>
    <definedName name="calcR2LOB1Clinician10NetVisits">calc!$K$853:$M$853</definedName>
    <definedName name="calcR2LOB1Clinician10OverTime">calc!$K$869:$M$869</definedName>
    <definedName name="calcR2LOB1Clinician11AllocatedProd">calc!$K$788:$M$788</definedName>
    <definedName name="calcR2LOB1Clinician11AvgMissPerc">calc!$K$837:$M$837</definedName>
    <definedName name="calcR2LOB1Clinician11BaseProd">calc!$K$774:$M$774</definedName>
    <definedName name="calcR2LOB1Clinician11Disc1AvgMissPerc">calc!$K$345:$M$345</definedName>
    <definedName name="calcR2LOB1Clinician11Disc1BaseMissPerc">calc!$K$317:$M$317</definedName>
    <definedName name="calcR2LOB1Clinician11Disc1Emp1AllocatedProd">calc!$K$231:$M$231</definedName>
    <definedName name="calcR2LOB1Clinician11Disc1Emp1AllowPerc">calc!$K$203:$M$203</definedName>
    <definedName name="calcR2LOB1Clinician11Disc1Emp1BaseProd">calc!$K$173:$M$173</definedName>
    <definedName name="calcR2LOB1Clinician11Disc1Emp1GrossProd">calc!$K$287:$M$287</definedName>
    <definedName name="calcR2LOB1Clinician11Disc1Emp1MissVisits">calc!$K$373:$M$373</definedName>
    <definedName name="calcR2LOB1Clinician11Disc1Emp1ModifiedProd">calc!$K$261:$M$261</definedName>
    <definedName name="calcR2LOB1Clinician11Disc1Emp1NetProd">calc!$K$401:$M$401</definedName>
    <definedName name="calcR2LOB1Clinician11Disc1Emp1OverTIme">calc!$K$436:$M$436</definedName>
    <definedName name="calcR2LOB1Clinician11Disc2AvgMissPerc">calc!$K$358:$M$358</definedName>
    <definedName name="calcR2LOB1Clinician11Disc2BaseMissPerc">calc!$K$330:$M$330</definedName>
    <definedName name="calcR2LOB1Clinician11Disc2Emp1AllocatedProd">calc!$K$244:$M$244</definedName>
    <definedName name="calcR2LOB1Clinician11Disc2Emp1AllowPerc">calc!$K$216:$M$216</definedName>
    <definedName name="calcR2LOB1Clinician11Disc2Emp1BaseProd">calc!$K$186:$M$186</definedName>
    <definedName name="calcR2LOB1Clinician11Disc2Emp1GrossProd">calc!$K$300:$M$300</definedName>
    <definedName name="calcR2LOB1Clinician11Disc2Emp1MissVisits">calc!$K$386:$M$386</definedName>
    <definedName name="calcR2LOB1Clinician11Disc2Emp1ModifiedProd">calc!$K$273:$M$273</definedName>
    <definedName name="calcR2LOB1Clinician11Disc2Emp1NetProd">calc!$K$414:$M$414</definedName>
    <definedName name="calcR2LOB1Clinician11Disc2Emp1OverTIme">calc!$K$448:$M$448</definedName>
    <definedName name="calcR2LOB1Clinician11Emp2AllocatedProd">calc!$K$494:$M$494</definedName>
    <definedName name="calcR2LOB1Clinician11Emp2AllowPerc">calc!$K$479:$M$479</definedName>
    <definedName name="calcR2LOB1Clinician11Emp2AvgMissPerc">calc!$K$557:$M$557</definedName>
    <definedName name="calcR2LOB1Clinician11Emp2BaseMissPerc">calc!$K$542:$M$542</definedName>
    <definedName name="calcR2LOB1Clinician11Emp2BaseProd">calc!$K$462:$M$462</definedName>
    <definedName name="calcR2LOB1Clinician11Emp2GrossProd">calc!$K$525:$M$525</definedName>
    <definedName name="calcR2LOB1Clinician11Emp2MissVisits">calc!$K$572:$M$572</definedName>
    <definedName name="calcR2LOB1Clinician11Emp2ModifiedProd">calc!$K$511:$M$511</definedName>
    <definedName name="calcR2LOB1Clinician11Emp2NetProd">calc!$K$587:$M$587</definedName>
    <definedName name="calcR2LOB1Clinician11Emp2OverTIme">calc!$K$604:$M$604</definedName>
    <definedName name="calcR2LOB1Clinician11Emp3AllocatedProd">calc!$K$650:$M$650</definedName>
    <definedName name="calcR2LOB1Clinician11Emp3AllowPerc">calc!$K$635:$M$635</definedName>
    <definedName name="calcR2LOB1Clinician11Emp3AvgMissPerc">calc!$K$713:$M$713</definedName>
    <definedName name="calcR2LOB1Clinician11Emp3BaseMissPerc">calc!$K$698:$M$698</definedName>
    <definedName name="calcR2LOB1Clinician11Emp3BaseProd">calc!$K$618:$M$618</definedName>
    <definedName name="calcR2LOB1Clinician11Emp3GrossProd">calc!$K$681:$M$681</definedName>
    <definedName name="calcR2LOB1Clinician11Emp3MissVisits">calc!$K$728:$M$728</definedName>
    <definedName name="calcR2LOB1Clinician11Emp3ModifiedProd">calc!$K$667:$M$667</definedName>
    <definedName name="calcR2LOB1Clinician11Emp3NetProd">calc!$K$743:$M$743</definedName>
    <definedName name="calcR2LOB1Clinician11Emp3OverTIme">calc!$K$760:$M$760</definedName>
    <definedName name="calcR2LOB1Clinician11GrossProd">calc!$K$804:$M$804</definedName>
    <definedName name="calcR2LOB1Clinician11LookupValue">calc!$K$922:$M$922</definedName>
    <definedName name="calcR2LOB1Clinician11MissVisits">calc!$K$820:$M$820</definedName>
    <definedName name="calcR2LOB1Clinician11NetVisits">calc!$K$854:$M$854</definedName>
    <definedName name="calcR2LOB1Clinician11OverTime">calc!$K$870:$M$870</definedName>
    <definedName name="calcR2LOB1Clinician12AllocatedProd">calc!$K$789:$M$789</definedName>
    <definedName name="calcR2LOB1Clinician12AvgMissPerc">calc!$K$838:$M$838</definedName>
    <definedName name="calcR2LOB1Clinician12BaseProd">calc!$K$775:$M$775</definedName>
    <definedName name="calcR2LOB1Clinician12Disc1AvgMissPerc">calc!$K$346:$M$346</definedName>
    <definedName name="calcR2LOB1Clinician12Disc1BaseMissPerc">calc!$K$318:$M$318</definedName>
    <definedName name="calcR2LOB1Clinician12Disc1Emp1AllocatedProd">calc!$K$232:$M$232</definedName>
    <definedName name="calcR2LOB1Clinician12Disc1Emp1AllowPerc">calc!$K$204:$M$204</definedName>
    <definedName name="calcR2LOB1Clinician12Disc1Emp1BaseProd">calc!$K$174:$M$174</definedName>
    <definedName name="calcR2LOB1Clinician12Disc1Emp1GrossProd">calc!$K$288:$M$288</definedName>
    <definedName name="calcR2LOB1Clinician12Disc1Emp1MissVisits">calc!$K$374:$M$374</definedName>
    <definedName name="calcR2LOB1Clinician12Disc1Emp1ModifiedProd">calc!$K$262:$M$262</definedName>
    <definedName name="calcR2LOB1Clinician12Disc1Emp1NetProd">calc!$K$402:$M$402</definedName>
    <definedName name="calcR2LOB1Clinician12Disc1Emp1OverTIme">calc!$K$437:$M$437</definedName>
    <definedName name="calcR2LOB1Clinician12Disc2AvgMissPerc">calc!$K$359:$M$359</definedName>
    <definedName name="calcR2LOB1Clinician12Disc2BaseMissPerc">calc!$K$331:$M$331</definedName>
    <definedName name="calcR2LOB1Clinician12Disc2Emp1AllocatedProd">calc!$K$245:$M$245</definedName>
    <definedName name="calcR2LOB1Clinician12Disc2Emp1AllowPerc">calc!$K$217:$M$217</definedName>
    <definedName name="calcR2LOB1Clinician12Disc2Emp1BaseProd">calc!$K$187:$M$187</definedName>
    <definedName name="calcR2LOB1Clinician12Disc2Emp1GrossProd">calc!$K$301:$M$301</definedName>
    <definedName name="calcR2LOB1Clinician12Disc2Emp1MissVisits">calc!$K$387:$M$387</definedName>
    <definedName name="calcR2LOB1Clinician12Disc2Emp1ModifiedProd">calc!$K$274:$M$274</definedName>
    <definedName name="calcR2LOB1Clinician12Disc2Emp1NetProd">calc!$K$415:$M$415</definedName>
    <definedName name="calcR2LOB1Clinician12Disc2Emp1OverTIme">calc!$K$449:$M$449</definedName>
    <definedName name="calcR2LOB1Clinician12Emp2AllocatedProd">calc!$K$495:$M$495</definedName>
    <definedName name="calcR2LOB1Clinician12Emp2AllowPerc">calc!$K$480:$M$480</definedName>
    <definedName name="calcR2LOB1Clinician12Emp2AvgMissPerc">calc!$K$558:$M$558</definedName>
    <definedName name="calcR2LOB1Clinician12Emp2BaseMissPerc">calc!$K$543:$M$543</definedName>
    <definedName name="calcR2LOB1Clinician12Emp2BaseProd">calc!$K$463:$M$463</definedName>
    <definedName name="calcR2LOB1Clinician12Emp2GrossProd">calc!$K$526:$M$526</definedName>
    <definedName name="calcR2LOB1Clinician12Emp2MissVisits">calc!$K$573:$M$573</definedName>
    <definedName name="calcR2LOB1Clinician12Emp2ModifiedProd">calc!$K$512:$M$512</definedName>
    <definedName name="calcR2LOB1Clinician12Emp2NetProd">calc!$K$588:$M$588</definedName>
    <definedName name="calcR2LOB1Clinician12Emp2OverTIme">calc!$K$605:$M$605</definedName>
    <definedName name="calcR2LOB1Clinician12Emp3AllocatedProd">calc!$K$651:$M$651</definedName>
    <definedName name="calcR2LOB1Clinician12Emp3AllowPerc">calc!$K$636:$M$636</definedName>
    <definedName name="calcR2LOB1Clinician12Emp3AvgMissPerc">calc!$K$714:$M$714</definedName>
    <definedName name="calcR2LOB1Clinician12Emp3BaseMissPerc">calc!$K$699:$M$699</definedName>
    <definedName name="calcR2LOB1Clinician12Emp3BaseProd">calc!$K$619:$M$619</definedName>
    <definedName name="calcR2LOB1Clinician12Emp3GrossProd">calc!$K$682:$M$682</definedName>
    <definedName name="calcR2LOB1Clinician12Emp3MissVisits">calc!$K$729:$M$729</definedName>
    <definedName name="calcR2LOB1Clinician12Emp3ModifiedProd">calc!$K$668:$M$668</definedName>
    <definedName name="calcR2LOB1Clinician12Emp3NetProd">calc!$K$744:$M$744</definedName>
    <definedName name="calcR2LOB1Clinician12Emp3OverTIme">calc!$K$761:$M$761</definedName>
    <definedName name="calcR2LOB1Clinician12GrossProd">calc!$K$805:$M$805</definedName>
    <definedName name="calcR2LOB1Clinician12LookupValue">calc!$K$928:$M$928</definedName>
    <definedName name="calcR2LOB1Clinician12MissVisits">calc!$K$821:$M$821</definedName>
    <definedName name="calcR2LOB1Clinician12NetVisits">calc!$K$855:$M$855</definedName>
    <definedName name="calcR2LOB1Clinician12OverTime">calc!$K$871:$M$871</definedName>
    <definedName name="calcR2LOB1Clinician13Disc1AvgMissPerc">calc!$K$347:$M$347</definedName>
    <definedName name="calcR2LOB1Clinician13Disc1BaseMissPerc">calc!$K$319:$M$319</definedName>
    <definedName name="calcR2LOB1Clinician13Disc1Emp1AllocatedProd">calc!$K$233:$M$233</definedName>
    <definedName name="calcR2LOB1Clinician13Disc1Emp1AllowPerc">calc!$K$205:$M$205</definedName>
    <definedName name="calcR2LOB1Clinician13Disc1Emp1BaseProd">calc!$K$175:$M$175</definedName>
    <definedName name="calcR2LOB1Clinician13Disc1Emp1GrossProd">calc!$K$289:$M$289</definedName>
    <definedName name="calcR2LOB1Clinician13Disc1Emp1MissVisits">calc!$K$375:$M$375</definedName>
    <definedName name="calcR2LOB1Clinician13Disc1Emp1NetProd">calc!$K$403:$M$403</definedName>
    <definedName name="calcR2LOB1Clinician14Disc2AvgMissPerc">calc!$K$360:$M$360</definedName>
    <definedName name="calcR2LOB1Clinician14Disc2BaseMissPerc">calc!$K$332:$M$332</definedName>
    <definedName name="calcR2LOB1Clinician14Disc2Emp1AllocatedProd">calc!$K$246:$M$246</definedName>
    <definedName name="calcR2LOB1Clinician14Disc2Emp1AllowPerc">calc!$K$218:$M$218</definedName>
    <definedName name="calcR2LOB1Clinician14Disc2Emp1BaseProd">calc!$K$188:$M$188</definedName>
    <definedName name="calcR2LOB1Clinician14Disc2Emp1GrossProd">calc!$K$302:$M$302</definedName>
    <definedName name="calcR2LOB1Clinician14Disc2Emp1MissVisits">calc!$K$388:$M$388</definedName>
    <definedName name="calcR2LOB1Clinician14Disc2Emp1NetProd">calc!$K$416:$M$416</definedName>
    <definedName name="calcR2LOB1Clinician15Emp3AllocatedProd">calc!$K$652:$M$652</definedName>
    <definedName name="calcR2LOB1Clinician15Emp3AllowPerc">calc!$K$637:$M$637</definedName>
    <definedName name="calcR2LOB1Clinician15Emp3AvgMissPerc">calc!$K$715:$M$715</definedName>
    <definedName name="calcR2LOB1Clinician15Emp3BaseProd">calc!$K$620:$M$620</definedName>
    <definedName name="calcR2LOB1Clinician15Emp3GrossProd">calc!$K$683:$M$683</definedName>
    <definedName name="calcR2LOB1Clinician15Emp3MissVisits">calc!$K$730:$M$730</definedName>
    <definedName name="calcR2LOB1Clinician15Emp3NetProd">calc!$K$745:$M$745</definedName>
    <definedName name="calcR2LOB1Clinician16Emp2AllocatedProd">calc!$K$496:$M$496</definedName>
    <definedName name="calcR2LOB1Clinician16Emp2AllowPerc">calc!$K$481:$M$481</definedName>
    <definedName name="calcR2LOB1Clinician16Emp2AvgMissPerc">calc!$K$559:$M$559</definedName>
    <definedName name="calcR2LOB1Clinician16Emp2BaseMissPerc">calc!$K$544:$M$544</definedName>
    <definedName name="calcR2LOB1Clinician16Emp2BaseProd">calc!$K$464:$M$464</definedName>
    <definedName name="calcR2LOB1Clinician16Emp2GrossProd">calc!$K$527:$M$527</definedName>
    <definedName name="calcR2LOB1Clinician16Emp2MissVisits">calc!$K$574:$M$574</definedName>
    <definedName name="calcR2LOB1Clinician16Emp3BaseMissPerc">calc!$K$700:$M$700</definedName>
    <definedName name="calcR2LOB1Clinician1AllocatedProd">calc!$K$778:$M$778</definedName>
    <definedName name="calcR2LOB1Clinician1AvgMissPerc">calc!$K$827:$M$827</definedName>
    <definedName name="calcR2LOB1Clinician1BaseProd">calc!$K$764:$M$764</definedName>
    <definedName name="calcR2LOB1Clinician1Disc1AvgMissPerc">calc!$K$335:$M$335</definedName>
    <definedName name="calcR2LOB1Clinician1Disc1BaseMissPerc">calc!$K$307:$M$307</definedName>
    <definedName name="calcR2LOB1Clinician1Disc1Emp1AllocatedProd">calc!$K$221:$M$221</definedName>
    <definedName name="calcR2LOB1Clinician1Disc1Emp1AllowPerc">calc!$K$193:$M$193</definedName>
    <definedName name="calcR2LOB1Clinician1Disc1Emp1BaseProd">calc!$K$163:$M$163</definedName>
    <definedName name="calcR2LOB1Clinician1Disc1Emp1GrossProd">calc!$K$277:$M$277</definedName>
    <definedName name="calcR2LOB1Clinician1Disc1Emp1MissVisits">calc!$K$363:$M$363</definedName>
    <definedName name="calcR2LOB1Clinician1Disc1Emp1ModifiedProd">calc!$K$251:$M$251</definedName>
    <definedName name="calcR2LOB1Clinician1Disc1Emp1NetProd">calc!$K$391:$M$391</definedName>
    <definedName name="calcR2LOB1Clinician1Disc1Emp1OverTIme">calc!$K$426:$M$426</definedName>
    <definedName name="calcR2LOB1Clinician1Disc2AvgMissPerc">calc!$K$348:$M$348</definedName>
    <definedName name="calcR2LOB1Clinician1Disc2BaseMissPerc">calc!$K$320:$M$320</definedName>
    <definedName name="calcR2LOB1Clinician1Disc2Emp1AllocatedProd">calc!$K$234:$M$234</definedName>
    <definedName name="calcR2LOB1Clinician1Disc2Emp1AllowPerc">calc!$K$206:$M$206</definedName>
    <definedName name="calcR2LOB1Clinician1Disc2Emp1BaseProd">calc!$K$176:$M$176</definedName>
    <definedName name="calcR2LOB1Clinician1Disc2Emp1GrossProd">calc!$K$290:$M$290</definedName>
    <definedName name="calcR2LOB1Clinician1Disc2Emp1MissVisits">calc!$K$376:$M$376</definedName>
    <definedName name="calcR2LOB1Clinician1Disc2Emp1ModifiedProd">calc!$K$263:$M$263</definedName>
    <definedName name="calcR2LOB1Clinician1Disc2Emp1NetProd">calc!$K$404:$M$404</definedName>
    <definedName name="calcR2LOB1Clinician1Disc2Emp1OverTIme">calc!$K$438:$M$438</definedName>
    <definedName name="calcR2LOB1Clinician1Emp2AllocatedProd">calc!$K$484:$M$484</definedName>
    <definedName name="calcR2LOB1Clinician1Emp2AllowPerc">calc!$K$469:$M$469</definedName>
    <definedName name="calcR2LOB1Clinician1Emp2AvgMissPerc">calc!$K$547:$M$547</definedName>
    <definedName name="calcR2LOB1Clinician1Emp2BaseMissPerc">calc!$K$532:$M$532</definedName>
    <definedName name="calcR2LOB1Clinician1Emp2BaseProd">calc!$K$452:$M$452</definedName>
    <definedName name="calcR2LOB1Clinician1Emp2GrossProd">calc!$K$515:$M$515</definedName>
    <definedName name="calcR2LOB1Clinician1Emp2MissVisits">calc!$K$562:$M$562</definedName>
    <definedName name="calcR2LOB1Clinician1Emp2ModifiedProd">calc!$K$501:$M$501</definedName>
    <definedName name="calcR2LOB1Clinician1Emp2NetProd">calc!$K$577:$M$577</definedName>
    <definedName name="calcR2LOB1Clinician1Emp2OverTIme">calc!$K$594:$M$594</definedName>
    <definedName name="calcR2LOB1Clinician1Emp3AllocatedProd">calc!$K$640:$M$640</definedName>
    <definedName name="calcR2LOB1Clinician1Emp3AllowPerc">calc!$K$625:$M$625</definedName>
    <definedName name="calcR2LOB1Clinician1Emp3AvgMissPerc">calc!$K$703:$M$703</definedName>
    <definedName name="calcR2LOB1Clinician1Emp3BaseMissPerc">calc!$K$688:$M$688</definedName>
    <definedName name="calcR2LOB1Clinician1Emp3BaseProd">calc!$K$608:$M$608</definedName>
    <definedName name="calcR2LOB1Clinician1Emp3GrossProd">calc!$K$671:$M$671</definedName>
    <definedName name="calcR2LOB1Clinician1Emp3MissVisits">calc!$K$718:$M$718</definedName>
    <definedName name="calcR2LOB1Clinician1Emp3ModifiedProd">calc!$K$657:$M$657</definedName>
    <definedName name="calcR2LOB1Clinician1Emp3NetProd">calc!$K$733:$M$733</definedName>
    <definedName name="calcR2LOB1Clinician1Emp3OverTIme">calc!$K$750:$M$750</definedName>
    <definedName name="calcR2LOB1Clinician1GrossProd">calc!$K$794:$M$794</definedName>
    <definedName name="calcR2LOB1Clinician1MissVisits">calc!$K$810:$M$810</definedName>
    <definedName name="calcR2LOB1Clinician1NetVisits">calc!$K$844:$M$844</definedName>
    <definedName name="calcR2LOB1Clinician1OverTime">calc!$K$860:$M$860</definedName>
    <definedName name="calcR2LOB1Clinician2AllocatedProd">calc!$K$779:$M$779</definedName>
    <definedName name="calcR2LOB1Clinician2AvgMissPerc">calc!$K$828:$M$828</definedName>
    <definedName name="calcR2LOB1Clinician2BaseProd">calc!$K$765:$M$765</definedName>
    <definedName name="calcR2LOB1Clinician2Disc1AvgMissPerc">calc!$K$336:$M$336</definedName>
    <definedName name="calcR2LOB1Clinician2Disc1BaseMissPerc">calc!$K$308:$M$308</definedName>
    <definedName name="calcR2LOB1Clinician2Disc1Emp1AllocatedProd">calc!$K$222:$M$222</definedName>
    <definedName name="calcR2LOB1Clinician2Disc1Emp1AllowPerc">calc!$K$194:$M$194</definedName>
    <definedName name="calcR2LOB1Clinician2Disc1Emp1BaseProd">calc!$K$164:$M$164</definedName>
    <definedName name="calcR2LOB1Clinician2Disc1Emp1GrossProd">calc!$K$278:$M$278</definedName>
    <definedName name="calcR2LOB1Clinician2Disc1Emp1MissVisits">calc!$K$364:$M$364</definedName>
    <definedName name="calcR2LOB1Clinician2Disc1Emp1ModifiedProd">calc!$K$252:$M$252</definedName>
    <definedName name="calcR2LOB1Clinician2Disc1Emp1NetProd">calc!$K$392:$M$392</definedName>
    <definedName name="calcR2LOB1Clinician2Disc1Emp1OverTIme">calc!$K$427:$M$427</definedName>
    <definedName name="calcR2LOB1Clinician2Disc2AvgMissPerc">calc!$K$349:$M$349</definedName>
    <definedName name="calcR2LOB1Clinician2Disc2BaseMissPerc">calc!$K$321:$M$321</definedName>
    <definedName name="calcR2LOB1Clinician2Disc2Emp1AllocatedProd">calc!$K$235:$M$235</definedName>
    <definedName name="calcR2LOB1Clinician2Disc2Emp1AllowPerc">calc!$K$207:$M$207</definedName>
    <definedName name="calcR2LOB1Clinician2Disc2Emp1BaseProd">calc!$K$177:$M$177</definedName>
    <definedName name="calcR2LOB1Clinician2Disc2Emp1GrossProd">calc!$K$291:$M$291</definedName>
    <definedName name="calcR2LOB1Clinician2Disc2Emp1MissVisits">calc!$K$377:$M$377</definedName>
    <definedName name="calcR2LOB1Clinician2Disc2Emp1ModifiedProd">calc!$K$264:$M$264</definedName>
    <definedName name="calcR2LOB1Clinician2Disc2Emp1NetProd">calc!$K$405:$M$405</definedName>
    <definedName name="calcR2LOB1Clinician2Disc2Emp1OverTIme">calc!$K$439:$M$439</definedName>
    <definedName name="calcR2LOB1Clinician2Emp2AllocatedProd">calc!$K$485:$M$485</definedName>
    <definedName name="calcR2LOB1Clinician2Emp2AllowPerc">calc!$K$470:$M$470</definedName>
    <definedName name="calcR2LOB1Clinician2Emp2AvgMissPerc">calc!$K$548:$M$548</definedName>
    <definedName name="calcR2LOB1Clinician2Emp2BaseMissPerc">calc!$K$533:$M$533</definedName>
    <definedName name="calcR2LOB1Clinician2Emp2BaseProd">calc!$K$453:$M$453</definedName>
    <definedName name="calcR2LOB1Clinician2Emp2GrossProd">calc!$K$516:$M$516</definedName>
    <definedName name="calcR2LOB1Clinician2Emp2MissVisits">calc!$K$563:$M$563</definedName>
    <definedName name="calcR2LOB1Clinician2Emp2ModifiedProd">calc!$K$502:$M$502</definedName>
    <definedName name="calcR2LOB1Clinician2Emp2NetProd">calc!$K$578:$M$578</definedName>
    <definedName name="calcR2LOB1Clinician2Emp2OverTIme">calc!$K$595:$M$595</definedName>
    <definedName name="calcR2LOB1Clinician2Emp3AllocatedProd">calc!$K$641:$M$641</definedName>
    <definedName name="calcR2LOB1Clinician2Emp3AllowPerc">calc!$K$626:$M$626</definedName>
    <definedName name="calcR2LOB1Clinician2Emp3AvgMissPerc">calc!$K$704:$M$704</definedName>
    <definedName name="calcR2LOB1Clinician2Emp3BaseMissPerc">calc!$K$689:$M$689</definedName>
    <definedName name="calcR2LOB1Clinician2Emp3BaseProd">calc!$K$609:$M$609</definedName>
    <definedName name="calcR2LOB1Clinician2Emp3GrossProd">calc!$K$672:$M$672</definedName>
    <definedName name="calcR2LOB1Clinician2Emp3MissVisits">calc!$K$719:$M$719</definedName>
    <definedName name="calcR2LOB1Clinician2Emp3ModifiedProd">calc!$K$658:$M$658</definedName>
    <definedName name="calcR2LOB1Clinician2Emp3NetProd">calc!$K$734:$M$734</definedName>
    <definedName name="calcR2LOB1Clinician2Emp3OverTIme">calc!$K$751:$M$751</definedName>
    <definedName name="calcR2LOB1Clinician2GrossProd">calc!$K$795:$M$795</definedName>
    <definedName name="calcR2LOB1Clinician2MissVisits">calc!$K$811:$M$811</definedName>
    <definedName name="calcR2LOB1Clinician2NetVisits">calc!$K$845:$M$845</definedName>
    <definedName name="calcR2LOB1Clinician2OverTime">calc!$K$861:$M$861</definedName>
    <definedName name="calcR2LOB1Clinician3AllocatedProd">calc!$K$780:$M$780</definedName>
    <definedName name="calcR2LOB1Clinician3AvgMissPerc">calc!$K$829:$M$829</definedName>
    <definedName name="calcR2LOB1Clinician3BaseProd">calc!$K$766:$M$766</definedName>
    <definedName name="calcR2LOB1Clinician3Disc1AvgMissPerc">calc!$K$337:$M$337</definedName>
    <definedName name="calcR2LOB1Clinician3Disc1BaseMissPerc">calc!$K$309:$M$309</definedName>
    <definedName name="calcR2LOB1Clinician3Disc1Emp1AllocatedProd">calc!$K$223:$M$223</definedName>
    <definedName name="calcR2LOB1Clinician3Disc1Emp1AllowPerc">calc!$K$195:$M$195</definedName>
    <definedName name="calcR2LOB1Clinician3Disc1Emp1BaseProd">calc!$K$165:$M$165</definedName>
    <definedName name="calcR2LOB1Clinician3Disc1Emp1GrossProd">calc!$K$279:$M$279</definedName>
    <definedName name="calcR2LOB1Clinician3Disc1Emp1MissVisits">calc!$K$365:$M$365</definedName>
    <definedName name="calcR2LOB1Clinician3Disc1Emp1ModifiedProd">calc!$K$253:$M$253</definedName>
    <definedName name="calcR2LOB1Clinician3Disc1Emp1NetProd">calc!$K$393:$M$393</definedName>
    <definedName name="calcR2LOB1Clinician3Disc1Emp1OverTIme">calc!$K$428:$M$428</definedName>
    <definedName name="calcR2LOB1Clinician3Disc2AvgMissPerc">calc!$K$350:$M$350</definedName>
    <definedName name="calcR2LOB1Clinician3Disc2BaseMissPerc">calc!$K$322:$M$322</definedName>
    <definedName name="calcR2LOB1Clinician3Disc2Emp1AllocatedProd">calc!$K$236:$M$236</definedName>
    <definedName name="calcR2LOB1Clinician3Disc2Emp1AllowPerc">calc!$K$208:$M$208</definedName>
    <definedName name="calcR2LOB1Clinician3Disc2Emp1BaseProd">calc!$K$178:$M$178</definedName>
    <definedName name="calcR2LOB1Clinician3Disc2Emp1GrossProd">calc!$K$292:$M$292</definedName>
    <definedName name="calcR2LOB1Clinician3Disc2Emp1MissVisits">calc!$K$378:$M$378</definedName>
    <definedName name="calcR2LOB1Clinician3Disc2Emp1ModifiedProd">calc!$K$265:$M$265</definedName>
    <definedName name="calcR2LOB1Clinician3Disc2Emp1NetProd">calc!$K$406:$M$406</definedName>
    <definedName name="calcR2LOB1Clinician3Disc2Emp1OverTIme">calc!$K$440:$M$440</definedName>
    <definedName name="calcR2LOB1Clinician3Emp2AllocatedProd">calc!$K$486:$M$486</definedName>
    <definedName name="calcR2LOB1Clinician3Emp2AllowPerc">calc!$K$471:$M$471</definedName>
    <definedName name="calcR2LOB1Clinician3Emp2AvgMissPerc">calc!$K$549:$M$549</definedName>
    <definedName name="calcR2LOB1Clinician3Emp2BaseMissPerc">calc!$K$534:$M$534</definedName>
    <definedName name="calcR2LOB1Clinician3Emp2BaseProd">calc!$K$454:$M$454</definedName>
    <definedName name="calcR2LOB1Clinician3Emp2GrossProd">calc!$K$517:$M$517</definedName>
    <definedName name="calcR2LOB1Clinician3Emp2MissVisits">calc!$K$564:$M$564</definedName>
    <definedName name="calcR2LOB1Clinician3Emp2ModifiedProd">calc!$K$503:$M$503</definedName>
    <definedName name="calcR2LOB1Clinician3Emp2NetProd">calc!$K$579:$M$579</definedName>
    <definedName name="calcR2LOB1Clinician3Emp2OverTIme">calc!$K$596:$M$596</definedName>
    <definedName name="calcR2LOB1Clinician3Emp3AllocatedProd">calc!$K$642:$M$642</definedName>
    <definedName name="calcR2LOB1Clinician3Emp3AllowPerc">calc!$K$627:$M$627</definedName>
    <definedName name="calcR2LOB1Clinician3Emp3AvgMissPerc">calc!$K$705:$M$705</definedName>
    <definedName name="calcR2LOB1Clinician3Emp3BaseMissPerc">calc!$K$690:$M$690</definedName>
    <definedName name="calcR2LOB1Clinician3Emp3BaseProd">calc!$K$610:$M$610</definedName>
    <definedName name="calcR2LOB1Clinician3Emp3GrossProd">calc!$K$673:$M$673</definedName>
    <definedName name="calcR2LOB1Clinician3Emp3MissVisits">calc!$K$720:$M$720</definedName>
    <definedName name="calcR2LOB1Clinician3Emp3ModifiedProd">calc!$K$659:$M$659</definedName>
    <definedName name="calcR2LOB1Clinician3Emp3NetProd">calc!$K$735:$M$735</definedName>
    <definedName name="calcR2LOB1Clinician3Emp3OverTIme">calc!$K$752:$M$752</definedName>
    <definedName name="calcR2LOB1Clinician3GrossProd">calc!$K$796:$M$796</definedName>
    <definedName name="calcR2LOB1Clinician3MissVisits">calc!$K$812:$M$812</definedName>
    <definedName name="calcR2LOB1Clinician3NetVisits">calc!$K$846:$M$846</definedName>
    <definedName name="calcR2LOB1Clinician3OverTime">calc!$K$862:$M$862</definedName>
    <definedName name="calcR2LOB1Clinician4AllocatedProd">calc!$K$781:$M$781</definedName>
    <definedName name="calcR2LOB1Clinician4AvgMissPerc">calc!$K$830:$M$830</definedName>
    <definedName name="calcR2LOB1Clinician4BaseProd">calc!$K$767:$M$767</definedName>
    <definedName name="calcR2LOB1Clinician4Disc1AvgMissPerc">calc!$K$338:$M$338</definedName>
    <definedName name="calcR2LOB1Clinician4Disc1BaseMissPerc">calc!$K$310:$M$310</definedName>
    <definedName name="calcR2LOB1Clinician4Disc1Emp1AllocatedProd">calc!$K$224:$M$224</definedName>
    <definedName name="calcR2LOB1Clinician4Disc1Emp1AllowPerc">calc!$K$196:$M$196</definedName>
    <definedName name="calcR2LOB1Clinician4Disc1Emp1BaseProd">calc!$K$166:$M$166</definedName>
    <definedName name="calcR2LOB1Clinician4Disc1Emp1GrossProd">calc!$K$280:$M$280</definedName>
    <definedName name="calcR2LOB1Clinician4Disc1Emp1MissVisits">calc!$K$366:$M$366</definedName>
    <definedName name="calcR2LOB1Clinician4Disc1Emp1ModifiedProd">calc!$K$254:$M$254</definedName>
    <definedName name="calcR2LOB1Clinician4Disc1Emp1NetProd">calc!$K$394:$M$394</definedName>
    <definedName name="calcR2LOB1Clinician4Disc1Emp1OverTIme">calc!$K$429:$M$429</definedName>
    <definedName name="calcR2LOB1Clinician4Disc2AvgMissPerc">calc!$K$351:$M$351</definedName>
    <definedName name="calcR2LOB1Clinician4Disc2BaseMissPerc">calc!$K$323:$M$323</definedName>
    <definedName name="calcR2LOB1Clinician4Disc2Emp1AllocatedProd">calc!$K$237:$M$237</definedName>
    <definedName name="calcR2LOB1Clinician4Disc2Emp1AllowPerc">calc!$K$209:$M$209</definedName>
    <definedName name="calcR2LOB1Clinician4Disc2Emp1BaseProd">calc!$K$179:$M$179</definedName>
    <definedName name="calcR2LOB1Clinician4Disc2Emp1GrossProd">calc!$K$293:$M$293</definedName>
    <definedName name="calcR2LOB1Clinician4Disc2Emp1MissVisits">calc!$K$379:$M$379</definedName>
    <definedName name="calcR2LOB1Clinician4Disc2Emp1ModifiedProd">calc!$K$266:$M$266</definedName>
    <definedName name="calcR2LOB1Clinician4Disc2Emp1NetProd">calc!$K$407:$M$407</definedName>
    <definedName name="calcR2LOB1Clinician4Disc2Emp1OverTIme">calc!$K$441:$M$441</definedName>
    <definedName name="calcR2LOB1Clinician4Emp2AllocatedProd">calc!$K$487:$M$487</definedName>
    <definedName name="calcR2LOB1Clinician4Emp2AllowPerc">calc!$K$472:$M$472</definedName>
    <definedName name="calcR2LOB1Clinician4Emp2AvgMissPerc">calc!$K$550:$M$550</definedName>
    <definedName name="calcR2LOB1Clinician4Emp2BaseMissPerc">calc!$K$535:$M$535</definedName>
    <definedName name="calcR2LOB1Clinician4Emp2BaseProd">calc!$K$455:$M$455</definedName>
    <definedName name="calcR2LOB1Clinician4Emp2GrossProd">calc!$K$518:$M$518</definedName>
    <definedName name="calcR2LOB1Clinician4Emp2MissVisits">calc!$K$565:$M$565</definedName>
    <definedName name="calcR2LOB1Clinician4Emp2ModifiedProd">calc!$K$504:$M$504</definedName>
    <definedName name="calcR2LOB1Clinician4Emp2NetProd">calc!$K$580:$M$580</definedName>
    <definedName name="calcR2LOB1Clinician4Emp2OverTIme">calc!$K$597:$M$597</definedName>
    <definedName name="calcR2LOB1Clinician4Emp3AllocatedProd">calc!$K$643:$M$643</definedName>
    <definedName name="calcR2LOB1Clinician4Emp3AllowPerc">calc!$K$628:$M$628</definedName>
    <definedName name="calcR2LOB1Clinician4Emp3AvgMissPerc">calc!$K$706:$M$706</definedName>
    <definedName name="calcR2LOB1Clinician4Emp3BaseMissPerc">calc!$K$691:$M$691</definedName>
    <definedName name="calcR2LOB1Clinician4Emp3BaseProd">calc!$K$611:$M$611</definedName>
    <definedName name="calcR2LOB1Clinician4Emp3GrossProd">calc!$K$674:$M$674</definedName>
    <definedName name="calcR2LOB1Clinician4Emp3MissVisits">calc!$K$721:$M$721</definedName>
    <definedName name="calcR2LOB1Clinician4Emp3ModifiedProd">calc!$K$660:$M$660</definedName>
    <definedName name="calcR2LOB1Clinician4Emp3NetProd">calc!$K$736:$M$736</definedName>
    <definedName name="calcR2LOB1Clinician4Emp3OverTIme">calc!$K$753:$M$753</definedName>
    <definedName name="calcR2LOB1Clinician4GrossProd">calc!$K$797:$M$797</definedName>
    <definedName name="calcR2LOB1Clinician4MissVisits">calc!$K$813:$M$813</definedName>
    <definedName name="calcR2LOB1Clinician4NetVisits">calc!$K$847:$M$847</definedName>
    <definedName name="calcR2LOB1Clinician4OverTime">calc!$K$863:$M$863</definedName>
    <definedName name="calcR2LOB1Clinician5AllocatedProd">calc!$K$782:$M$782</definedName>
    <definedName name="calcR2LOB1Clinician5AvgMissPerc">calc!$K$831:$M$831</definedName>
    <definedName name="calcR2LOB1Clinician5BaseProd">calc!$K$768:$M$768</definedName>
    <definedName name="calcR2LOB1Clinician5Disc1AvgMissPerc">calc!$K$339:$M$339</definedName>
    <definedName name="calcR2LOB1Clinician5Disc1BaseMissPerc">calc!$K$311:$M$311</definedName>
    <definedName name="calcR2LOB1Clinician5Disc1Emp1AllocatedProd">calc!$K$225:$M$225</definedName>
    <definedName name="calcR2LOB1Clinician5Disc1Emp1AllowPerc">calc!$K$197:$M$197</definedName>
    <definedName name="calcR2LOB1Clinician5Disc1Emp1BaseProd">calc!$K$167:$M$167</definedName>
    <definedName name="calcR2LOB1Clinician5Disc1Emp1GrossProd">calc!$K$281:$M$281</definedName>
    <definedName name="calcR2LOB1Clinician5Disc1Emp1MissVisits">calc!$K$367:$M$367</definedName>
    <definedName name="calcR2LOB1Clinician5Disc1Emp1ModifiedProd">calc!$K$255:$M$255</definedName>
    <definedName name="calcR2LOB1Clinician5Disc1Emp1NetProd">calc!$K$395:$M$395</definedName>
    <definedName name="calcR2LOB1Clinician5Disc1Emp1OverTIme">calc!$K$430:$M$430</definedName>
    <definedName name="calcR2LOB1Clinician5Disc2AvgMissPerc">calc!$K$352:$M$352</definedName>
    <definedName name="calcR2LOB1Clinician5Disc2BaseMissPerc">calc!$K$324:$M$324</definedName>
    <definedName name="calcR2LOB1Clinician5Disc2Emp1AllocatedProd">calc!$K$238:$M$238</definedName>
    <definedName name="calcR2LOB1Clinician5Disc2Emp1AllowPerc">calc!$K$210:$M$210</definedName>
    <definedName name="calcR2LOB1Clinician5Disc2Emp1BaseProd">calc!$K$180:$M$180</definedName>
    <definedName name="calcR2LOB1Clinician5Disc2Emp1GrossProd">calc!$K$294:$M$294</definedName>
    <definedName name="calcR2LOB1Clinician5Disc2Emp1MissVisits">calc!$K$380:$M$380</definedName>
    <definedName name="calcR2LOB1Clinician5Disc2Emp1ModifiedProd">calc!$K$267:$M$267</definedName>
    <definedName name="calcR2LOB1Clinician5Disc2Emp1NetProd">calc!$K$408:$M$408</definedName>
    <definedName name="calcR2LOB1Clinician5Disc2Emp1OverTIme">calc!$K$442:$M$442</definedName>
    <definedName name="calcR2LOB1Clinician5Emp2AllocatedProd">calc!$K$488:$M$488</definedName>
    <definedName name="calcR2LOB1Clinician5Emp2AllowPerc">calc!$K$473:$M$473</definedName>
    <definedName name="calcR2LOB1Clinician5Emp2AvgMissPerc">calc!$K$551:$M$551</definedName>
    <definedName name="calcR2LOB1Clinician5Emp2BaseMissPerc">calc!$K$536:$M$536</definedName>
    <definedName name="calcR2LOB1Clinician5Emp2BaseProd">calc!$K$456:$M$456</definedName>
    <definedName name="calcR2LOB1Clinician5Emp2GrossProd">calc!$K$519:$M$519</definedName>
    <definedName name="calcR2LOB1Clinician5Emp2MissVisits">calc!$K$566:$M$566</definedName>
    <definedName name="calcR2LOB1Clinician5Emp2ModifiedProd">calc!$K$505:$M$505</definedName>
    <definedName name="calcR2LOB1Clinician5Emp2NetProd">calc!$K$581:$M$581</definedName>
    <definedName name="calcR2LOB1Clinician5Emp2OverTIme">calc!$K$598:$M$598</definedName>
    <definedName name="calcR2LOB1Clinician5Emp3AllocatedProd">calc!$K$644:$M$644</definedName>
    <definedName name="calcR2LOB1Clinician5Emp3AllowPerc">calc!$K$629:$M$629</definedName>
    <definedName name="calcR2LOB1Clinician5Emp3AvgMissPerc">calc!$K$707:$M$707</definedName>
    <definedName name="calcR2LOB1Clinician5Emp3BaseMissPerc">calc!$K$692:$M$692</definedName>
    <definedName name="calcR2LOB1Clinician5Emp3BaseProd">calc!$K$612:$M$612</definedName>
    <definedName name="calcR2LOB1Clinician5Emp3GrossProd">calc!$K$675:$M$675</definedName>
    <definedName name="calcR2LOB1Clinician5Emp3MissVisits">calc!$K$722:$M$722</definedName>
    <definedName name="calcR2LOB1Clinician5Emp3ModifiedProd">calc!$K$661:$M$661</definedName>
    <definedName name="calcR2LOB1Clinician5Emp3NetProd">calc!$K$737:$M$737</definedName>
    <definedName name="calcR2LOB1Clinician5Emp3OverTIme">calc!$K$754:$M$754</definedName>
    <definedName name="calcR2LOB1Clinician5GrossProd">calc!$K$798:$M$798</definedName>
    <definedName name="calcR2LOB1Clinician5MissVisits">calc!$K$814:$M$814</definedName>
    <definedName name="calcR2LOB1Clinician5NetVisits">calc!$K$848:$M$848</definedName>
    <definedName name="calcR2LOB1Clinician5OverTime">calc!$K$864:$M$864</definedName>
    <definedName name="calcR2LOB1Clinician6AllocatedProd">calc!$K$783:$M$783</definedName>
    <definedName name="calcR2LOB1Clinician6AvgMissPerc">calc!$K$832:$M$832</definedName>
    <definedName name="calcR2LOB1Clinician6BaseProd">calc!$K$769:$M$769</definedName>
    <definedName name="calcR2LOB1Clinician6Disc1AvgMissPerc">calc!$K$340:$M$340</definedName>
    <definedName name="calcR2LOB1Clinician6Disc1BaseMissPerc">calc!$K$312:$M$312</definedName>
    <definedName name="calcR2LOB1Clinician6Disc1Emp1AllocatedProd">calc!$K$226:$M$226</definedName>
    <definedName name="calcR2LOB1Clinician6Disc1Emp1AllowPerc">calc!$K$198:$M$198</definedName>
    <definedName name="calcR2LOB1Clinician6Disc1Emp1BaseProd">calc!$K$168:$M$168</definedName>
    <definedName name="calcR2LOB1Clinician6Disc1Emp1GrossProd">calc!$K$282:$M$282</definedName>
    <definedName name="calcR2LOB1Clinician6Disc1Emp1MissVisits">calc!$K$368:$M$368</definedName>
    <definedName name="calcR2LOB1Clinician6Disc1Emp1ModifiedProd">calc!$K$256:$M$256</definedName>
    <definedName name="calcR2LOB1Clinician6Disc1Emp1NetProd">calc!$K$396:$M$396</definedName>
    <definedName name="calcR2LOB1Clinician6Disc1Emp1OverTIme">calc!$K$431:$M$431</definedName>
    <definedName name="calcR2LOB1Clinician6Disc2AvgMissPerc">calc!$K$353:$M$353</definedName>
    <definedName name="calcR2LOB1Clinician6Disc2BaseMissPerc">calc!$K$325:$M$325</definedName>
    <definedName name="calcR2LOB1Clinician6Disc2Emp1AllocatedProd">calc!$K$239:$M$239</definedName>
    <definedName name="calcR2LOB1Clinician6Disc2Emp1AllowPerc">calc!$K$211:$M$211</definedName>
    <definedName name="calcR2LOB1Clinician6Disc2Emp1BaseProd">calc!$K$181:$M$181</definedName>
    <definedName name="calcR2LOB1Clinician6Disc2Emp1GrossProd">calc!$K$295:$M$295</definedName>
    <definedName name="calcR2LOB1Clinician6Disc2Emp1MissVisits">calc!$K$381:$M$381</definedName>
    <definedName name="calcR2LOB1Clinician6Disc2Emp1ModifiedProd">calc!$K$268:$M$268</definedName>
    <definedName name="calcR2LOB1Clinician6Disc2Emp1NetProd">calc!$K$409:$M$409</definedName>
    <definedName name="calcR2LOB1Clinician6Disc2Emp1OverTIme">calc!$K$443:$M$443</definedName>
    <definedName name="calcR2LOB1Clinician6Emp2AllocatedProd">calc!$K$489:$M$489</definedName>
    <definedName name="calcR2LOB1Clinician6Emp2AllowPerc">calc!$K$474:$M$474</definedName>
    <definedName name="calcR2LOB1Clinician6Emp2AvgMissPerc">calc!$K$552:$M$552</definedName>
    <definedName name="calcR2LOB1Clinician6Emp2BaseMissPerc">calc!$K$537:$M$537</definedName>
    <definedName name="calcR2LOB1Clinician6Emp2BaseProd">calc!$K$457:$M$457</definedName>
    <definedName name="calcR2LOB1Clinician6Emp2GrossProd">calc!$K$520:$M$520</definedName>
    <definedName name="calcR2LOB1Clinician6Emp2MissVisits">calc!$K$567:$M$567</definedName>
    <definedName name="calcR2LOB1Clinician6Emp2ModifiedProd">calc!$K$506:$M$506</definedName>
    <definedName name="calcR2LOB1Clinician6Emp2NetProd">calc!$K$582:$M$582</definedName>
    <definedName name="calcR2LOB1Clinician6Emp2OverTIme">calc!$K$599:$M$599</definedName>
    <definedName name="calcR2LOB1Clinician6Emp3AllocatedProd">calc!$K$645:$M$645</definedName>
    <definedName name="calcR2LOB1Clinician6Emp3AllowPerc">calc!$K$630:$M$630</definedName>
    <definedName name="calcR2LOB1Clinician6Emp3AvgMissPerc">calc!$K$708:$M$708</definedName>
    <definedName name="calcR2LOB1Clinician6Emp3BaseMissPerc">calc!$K$693:$M$693</definedName>
    <definedName name="calcR2LOB1Clinician6Emp3BaseProd">calc!$K$613:$M$613</definedName>
    <definedName name="calcR2LOB1Clinician6Emp3GrossProd">calc!$K$676:$M$676</definedName>
    <definedName name="calcR2LOB1Clinician6Emp3MissVisits">calc!$K$723:$M$723</definedName>
    <definedName name="calcR2LOB1Clinician6Emp3ModifiedProd">calc!$K$662:$M$662</definedName>
    <definedName name="calcR2LOB1Clinician6Emp3NetProd">calc!$K$738:$M$738</definedName>
    <definedName name="calcR2LOB1Clinician6Emp3OverTIme">calc!$K$755:$M$755</definedName>
    <definedName name="calcR2LOB1Clinician6GrossProd">calc!$K$799:$M$799</definedName>
    <definedName name="calcR2LOB1Clinician6MissVisits">calc!$K$815:$M$815</definedName>
    <definedName name="calcR2LOB1Clinician6NetVisits">calc!$K$849:$M$849</definedName>
    <definedName name="calcR2LOB1Clinician6OverTime">calc!$K$865:$M$865</definedName>
    <definedName name="calcR2LOB1Clinician7AllocatedProd">calc!$K$784:$M$784</definedName>
    <definedName name="calcR2LOB1Clinician7AvgMissPerc">calc!$K$833:$M$833</definedName>
    <definedName name="calcR2LOB1Clinician7BaseProd">calc!$K$770:$M$770</definedName>
    <definedName name="calcR2LOB1Clinician7Disc1AvgMissPerc">calc!$K$341:$M$341</definedName>
    <definedName name="calcR2LOB1Clinician7Disc1BaseMissPerc">calc!$K$313:$M$313</definedName>
    <definedName name="calcR2LOB1Clinician7Disc1Emp1AllocatedProd">calc!$K$227:$M$227</definedName>
    <definedName name="calcR2LOB1Clinician7Disc1Emp1AllowPerc">calc!$K$199:$M$199</definedName>
    <definedName name="calcR2LOB1Clinician7Disc1Emp1BaseProd">calc!$K$169:$M$169</definedName>
    <definedName name="calcR2LOB1Clinician7Disc1Emp1GrossProd">calc!$K$283:$M$283</definedName>
    <definedName name="calcR2LOB1Clinician7Disc1Emp1MissVisits">calc!$K$369:$M$369</definedName>
    <definedName name="calcR2LOB1Clinician7Disc1Emp1ModifiedProd">calc!$K$257:$M$257</definedName>
    <definedName name="calcR2LOB1Clinician7Disc1Emp1NetProd">calc!$K$397:$M$397</definedName>
    <definedName name="calcR2LOB1Clinician7Disc1Emp1OverTIme">calc!$K$432:$M$432</definedName>
    <definedName name="calcR2LOB1Clinician7Disc2AvgMissPerc">calc!$K$354:$M$354</definedName>
    <definedName name="calcR2LOB1Clinician7Disc2BaseMissPerc">calc!$K$326:$M$326</definedName>
    <definedName name="calcR2LOB1Clinician7Disc2Emp1AllocatedProd">calc!$K$240:$M$240</definedName>
    <definedName name="calcR2LOB1Clinician7Disc2Emp1AllowPerc">calc!$K$212:$M$212</definedName>
    <definedName name="calcR2LOB1Clinician7Disc2Emp1BaseProd">calc!$K$182:$M$182</definedName>
    <definedName name="calcR2LOB1Clinician7Disc2Emp1GrossProd">calc!$K$296:$M$296</definedName>
    <definedName name="calcR2LOB1Clinician7Disc2Emp1MissVisits">calc!$K$382:$M$382</definedName>
    <definedName name="calcR2LOB1Clinician7Disc2Emp1ModifiedProd">calc!$K$269:$M$269</definedName>
    <definedName name="calcR2LOB1Clinician7Disc2Emp1NetProd">calc!$K$410:$M$410</definedName>
    <definedName name="calcR2LOB1Clinician7Disc2Emp1OverTIme">calc!$K$444:$M$444</definedName>
    <definedName name="calcR2LOB1Clinician7Emp2AllocatedProd">calc!$K$490:$M$490</definedName>
    <definedName name="calcR2LOB1Clinician7Emp2AllowPerc">calc!$K$475:$M$475</definedName>
    <definedName name="calcR2LOB1Clinician7Emp2AvgMissPerc">calc!$K$553:$M$553</definedName>
    <definedName name="calcR2LOB1Clinician7Emp2BaseMissPerc">calc!$K$538:$M$538</definedName>
    <definedName name="calcR2LOB1Clinician7Emp2BaseProd">calc!$K$458:$M$458</definedName>
    <definedName name="calcR2LOB1Clinician7Emp2GrossProd">calc!$K$521:$M$521</definedName>
    <definedName name="calcR2LOB1Clinician7Emp2MissVisits">calc!$K$568:$M$568</definedName>
    <definedName name="calcR2LOB1Clinician7Emp2ModifiedProd">calc!$K$507:$M$507</definedName>
    <definedName name="calcR2LOB1Clinician7Emp2NetProd">calc!$K$583:$M$583</definedName>
    <definedName name="calcR2LOB1Clinician7Emp2OverTIme">calc!$K$600:$M$600</definedName>
    <definedName name="calcR2LOB1Clinician7Emp3AllocatedProd">calc!$K$646:$M$646</definedName>
    <definedName name="calcR2LOB1Clinician7Emp3AllowPerc">calc!$K$631:$M$631</definedName>
    <definedName name="calcR2LOB1Clinician7Emp3AvgMissPerc">calc!$K$709:$M$709</definedName>
    <definedName name="calcR2LOB1Clinician7Emp3BaseMissPerc">calc!$K$694:$M$694</definedName>
    <definedName name="calcR2LOB1Clinician7Emp3BaseProd">calc!$K$614:$M$614</definedName>
    <definedName name="calcR2LOB1Clinician7Emp3GrossProd">calc!$K$677:$M$677</definedName>
    <definedName name="calcR2LOB1Clinician7Emp3MissVisits">calc!$K$724:$M$724</definedName>
    <definedName name="calcR2LOB1Clinician7Emp3ModifiedProd">calc!$K$663:$M$663</definedName>
    <definedName name="calcR2LOB1Clinician7Emp3NetProd">calc!$K$739:$M$739</definedName>
    <definedName name="calcR2LOB1Clinician7Emp3OverTIme">calc!$K$756:$M$756</definedName>
    <definedName name="calcR2LOB1Clinician7GrossProd">calc!$K$800:$M$800</definedName>
    <definedName name="calcR2LOB1Clinician7MissVisits">calc!$K$816:$M$816</definedName>
    <definedName name="calcR2LOB1Clinician7NetVisits">calc!$K$850:$M$850</definedName>
    <definedName name="calcR2LOB1Clinician7OverTime">calc!$K$866:$M$866</definedName>
    <definedName name="calcR2LOB1Clinician8AllocatedProd">calc!$K$785:$M$785</definedName>
    <definedName name="calcR2LOB1Clinician8AvgMissPerc">calc!$K$834:$M$834</definedName>
    <definedName name="calcR2LOB1Clinician8BaseProd">calc!$K$771:$M$771</definedName>
    <definedName name="calcR2LOB1Clinician8Disc1AvgMissPerc">calc!$K$342:$M$342</definedName>
    <definedName name="calcR2LOB1Clinician8Disc1BaseMissPerc">calc!$K$314:$M$314</definedName>
    <definedName name="calcR2LOB1Clinician8Disc1Emp1AllocatedProd">calc!$K$228:$M$228</definedName>
    <definedName name="calcR2LOB1Clinician8Disc1Emp1AllowPerc">calc!$K$200:$M$200</definedName>
    <definedName name="calcR2LOB1Clinician8Disc1Emp1BaseProd">calc!$K$170:$M$170</definedName>
    <definedName name="calcR2LOB1Clinician8Disc1Emp1GrossProd">calc!$K$284:$M$284</definedName>
    <definedName name="calcR2LOB1Clinician8Disc1Emp1MissVisits">calc!$K$370:$M$370</definedName>
    <definedName name="calcR2LOB1Clinician8Disc1Emp1ModifiedProd">calc!$K$258:$M$258</definedName>
    <definedName name="calcR2LOB1Clinician8Disc1Emp1NetProd">calc!$K$398:$M$398</definedName>
    <definedName name="calcR2LOB1Clinician8Disc1Emp1OverTIme">calc!$K$433:$M$433</definedName>
    <definedName name="calcR2LOB1Clinician8Disc2AvgMissPerc">calc!$K$355:$M$355</definedName>
    <definedName name="calcR2LOB1Clinician8Disc2BaseMissPerc">calc!$K$327:$M$327</definedName>
    <definedName name="calcR2LOB1Clinician8Disc2Emp1AllocatedProd">calc!$K$241:$M$241</definedName>
    <definedName name="calcR2LOB1Clinician8Disc2Emp1AllowPerc">calc!$K$213:$M$213</definedName>
    <definedName name="calcR2LOB1Clinician8Disc2Emp1BaseProd">calc!$K$183:$M$183</definedName>
    <definedName name="calcR2LOB1Clinician8Disc2Emp1GrossProd">calc!$K$297:$M$297</definedName>
    <definedName name="calcR2LOB1Clinician8Disc2Emp1MissVisits">calc!$K$383:$M$383</definedName>
    <definedName name="calcR2LOB1Clinician8Disc2Emp1ModifiedProd">calc!$K$270:$M$270</definedName>
    <definedName name="calcR2LOB1Clinician8Disc2Emp1NetProd">calc!$K$411:$M$411</definedName>
    <definedName name="calcR2LOB1Clinician8Disc2Emp1OverTIme">calc!$K$445:$M$445</definedName>
    <definedName name="calcR2LOB1Clinician8Emp2AllocatedProd">calc!$K$491:$M$491</definedName>
    <definedName name="calcR2LOB1Clinician8Emp2AllowPerc">calc!$K$476:$M$476</definedName>
    <definedName name="calcR2LOB1Clinician8Emp2AvgMissPerc">calc!$K$554:$M$554</definedName>
    <definedName name="calcR2LOB1Clinician8Emp2BaseMissPerc">calc!$K$539:$M$539</definedName>
    <definedName name="calcR2LOB1Clinician8Emp2BaseProd">calc!$K$459:$M$459</definedName>
    <definedName name="calcR2LOB1Clinician8Emp2GrossProd">calc!$K$522:$M$522</definedName>
    <definedName name="calcR2LOB1Clinician8Emp2MissVisits">calc!$K$569:$M$569</definedName>
    <definedName name="calcR2LOB1Clinician8Emp2ModifiedProd">calc!$K$508:$M$508</definedName>
    <definedName name="calcR2LOB1Clinician8Emp2NetProd">calc!$K$584:$M$584</definedName>
    <definedName name="calcR2LOB1Clinician8Emp2OverTIme">calc!$K$601:$M$601</definedName>
    <definedName name="calcR2LOB1Clinician8Emp3AllocatedProd">calc!$K$647:$M$647</definedName>
    <definedName name="calcR2LOB1Clinician8Emp3AllowPerc">calc!$K$632:$M$632</definedName>
    <definedName name="calcR2LOB1Clinician8Emp3AvgMissPerc">calc!$K$710:$M$710</definedName>
    <definedName name="calcR2LOB1Clinician8Emp3BaseMissPerc">calc!$K$695:$M$695</definedName>
    <definedName name="calcR2LOB1Clinician8Emp3BaseProd">calc!$K$615:$M$615</definedName>
    <definedName name="calcR2LOB1Clinician8Emp3GrossProd">calc!$K$678:$M$678</definedName>
    <definedName name="calcR2LOB1Clinician8Emp3MissVisits">calc!$K$725:$M$725</definedName>
    <definedName name="calcR2LOB1Clinician8Emp3ModifiedProd">calc!$K$664:$M$664</definedName>
    <definedName name="calcR2LOB1Clinician8Emp3NetProd">calc!$K$740:$M$740</definedName>
    <definedName name="calcR2LOB1Clinician8Emp3OverTIme">calc!$K$757:$M$757</definedName>
    <definedName name="calcR2LOB1Clinician8GrossProd">calc!$K$801:$M$801</definedName>
    <definedName name="calcR2LOB1Clinician8MissVisits">calc!$K$817:$M$817</definedName>
    <definedName name="calcR2LOB1Clinician8NetVisits">calc!$K$851:$M$851</definedName>
    <definedName name="calcR2LOB1Clinician8OverTime">calc!$K$867:$M$867</definedName>
    <definedName name="calcR2LOB1Clinician9AllocatedProd">calc!$K$786:$M$786</definedName>
    <definedName name="calcR2LOB1Clinician9AvgMissPerc">calc!$K$835:$M$835</definedName>
    <definedName name="calcR2LOB1Clinician9BaseProd">calc!$K$772:$M$772</definedName>
    <definedName name="calcR2LOB1Clinician9Disc1AvgMissPerc">calc!$K$343:$M$343</definedName>
    <definedName name="calcR2LOB1Clinician9Disc1BaseMissPerc">calc!$K$315:$M$315</definedName>
    <definedName name="calcR2LOB1Clinician9Disc1Emp1AllocatedProd">calc!$K$229:$M$229</definedName>
    <definedName name="calcR2LOB1Clinician9Disc1Emp1AllowPerc">calc!$K$201:$M$201</definedName>
    <definedName name="calcR2LOB1Clinician9Disc1Emp1BaseProd">calc!$K$171:$M$171</definedName>
    <definedName name="calcR2LOB1Clinician9Disc1Emp1GrossProd">calc!$K$285:$M$285</definedName>
    <definedName name="calcR2LOB1Clinician9Disc1Emp1MissVisits">calc!$K$371:$M$371</definedName>
    <definedName name="calcR2LOB1Clinician9Disc1Emp1ModifiedProd">calc!$K$259:$M$259</definedName>
    <definedName name="calcR2LOB1Clinician9Disc1Emp1NetProd">calc!$K$399:$M$399</definedName>
    <definedName name="calcR2LOB1Clinician9Disc1Emp1OverTIme">calc!$K$434:$M$434</definedName>
    <definedName name="calcR2LOB1Clinician9Disc2AvgMissPerc">calc!$K$356:$M$356</definedName>
    <definedName name="calcR2LOB1Clinician9Disc2BaseMissPerc">calc!$K$328:$M$328</definedName>
    <definedName name="calcR2LOB1Clinician9Disc2Emp1AllocatedProd">calc!$K$242:$M$242</definedName>
    <definedName name="calcR2LOB1Clinician9Disc2Emp1AllowPerc">calc!$K$214:$M$214</definedName>
    <definedName name="calcR2LOB1Clinician9Disc2Emp1BaseProd">calc!$K$184:$M$184</definedName>
    <definedName name="calcR2LOB1Clinician9Disc2Emp1GrossProd">calc!$K$298:$M$298</definedName>
    <definedName name="calcR2LOB1Clinician9Disc2Emp1MissVisits">calc!$K$384:$M$384</definedName>
    <definedName name="calcR2LOB1Clinician9Disc2Emp1ModifiedProd">calc!$K$271:$M$271</definedName>
    <definedName name="calcR2LOB1Clinician9Disc2Emp1NetProd">calc!$K$412:$M$412</definedName>
    <definedName name="calcR2LOB1Clinician9Disc2Emp1OverTIme">calc!$K$446:$M$446</definedName>
    <definedName name="calcR2LOB1Clinician9Emp2AllocatedProd">calc!$K$492:$M$492</definedName>
    <definedName name="calcR2LOB1Clinician9Emp2AllowPerc">calc!$K$477:$M$477</definedName>
    <definedName name="calcR2LOB1Clinician9Emp2AvgMissPerc">calc!$K$555:$M$555</definedName>
    <definedName name="calcR2LOB1Clinician9Emp2BaseMissPerc">calc!$K$540:$M$540</definedName>
    <definedName name="calcR2LOB1Clinician9Emp2BaseProd">calc!$K$460:$M$460</definedName>
    <definedName name="calcR2LOB1Clinician9Emp2GrossProd">calc!$K$523:$M$523</definedName>
    <definedName name="calcR2LOB1Clinician9Emp2MissVisits">calc!$K$570:$M$570</definedName>
    <definedName name="calcR2LOB1Clinician9Emp2ModifiedProd">calc!$K$509:$M$509</definedName>
    <definedName name="calcR2LOB1Clinician9Emp2NetProd">calc!$K$585:$M$585</definedName>
    <definedName name="calcR2LOB1Clinician9Emp2OverTIme">calc!$K$602:$M$602</definedName>
    <definedName name="calcR2LOB1Clinician9Emp3AllocatedProd">calc!$K$648:$M$648</definedName>
    <definedName name="calcR2LOB1Clinician9Emp3AllowPerc">calc!$K$633:$M$633</definedName>
    <definedName name="calcR2LOB1Clinician9Emp3AvgMissPerc">calc!$K$711:$M$711</definedName>
    <definedName name="calcR2LOB1Clinician9Emp3BaseMissPerc">calc!$K$696:$M$696</definedName>
    <definedName name="calcR2LOB1Clinician9Emp3BaseProd">calc!$K$616:$M$616</definedName>
    <definedName name="calcR2LOB1Clinician9Emp3GrossProd">calc!$K$679:$M$679</definedName>
    <definedName name="calcR2LOB1Clinician9Emp3MissVisits">calc!$K$726:$M$726</definedName>
    <definedName name="calcR2LOB1Clinician9Emp3ModifiedProd">calc!$K$665:$M$665</definedName>
    <definedName name="calcR2LOB1Clinician9Emp3NetProd">calc!$K$741:$M$741</definedName>
    <definedName name="calcR2LOB1Clinician9Emp3OverTIme">calc!$K$758:$M$758</definedName>
    <definedName name="calcR2LOB1Clinician9GrossProd">calc!$K$802:$M$802</definedName>
    <definedName name="calcR2LOB1Clinician9MissVisits">calc!$K$818:$M$818</definedName>
    <definedName name="calcR2LOB1Clinician9NetVisits">calc!$K$852:$M$852</definedName>
    <definedName name="calcR2LOB1Clinician9OverTime">calc!$K$868:$M$868</definedName>
    <definedName name="calcR2LOB1ClinicianAllocatedVisits">calc!$K$791:$M$791</definedName>
    <definedName name="calcR2LOB1ClinicianAvgMissPerc">calc!$K$841:$M$841</definedName>
    <definedName name="calcR2LOB1ClinicianGrossProd">calc!$K$807:$M$807</definedName>
    <definedName name="calcR2LOB1ClinicianMissVisits">calc!$K$823:$M$823</definedName>
    <definedName name="calcR2LOB1ClinicianMissVisitsPerc">calc!$K$824:$M$824</definedName>
    <definedName name="calcR2LOB1ClinicianNetVisits">calc!$K$857:$M$857</definedName>
    <definedName name="calcR2LOB1ClinicianOverTime">calc!$K$873:$M$873</definedName>
    <definedName name="calcR2LOB1ClinicianOverTimePerc">calc!$K$874:$M$874</definedName>
    <definedName name="calcR2LOB1ClinicianTotalMissPerc">calc!$K$840:$M$840</definedName>
    <definedName name="calcR2LOB1CSAT">calc!$K$973:$M$973</definedName>
    <definedName name="calcR2LOB1Disc1EmpCount">calc!$K$908:$M$908</definedName>
    <definedName name="calcR2LOB1Disc1Retention">calc!$K$1010:$M$1010</definedName>
    <definedName name="calcR2LOB1Disc1TotalVisits">calc!$K$420:$M$420</definedName>
    <definedName name="calcR2LOB1Disc1TotalVisitsPerc">calc!$K$422:$M$422</definedName>
    <definedName name="calcR2LOB1Disc2BelowLicsenceVisits">calc!$K$424:$M$424</definedName>
    <definedName name="calcR2LOB1Disc2EmpCount">calc!$K$909:$M$909</definedName>
    <definedName name="calcR2LOB1Disc2Retention">calc!$K$1018:$M$1018</definedName>
    <definedName name="calcR2LOB1Disc2TotalVisits">calc!$K$421:$M$421</definedName>
    <definedName name="calcR2LOB1Disc2TotalVisitsPerc">calc!$K$423:$M$423</definedName>
    <definedName name="calcR2LOB1Disc3EmpCount">calc!$K$911:$M$911</definedName>
    <definedName name="calcR2LOB1Disc3Retention">calc!$K$1026:$M$1026</definedName>
    <definedName name="calcR2LOB1Disc4EmpCount">calc!$K$912:$M$912</definedName>
    <definedName name="calcR2LOB1Disc4Retention">calc!$K$1034:$M$1034</definedName>
    <definedName name="calcR2LOB1DOOActionTime1">calc!$K$941:$M$941</definedName>
    <definedName name="calcR2LOB1DOOActionTime2">calc!$K$942:$M$942</definedName>
    <definedName name="calcR2LOB1DOOActionTime3">calc!$K$943:$M$943</definedName>
    <definedName name="calcR2LOB1DOOActionTime4">calc!$K$944:$M$944</definedName>
    <definedName name="calcR2LOB1DOOActionTime5">calc!$K$945:$M$945</definedName>
    <definedName name="calcR2LOB1DOOActionTime6">calc!$K$946:$M$946</definedName>
    <definedName name="calcR2LOB1DOOBaseTime1">calc!$K$931:$M$931</definedName>
    <definedName name="calcR2LOB1DOOBaseTime2">calc!$K$932:$M$932</definedName>
    <definedName name="calcR2LOB1DOOBaseTime3">calc!$K$933:$M$933</definedName>
    <definedName name="calcR2LOB1DOOBaseTime4">calc!$K$934:$M$934</definedName>
    <definedName name="calcR2LOB1DOOBaseTime5">calc!$K$935:$M$935</definedName>
    <definedName name="calcR2LOB1DOOBaseTime6">calc!$K$936:$M$936</definedName>
    <definedName name="calcR2LOB1DOOPlanTime1">calc!$K$951:$M$951</definedName>
    <definedName name="calcR2LOB1DOOPlanTime2">calc!$K$952:$M$952</definedName>
    <definedName name="calcR2LOB1DOOPlanTime3">calc!$K$953:$M$953</definedName>
    <definedName name="calcR2LOB1DOOPlanTime4">calc!$K$954:$M$954</definedName>
    <definedName name="calcR2LOB1DOOPlanTime5">calc!$K$955:$M$955</definedName>
    <definedName name="calcR2LOB1DOOPlanTime6">calc!$K$956:$M$956</definedName>
    <definedName name="calcR2LOB1DOOStaffModImpact">calc!$K$962:$M$962</definedName>
    <definedName name="calcR2LOB1DOOTotalActionTime">calc!$K$948:$M$948</definedName>
    <definedName name="calcR2LOB1DOOTotalBaseTime">calc!$K$938:$M$938</definedName>
    <definedName name="calcR2LOB1DOOTotalPlanTime">calc!$K$958:$M$958</definedName>
    <definedName name="calcR2LOB1Emp1ActualVisits">calc!$K$885:$M$885</definedName>
    <definedName name="calcR2LOB1Emp1AllocatedProd">calc!$K$248:$M$248</definedName>
    <definedName name="calcR2LOB1Emp1BaseProdCapacity">calc!$K$190:$M$190</definedName>
    <definedName name="calcR2LOB1Emp1Capacity">calc!$K$133:$M$133</definedName>
    <definedName name="calcR2LOB1Emp1Count">calc!$K$910:$M$910</definedName>
    <definedName name="calcR2LOB1Emp1GrossProdCapacity">calc!$K$304:$M$304</definedName>
    <definedName name="calcR2LOB1Emp1NetProduction">calc!$K$418:$M$418</definedName>
    <definedName name="calcR2LOB1Emp1PercNonSalaried">calc!$K$419:$M$419</definedName>
    <definedName name="calcR2LOB1Emp1Utilization">calc!$K$138:$M$138</definedName>
    <definedName name="calcR2LOB1Emp1Visits">calc!$K$107:$M$107</definedName>
    <definedName name="calcR2LOB1Emp1Work">calc!$K$137:$M$137</definedName>
    <definedName name="calcR2LOB1Emp2ActualVisits">calc!$K$895:$M$895</definedName>
    <definedName name="calcR2LOB1Emp2AllocatedProd">calc!$K$498:$M$498</definedName>
    <definedName name="calcR2LOB1Emp2BaseProdCapacity">calc!$K$466:$M$466</definedName>
    <definedName name="calcR2LOB1Emp2Capacity">calc!$K$143:$M$143</definedName>
    <definedName name="calcR2LOB1Emp2GrossProdCapacity">calc!$K$529:$M$529</definedName>
    <definedName name="calcR2LOB1Emp2NetProduction">calc!$K$591:$M$591</definedName>
    <definedName name="calcR2LOB1Emp2Utilization">calc!$K$148:$M$148</definedName>
    <definedName name="calcR2LOB1Emp2Visits">calc!$K$117:$M$117</definedName>
    <definedName name="calcR2LOB1Emp2Work">calc!$K$147:$M$147</definedName>
    <definedName name="calcR2LOB1Emp3ActualVisits">calc!$K$905:$M$905</definedName>
    <definedName name="calcR2LOB1Emp3AllocatedProd">calc!$K$654:$M$654</definedName>
    <definedName name="calcR2LOB1Emp3BaseProdCapacity">calc!$K$622:$M$622</definedName>
    <definedName name="calcR2LOB1Emp3Capacity">calc!$K$153:$M$153</definedName>
    <definedName name="calcR2LOB1Emp3GrossProdCapacity">calc!$K$685:$M$685</definedName>
    <definedName name="calcR2LOB1Emp3NetProduction">calc!$K$747:$M$747</definedName>
    <definedName name="calcR2LOB1Emp3Utilization">calc!$K$158:$M$158</definedName>
    <definedName name="calcR2LOB1Emp3Visits">calc!$K$127:$M$127</definedName>
    <definedName name="calcR2LOB1Emp3Work">calc!$K$157:$M$157</definedName>
    <definedName name="calcR2LOB1ESAT">calc!$K$983:$M$983</definedName>
    <definedName name="calcR2LOB1FullEmp">calc!$K$915:$M$915</definedName>
    <definedName name="calcR2LOB1MeetingCount">calc!$K$1036:$M$1036</definedName>
    <definedName name="calcR2LOB1PartEmp">calc!$K$916:$M$916</definedName>
    <definedName name="calcR2LOB1Patients">calc!$K$96:$M$96</definedName>
    <definedName name="calcR2LOB1Prod1Seg1Budget">calc!$K$29:$M$29</definedName>
    <definedName name="calcR2LOB1Prod1Seg1BudgetMM">calc!$K$40:$M$40</definedName>
    <definedName name="calcR2LOB1Prod1Seg1Emp1ActualVisits">calc!$K$878:$M$878</definedName>
    <definedName name="calcR2LOB1Prod1Seg1Emp1Visits">calc!$K$100:$M$100</definedName>
    <definedName name="calcR2LOB1Prod1Seg1Emp2ActualVisits">calc!$K$888:$M$888</definedName>
    <definedName name="calcR2LOB1Prod1Seg1Emp2Visits">calc!$K$110:$M$110</definedName>
    <definedName name="calcR2LOB1Prod1Seg1Emp3ActualVisits">calc!$K$898:$M$898</definedName>
    <definedName name="calcR2LOB1Prod1Seg1Emp3Visits">calc!$K$120:$M$120</definedName>
    <definedName name="calcR2LOB1Prod1Seg1Patients">calc!$K$88:$M$88</definedName>
    <definedName name="calcR2LOB1Prod1Seg1RunRate">calc!$K$6:$M$6</definedName>
    <definedName name="calcR2LOB1Prod1Seg1RunRateM1">calc!$K$52:$M$52</definedName>
    <definedName name="calcR2LOB1Prod1Seg1RunRateM2">calc!$K$64:$M$64</definedName>
    <definedName name="calcR2LOB1Prod1Seg1RunRateM3">calc!$K$76:$M$76</definedName>
    <definedName name="calcR2LOB1Prod1Seg1RunRateMM">calc!$K$17:$M$17</definedName>
    <definedName name="calcR2LOB1Prod1Seg2Budget">calc!$K$30:$M$30</definedName>
    <definedName name="calcR2LOB1Prod1Seg2BudgetMM">calc!$K$41:$M$41</definedName>
    <definedName name="calcR2LOB1Prod1Seg2Emp1ActualVisits">calc!$K$879:$M$879</definedName>
    <definedName name="calcR2LOB1Prod1Seg2Emp1Visits">calc!$K$101:$M$101</definedName>
    <definedName name="calcR2LOB1Prod1Seg2Emp2ActualVisits">calc!$K$889:$M$889</definedName>
    <definedName name="calcR2LOB1Prod1Seg2Emp2Visits">calc!$K$111:$M$111</definedName>
    <definedName name="calcR2LOB1Prod1Seg2Emp3ActualVisits">calc!$K$899:$M$899</definedName>
    <definedName name="calcR2LOB1Prod1Seg2Emp3Visits">calc!$K$121:$M$121</definedName>
    <definedName name="calcR2LOB1Prod1Seg2Patients">calc!$K$89:$M$89</definedName>
    <definedName name="calcR2LOB1Prod1Seg2RunRate">calc!$K$7:$M$7</definedName>
    <definedName name="calcR2LOB1Prod1Seg2RunRateM1">calc!$K$53:$M$53</definedName>
    <definedName name="calcR2LOB1Prod1Seg2RunRateM2">calc!$K$65:$M$65</definedName>
    <definedName name="calcR2LOB1Prod1Seg2RunRateM3">calc!$K$77:$M$77</definedName>
    <definedName name="calcR2LOB1Prod1Seg2RunRateMM">calc!$K$18:$M$18</definedName>
    <definedName name="calcR2LOB1Prod1Seg3Budget">calc!$K$31:$M$31</definedName>
    <definedName name="calcR2LOB1Prod1Seg3BudgetMM">calc!$K$42:$M$42</definedName>
    <definedName name="calcR2LOB1Prod1Seg3Emp1ActualVisits">calc!$K$880:$M$880</definedName>
    <definedName name="calcR2LOB1Prod1Seg3Emp1Visits">calc!$K$102:$M$102</definedName>
    <definedName name="calcR2LOB1Prod1Seg3Emp2ActualVisits">calc!$K$890:$M$890</definedName>
    <definedName name="calcR2LOB1Prod1Seg3Emp2Visits">calc!$K$112:$M$112</definedName>
    <definedName name="calcR2LOB1Prod1Seg3Emp3ActualVisits">calc!$K$900:$M$900</definedName>
    <definedName name="calcR2LOB1Prod1Seg3Emp3Visits">calc!$K$122:$M$122</definedName>
    <definedName name="calcR2LOB1Prod1Seg3Patients">calc!$K$90:$M$90</definedName>
    <definedName name="calcR2LOB1Prod1Seg3RunRate">calc!$K$8:$M$8</definedName>
    <definedName name="calcR2LOB1Prod1Seg3RunRateM1">calc!$K$54:$M$54</definedName>
    <definedName name="calcR2LOB1Prod1Seg3RunRateM2">calc!$K$66:$M$66</definedName>
    <definedName name="calcR2LOB1Prod1Seg3RunRateM3">calc!$K$78:$M$78</definedName>
    <definedName name="calcR2LOB1Prod1Seg3RunRateMM">calc!$K$19:$M$19</definedName>
    <definedName name="calcR2LOB1Prod2Seg1Budget">calc!$K$33:$M$33</definedName>
    <definedName name="calcR2LOB1Prod2Seg1BudgetMM">calc!$K$44:$M$44</definedName>
    <definedName name="calcR2LOB1Prod2Seg1Emp1ActualVisits">calc!$K$881:$M$881</definedName>
    <definedName name="calcR2LOB1Prod2Seg1Emp1Visits">calc!$K$103:$M$103</definedName>
    <definedName name="calcR2LOB1Prod2Seg1Emp2ActualVisits">calc!$K$891:$M$891</definedName>
    <definedName name="calcR2LOB1Prod2Seg1Emp2Visits">calc!$K$113:$M$113</definedName>
    <definedName name="calcR2LOB1Prod2Seg1Emp3ActualVisits">calc!$K$901:$M$901</definedName>
    <definedName name="calcR2LOB1Prod2Seg1Emp3Visits">calc!$K$123:$M$123</definedName>
    <definedName name="calcR2LOB1Prod2Seg1Patients">calc!$K$92:$M$92</definedName>
    <definedName name="calcR2LOB1Prod2Seg1RunRate">calc!$K$10:$M$10</definedName>
    <definedName name="calcR2LOB1Prod2Seg1RunRateM1">calc!$K$56:$M$56</definedName>
    <definedName name="calcR2LOB1Prod2Seg1RunRateM2">calc!$K$68:$M$68</definedName>
    <definedName name="calcR2LOB1Prod2Seg1RunRateM3">calc!$K$80:$M$80</definedName>
    <definedName name="calcR2LOB1Prod2Seg1RunRateMM">calc!$K$21:$M$21</definedName>
    <definedName name="calcR2LOB1Prod2Seg2Budget">calc!$K$34:$M$34</definedName>
    <definedName name="calcR2LOB1Prod2Seg2BudgetMM">calc!$K$45:$M$45</definedName>
    <definedName name="calcR2LOB1Prod2Seg2Emp1ActualVisits">calc!$K$882:$M$882</definedName>
    <definedName name="calcR2LOB1Prod2Seg2Emp1Visits">calc!$K$104:$M$104</definedName>
    <definedName name="calcR2LOB1Prod2Seg2Emp2ActualVisits">calc!$K$892:$M$892</definedName>
    <definedName name="calcR2LOB1Prod2Seg2Emp2Visits">calc!$K$114:$M$114</definedName>
    <definedName name="calcR2LOB1Prod2Seg2Emp3ActualVisits">calc!$K$902:$M$902</definedName>
    <definedName name="calcR2LOB1Prod2Seg2Emp3Visits">calc!$K$124:$M$124</definedName>
    <definedName name="calcR2LOB1Prod2Seg2Patients">calc!$K$93:$M$93</definedName>
    <definedName name="calcR2LOB1Prod2Seg2RunRate">calc!$K$11:$M$11</definedName>
    <definedName name="calcR2LOB1Prod2Seg2RunRateM1">calc!$K$57:$M$57</definedName>
    <definedName name="calcR2LOB1Prod2Seg2RunRateM2">calc!$K$69:$M$69</definedName>
    <definedName name="calcR2LOB1Prod2Seg2RunRateM3">calc!$K$81:$M$81</definedName>
    <definedName name="calcR2LOB1Prod2Seg2RunRateMM">calc!$K$22:$M$22</definedName>
    <definedName name="calcR2LOB1Prod2Seg3Budget">calc!$K$35:$M$35</definedName>
    <definedName name="calcR2LOB1Prod2Seg3BudgetMM">calc!$K$46:$M$46</definedName>
    <definedName name="calcR2LOB1Prod2Seg3Emp1ActualVisits">calc!$K$883:$M$883</definedName>
    <definedName name="calcR2LOB1Prod2Seg3Emp1Visits">calc!$K$105:$M$105</definedName>
    <definedName name="calcR2LOB1Prod2Seg3Emp2ActualVisits">calc!$K$893:$M$893</definedName>
    <definedName name="calcR2LOB1Prod2Seg3Emp2Visits">calc!$K$115:$M$115</definedName>
    <definedName name="calcR2LOB1Prod2Seg3Emp3ActualVisits">calc!$K$903:$M$903</definedName>
    <definedName name="calcR2LOB1Prod2Seg3Emp3Visits">calc!$K$125:$M$125</definedName>
    <definedName name="calcR2LOB1Prod2Seg3Patients">calc!$K$94:$M$94</definedName>
    <definedName name="calcR2LOB1Prod2Seg3RunRate">calc!$K$12:$M$12</definedName>
    <definedName name="calcR2LOB1Prod2Seg3RunRateM1">calc!$K$58:$M$58</definedName>
    <definedName name="calcR2LOB1Prod2Seg3RunRateM2">calc!$K$70:$M$70</definedName>
    <definedName name="calcR2LOB1Prod2Seg3RunRateM3">calc!$K$82:$M$82</definedName>
    <definedName name="calcR2LOB1Prod2Seg3RunRateMM">calc!$K$23:$M$23</definedName>
    <definedName name="calcR2LOB1RunRate">calc!$K$14:$M$14</definedName>
    <definedName name="calcR2LOB1RunRateM1">calc!$K$60:$M$60</definedName>
    <definedName name="calcR2LOB1RunRateM2">calc!$K$72:$M$72</definedName>
    <definedName name="calcR2LOB1RunRateM3">calc!$K$84:$M$84</definedName>
    <definedName name="calcR2LOB1RunRateMM">calc!$K$25:$M$25</definedName>
    <definedName name="calcR2LOB1Stars">calc!$K$1001:$M$1001</definedName>
    <definedName name="calcR2LOB2AvgUtilization">calc!$K$1196:$M$1196</definedName>
    <definedName name="calcR2LOB2BDEngage">calc!$K$2042:$M$2042</definedName>
    <definedName name="calcR2LOB2Budget">calc!$K$1073:$M$1073</definedName>
    <definedName name="calcR2LOB2BudgetMM">calc!$K$1084:$M$1084</definedName>
    <definedName name="calcR2LOB2Clinician10AllocatedProd">calc!$K$1823:$M$1823</definedName>
    <definedName name="calcR2LOB2Clinician10AvgMissPerc">calc!$K$1886:$M$1886</definedName>
    <definedName name="calcR2LOB2Clinician10BaseNetProd">calc!$K$1839:$M$1839</definedName>
    <definedName name="calcR2LOB2Clinician10BaseProd">calc!$K$1809:$M$1809</definedName>
    <definedName name="calcR2LOB2Clinician10Disc1AvgMissPerc">calc!$K$1380:$M$1380</definedName>
    <definedName name="calcR2LOB2Clinician10Disc1BaseMissPerc">calc!$K$1352:$M$1352</definedName>
    <definedName name="calcR2LOB2Clinician10Disc1Emp1AllocatedProd">calc!$K$1265:$M$1265</definedName>
    <definedName name="calcR2LOB2Clinician10Disc1Emp1AllowPerc">calc!$K$1238:$M$1238</definedName>
    <definedName name="calcR2LOB2Clinician10Disc1Emp1BaseProd">calc!$K$1208:$M$1208</definedName>
    <definedName name="calcR2LOB2Clinician10Disc1Emp1GrossProd">calc!$K$1322:$M$1322</definedName>
    <definedName name="calcR2LOB2Clinician10Disc1Emp1MissVisits">calc!$K$1408:$M$1408</definedName>
    <definedName name="calcR2LOB2Clinician10Disc1Emp1ModifiedProd">calc!$K$1295:$M$1295</definedName>
    <definedName name="calcR2LOB2Clinician10Disc1Emp1NetProd">calc!$K$1436:$M$1436</definedName>
    <definedName name="calcR2LOB2Clinician10Disc1Emp1OverTIme">calc!$K$1471:$M$1471</definedName>
    <definedName name="calcR2LOB2Clinician10Disc2AvgMissPerc">calc!$K$1393:$M$1393</definedName>
    <definedName name="calcR2LOB2Clinician10Disc2BaseMissPerc">calc!$K$1365:$M$1365</definedName>
    <definedName name="calcR2LOB2Clinician10Disc2Emp1AllocatedProd">calc!$K$1278:$M$1278</definedName>
    <definedName name="calcR2LOB2Clinician10Disc2Emp1AllowPerc">calc!$K$1251:$M$1251</definedName>
    <definedName name="calcR2LOB2Clinician10Disc2Emp1BaseProd">calc!$K$1221:$M$1221</definedName>
    <definedName name="calcR2LOB2Clinician10Disc2Emp1GrossProd">calc!$K$1335:$M$1335</definedName>
    <definedName name="calcR2LOB2Clinician10Disc2Emp1MissVisits">calc!$K$1421:$M$1421</definedName>
    <definedName name="calcR2LOB2Clinician10Disc2Emp1ModifiedProd">calc!$K$1307:$M$1307</definedName>
    <definedName name="calcR2LOB2Clinician10Disc2Emp1NetProd">calc!$K$1449:$M$1449</definedName>
    <definedName name="calcR2LOB2Clinician10Disc2Emp1OverTIme">calc!$K$1483:$M$1483</definedName>
    <definedName name="calcR2LOB2Clinician10Emp2AllocatedProd">calc!$K$1529:$M$1529</definedName>
    <definedName name="calcR2LOB2Clinician10Emp2AllowPerc">calc!$K$1514:$M$1514</definedName>
    <definedName name="calcR2LOB2Clinician10Emp2AvgMissPerc">calc!$K$1592:$M$1592</definedName>
    <definedName name="calcR2LOB2Clinician10Emp2BaseMissPerc">calc!$K$1577:$M$1577</definedName>
    <definedName name="calcR2LOB2Clinician10Emp2BaseProd">calc!$K$1497:$M$1497</definedName>
    <definedName name="calcR2LOB2Clinician10Emp2GrossProd">calc!$K$1560:$M$1560</definedName>
    <definedName name="calcR2LOB2Clinician10Emp2MissVisits">calc!$K$1607:$M$1607</definedName>
    <definedName name="calcR2LOB2Clinician10Emp2ModifiedProd">calc!$K$1546:$M$1546</definedName>
    <definedName name="calcR2LOB2Clinician10Emp2NetProd">calc!$K$1622:$M$1622</definedName>
    <definedName name="calcR2LOB2Clinician10Emp2OverTIme">calc!$K$1639:$M$1639</definedName>
    <definedName name="calcR2LOB2Clinician10Emp3AllocatedProd">calc!$K$1685:$M$1685</definedName>
    <definedName name="calcR2LOB2Clinician10Emp3AllowPerc">calc!$K$1670:$M$1670</definedName>
    <definedName name="calcR2LOB2Clinician10Emp3AvgMissPerc">calc!$K$1748:$M$1748</definedName>
    <definedName name="calcR2LOB2Clinician10Emp3BaseMissPerc">calc!$K$1733:$M$1733</definedName>
    <definedName name="calcR2LOB2Clinician10Emp3BaseProd">calc!$K$1653:$M$1653</definedName>
    <definedName name="calcR2LOB2Clinician10Emp3GrossProd">calc!$K$1716:$M$1716</definedName>
    <definedName name="calcR2LOB2Clinician10Emp3MissVisits">calc!$K$1763:$M$1763</definedName>
    <definedName name="calcR2LOB2Clinician10Emp3ModifiedProd">calc!$K$1702:$M$1702</definedName>
    <definedName name="calcR2LOB2Clinician10Emp3NetProd">calc!$K$1778:$M$1778</definedName>
    <definedName name="calcR2LOB2Clinician10Emp3OverTIme">calc!$K$1795:$M$1795</definedName>
    <definedName name="calcR2LOB2Clinician10GrossProd">calc!$K$1853:$M$1853</definedName>
    <definedName name="calcR2LOB2Clinician10MissVisits">calc!$K$1869:$M$1869</definedName>
    <definedName name="calcR2LOB2Clinician10NetVisits">calc!$K$1903:$M$1903</definedName>
    <definedName name="calcR2LOB2Clinician10OverTime">calc!$K$1919:$M$1919</definedName>
    <definedName name="calcR2LOB2Clinician11AllocatedProd">calc!$K$1824:$M$1824</definedName>
    <definedName name="calcR2LOB2Clinician11AvgMissPerc">calc!$K$1887:$M$1887</definedName>
    <definedName name="calcR2LOB2Clinician11BaseNetProd">calc!$K$1840:$M$1840</definedName>
    <definedName name="calcR2LOB2Clinician11BaseProd">calc!$K$1810:$M$1810</definedName>
    <definedName name="calcR2LOB2Clinician11Disc1AvgMissPerc">calc!$K$1381:$M$1381</definedName>
    <definedName name="calcR2LOB2Clinician11Disc1BaseMissPerc">calc!$K$1353:$M$1353</definedName>
    <definedName name="calcR2LOB2Clinician11Disc1Emp1AllocatedProd">calc!$K$1266:$M$1266</definedName>
    <definedName name="calcR2LOB2Clinician11Disc1Emp1AllowPerc">calc!$K$1239:$M$1239</definedName>
    <definedName name="calcR2LOB2Clinician11Disc1Emp1BaseProd">calc!$K$1209:$M$1209</definedName>
    <definedName name="calcR2LOB2Clinician11Disc1Emp1GrossProd">calc!$K$1323:$M$1323</definedName>
    <definedName name="calcR2LOB2Clinician11Disc1Emp1MissVisits">calc!$K$1409:$M$1409</definedName>
    <definedName name="calcR2LOB2Clinician11Disc1Emp1ModifiedProd">calc!$K$1296:$M$1296</definedName>
    <definedName name="calcR2LOB2Clinician11Disc1Emp1NetProd">calc!$K$1437:$M$1437</definedName>
    <definedName name="calcR2LOB2Clinician11Disc1Emp1OverTIme">calc!$K$1472:$M$1472</definedName>
    <definedName name="calcR2LOB2Clinician11Disc2AvgMissPerc">calc!$K$1394:$M$1394</definedName>
    <definedName name="calcR2LOB2Clinician11Disc2BaseMissPerc">calc!$K$1366:$M$1366</definedName>
    <definedName name="calcR2LOB2Clinician11Disc2Emp1AllocatedProd">calc!$K$1279:$M$1279</definedName>
    <definedName name="calcR2LOB2Clinician11Disc2Emp1AllowPerc">calc!$K$1252:$M$1252</definedName>
    <definedName name="calcR2LOB2Clinician11Disc2Emp1BaseProd">calc!$K$1222:$M$1222</definedName>
    <definedName name="calcR2LOB2Clinician11Disc2Emp1GrossProd">calc!$K$1336:$M$1336</definedName>
    <definedName name="calcR2LOB2Clinician11Disc2Emp1MissVisits">calc!$K$1422:$M$1422</definedName>
    <definedName name="calcR2LOB2Clinician11Disc2Emp1ModifiedProd">calc!$K$1308:$M$1308</definedName>
    <definedName name="calcR2LOB2Clinician11Disc2Emp1NetProd">calc!$K$1450:$M$1450</definedName>
    <definedName name="calcR2LOB2Clinician11Disc2Emp1OverTIme">calc!$K$1484:$M$1484</definedName>
    <definedName name="calcR2LOB2Clinician11Emp2AllocatedProd">calc!$K$1530:$M$1530</definedName>
    <definedName name="calcR2LOB2Clinician11Emp2AllowPerc">calc!$K$1515:$M$1515</definedName>
    <definedName name="calcR2LOB2Clinician11Emp2AvgMissPerc">calc!$K$1593:$M$1593</definedName>
    <definedName name="calcR2LOB2Clinician11Emp2BaseMissPerc">calc!$K$1578:$M$1578</definedName>
    <definedName name="calcR2LOB2Clinician11Emp2BaseProd">calc!$K$1498:$M$1498</definedName>
    <definedName name="calcR2LOB2Clinician11Emp2GrossProd">calc!$K$1561:$M$1561</definedName>
    <definedName name="calcR2LOB2Clinician11Emp2MissVisits">calc!$K$1608:$M$1608</definedName>
    <definedName name="calcR2LOB2Clinician11Emp2ModifiedProd">calc!$K$1547:$M$1547</definedName>
    <definedName name="calcR2LOB2Clinician11Emp2NetProd">calc!$K$1623:$M$1623</definedName>
    <definedName name="calcR2LOB2Clinician11Emp2OverTIme">calc!$K$1640:$M$1640</definedName>
    <definedName name="calcR2LOB2Clinician11Emp3AllocatedProd">calc!$K$1686:$M$1686</definedName>
    <definedName name="calcR2LOB2Clinician11Emp3AllowPerc">calc!$K$1671:$M$1671</definedName>
    <definedName name="calcR2LOB2Clinician11Emp3AvgMissPerc">calc!$K$1749:$M$1749</definedName>
    <definedName name="calcR2LOB2Clinician11Emp3BaseMissPerc">calc!$K$1734:$M$1734</definedName>
    <definedName name="calcR2LOB2Clinician11Emp3BaseProd">calc!$K$1654:$M$1654</definedName>
    <definedName name="calcR2LOB2Clinician11Emp3GrossProd">calc!$K$1717:$M$1717</definedName>
    <definedName name="calcR2LOB2Clinician11Emp3MissVisits">calc!$K$1764:$M$1764</definedName>
    <definedName name="calcR2LOB2Clinician11Emp3ModifiedProd">calc!$K$1703:$M$1703</definedName>
    <definedName name="calcR2LOB2Clinician11Emp3NetProd">calc!$K$1779:$M$1779</definedName>
    <definedName name="calcR2LOB2Clinician11Emp3OverTIme">calc!$K$1796:$M$1796</definedName>
    <definedName name="calcR2LOB2Clinician11GrossProd">calc!$K$1854:$M$1854</definedName>
    <definedName name="calcR2LOB2Clinician11LookupValue">calc!$K$1973:$M$1973</definedName>
    <definedName name="calcR2LOB2Clinician11MissVisits">calc!$K$1870:$M$1870</definedName>
    <definedName name="calcR2LOB2Clinician11NetVisits">calc!$K$1904:$M$1904</definedName>
    <definedName name="calcR2LOB2Clinician11OverTime">calc!$K$1920:$M$1920</definedName>
    <definedName name="calcR2LOB2Clinician12AllocatedProd">calc!$K$1825:$M$1825</definedName>
    <definedName name="calcR2LOB2Clinician12AvgMissPerc">calc!$K$1888:$M$1888</definedName>
    <definedName name="calcR2LOB2Clinician12BaseNetProd">calc!$K$1841:$M$1841</definedName>
    <definedName name="calcR2LOB2Clinician12BaseProd">calc!$K$1811:$M$1811</definedName>
    <definedName name="calcR2LOB2Clinician12Disc1AvgMissPerc">calc!$K$1382:$M$1382</definedName>
    <definedName name="calcR2LOB2Clinician12Disc1BaseMissPerc">calc!$K$1354:$M$1354</definedName>
    <definedName name="calcR2LOB2Clinician12Disc1Emp1AllocatedProd">calc!$K$1267:$M$1267</definedName>
    <definedName name="calcR2LOB2Clinician12Disc1Emp1AllowPerc">calc!$K$1240:$M$1240</definedName>
    <definedName name="calcR2LOB2Clinician12Disc1Emp1BaseProd">calc!$K$1210:$M$1210</definedName>
    <definedName name="calcR2LOB2Clinician12Disc1Emp1GrossProd">calc!$K$1324:$M$1324</definedName>
    <definedName name="calcR2LOB2Clinician12Disc1Emp1MissVisits">calc!$K$1410:$M$1410</definedName>
    <definedName name="calcR2LOB2Clinician12Disc1Emp1ModifiedProd">calc!$K$1297:$M$1297</definedName>
    <definedName name="calcR2LOB2Clinician12Disc1Emp1NetProd">calc!$K$1438:$M$1438</definedName>
    <definedName name="calcR2LOB2Clinician12Disc1Emp1OverTIme">calc!$K$1473:$M$1473</definedName>
    <definedName name="calcR2LOB2Clinician12Disc2AvgMissPerc">calc!$K$1395:$M$1395</definedName>
    <definedName name="calcR2LOB2Clinician12Disc2BaseMissPerc">calc!$K$1367:$M$1367</definedName>
    <definedName name="calcR2LOB2Clinician12Disc2Emp1AllocatedProd">calc!$K$1280:$M$1280</definedName>
    <definedName name="calcR2LOB2Clinician12Disc2Emp1AllowPerc">calc!$K$1253:$M$1253</definedName>
    <definedName name="calcR2LOB2Clinician12Disc2Emp1BaseProd">calc!$K$1223:$M$1223</definedName>
    <definedName name="calcR2LOB2Clinician12Disc2Emp1GrossProd">calc!$K$1337:$M$1337</definedName>
    <definedName name="calcR2LOB2Clinician12Disc2Emp1MissVisits">calc!$K$1423:$M$1423</definedName>
    <definedName name="calcR2LOB2Clinician12Disc2Emp1ModifiedProd">calc!$K$1309:$M$1309</definedName>
    <definedName name="calcR2LOB2Clinician12Disc2Emp1NetProd">calc!$K$1451:$M$1451</definedName>
    <definedName name="calcR2LOB2Clinician12Disc2Emp1OverTIme">calc!$K$1485:$M$1485</definedName>
    <definedName name="calcR2LOB2Clinician12Emp2AllocatedProd">calc!$K$1531:$M$1531</definedName>
    <definedName name="calcR2LOB2Clinician12Emp2AllowPerc">calc!$K$1516:$M$1516</definedName>
    <definedName name="calcR2LOB2Clinician12Emp2AvgMissPerc">calc!$K$1594:$M$1594</definedName>
    <definedName name="calcR2LOB2Clinician12Emp2BaseMissPerc">calc!$K$1579:$M$1579</definedName>
    <definedName name="calcR2LOB2Clinician12Emp2BaseProd">calc!$K$1499:$M$1499</definedName>
    <definedName name="calcR2LOB2Clinician12Emp2GrossProd">calc!$K$1562:$M$1562</definedName>
    <definedName name="calcR2LOB2Clinician12Emp2MissVisits">calc!$K$1609:$M$1609</definedName>
    <definedName name="calcR2LOB2Clinician12Emp2ModifiedProd">calc!$K$1548:$M$1548</definedName>
    <definedName name="calcR2LOB2Clinician12Emp2NetProd">calc!$K$1624:$M$1624</definedName>
    <definedName name="calcR2LOB2Clinician12Emp2OverTIme">calc!$K$1641:$M$1641</definedName>
    <definedName name="calcR2LOB2Clinician12Emp3AllocatedProd">calc!$K$1687:$M$1687</definedName>
    <definedName name="calcR2LOB2Clinician12Emp3AllowPerc">calc!$K$1672:$M$1672</definedName>
    <definedName name="calcR2LOB2Clinician12Emp3AvgMissPerc">calc!$K$1750:$M$1750</definedName>
    <definedName name="calcR2LOB2Clinician12Emp3BaseMissPerc">calc!$K$1735:$M$1735</definedName>
    <definedName name="calcR2LOB2Clinician12Emp3BaseProd">calc!$K$1655:$M$1655</definedName>
    <definedName name="calcR2LOB2Clinician12Emp3GrossProd">calc!$K$1718:$M$1718</definedName>
    <definedName name="calcR2LOB2Clinician12Emp3MissVisits">calc!$K$1765:$M$1765</definedName>
    <definedName name="calcR2LOB2Clinician12Emp3ModifiedProd">calc!$K$1704:$M$1704</definedName>
    <definedName name="calcR2LOB2Clinician12Emp3NetProd">calc!$K$1780:$M$1780</definedName>
    <definedName name="calcR2LOB2Clinician12Emp3OverTIme">calc!$K$1797:$M$1797</definedName>
    <definedName name="calcR2LOB2Clinician12GrossProd">calc!$K$1855:$M$1855</definedName>
    <definedName name="calcR2LOB2Clinician12LookupValue">calc!$K$1979:$M$1979</definedName>
    <definedName name="calcR2LOB2Clinician12MissVisits">calc!$K$1871:$M$1871</definedName>
    <definedName name="calcR2LOB2Clinician12NetVisits">calc!$K$1905:$M$1905</definedName>
    <definedName name="calcR2LOB2Clinician12OverTime">calc!$K$1921:$M$1921</definedName>
    <definedName name="calcR2LOB2Clinician13Disc1AvgMissPerc">calc!$K$1383:$M$1383</definedName>
    <definedName name="calcR2LOB2Clinician13Disc1BaseMissPerc">calc!$K$1355:$M$1355</definedName>
    <definedName name="calcR2LOB2Clinician13Disc1Emp1AllocatedProd">calc!$K$1268:$M$1268</definedName>
    <definedName name="calcR2LOB2Clinician13Disc1Emp1AllowPerc">calc!$K$1241:$M$1241</definedName>
    <definedName name="calcR2LOB2Clinician13Disc1Emp1BaseProd">calc!$K$1211:$M$1211</definedName>
    <definedName name="calcR2LOB2Clinician13Disc1Emp1GrossProd">calc!$K$1325:$M$1325</definedName>
    <definedName name="calcR2LOB2Clinician13Disc1Emp1MissVisits">calc!$K$1411:$M$1411</definedName>
    <definedName name="calcR2LOB2Clinician13Disc1Emp1NetProd">calc!$K$1439:$M$1439</definedName>
    <definedName name="calcR2LOB2Clinician14Disc2AvgMissPerc">calc!$K$1396:$M$1396</definedName>
    <definedName name="calcR2LOB2Clinician14Disc2BaseMissPerc">calc!$K$1368:$M$1368</definedName>
    <definedName name="calcR2LOB2Clinician14Disc2Emp1AllocatedProd">calc!$K$1281:$M$1281</definedName>
    <definedName name="calcR2LOB2Clinician14Disc2Emp1AllowPerc">calc!$K$1254:$M$1254</definedName>
    <definedName name="calcR2LOB2Clinician14Disc2Emp1BaseProd">calc!$K$1224:$M$1224</definedName>
    <definedName name="calcR2LOB2Clinician14Disc2Emp1GrossProd">calc!$K$1338:$M$1338</definedName>
    <definedName name="calcR2LOB2Clinician14Disc2Emp1MissVisits">calc!$K$1424:$M$1424</definedName>
    <definedName name="calcR2LOB2Clinician14Disc2Emp1NetProd">calc!$K$1452:$M$1452</definedName>
    <definedName name="calcR2LOB2Clinician15Emp3AllocatedProd">calc!$K$1688:$M$1688</definedName>
    <definedName name="calcR2LOB2Clinician15Emp3AllowPerc">calc!$K$1673:$M$1673</definedName>
    <definedName name="calcR2LOB2Clinician15Emp3AvgMissPerc">calc!$K$1751:$M$1751</definedName>
    <definedName name="calcR2LOB2Clinician15Emp3BaseProd">calc!$K$1656:$M$1656</definedName>
    <definedName name="calcR2LOB2Clinician15Emp3GrossProd">calc!$K$1719:$M$1719</definedName>
    <definedName name="calcR2LOB2Clinician15Emp3MissVisits">calc!$K$1766:$M$1766</definedName>
    <definedName name="calcR2LOB2Clinician15Emp3NetProd">calc!$K$1781:$M$1781</definedName>
    <definedName name="calcR2LOB2Clinician16Emp2AllocatedProd">calc!$K$1532:$M$1532</definedName>
    <definedName name="calcR2LOB2Clinician16Emp2AllowPerc">calc!$K$1517:$M$1517</definedName>
    <definedName name="calcR2LOB2Clinician16Emp2AvgMissPerc">calc!$K$1595:$M$1595</definedName>
    <definedName name="calcR2LOB2Clinician16Emp2BaseMissPerc">calc!$K$1580:$M$1580</definedName>
    <definedName name="calcR2LOB2Clinician16Emp2BaseProd">calc!$K$1500:$M$1500</definedName>
    <definedName name="calcR2LOB2Clinician16Emp2GrossProd">calc!$K$1563:$M$1563</definedName>
    <definedName name="calcR2LOB2Clinician16Emp2MissVisits">calc!$K$1610:$M$1610</definedName>
    <definedName name="calcR2LOB2Clinician16Emp2NetProd">calc!$K$1625:$M$1625</definedName>
    <definedName name="calcR2LOB2Clinician16Emp3BaseMissPerc">calc!$K$1736:$M$1736</definedName>
    <definedName name="calcR2LOB2Clinician1AllocatedProd">calc!$K$1814:$M$1814</definedName>
    <definedName name="calcR2LOB2Clinician1AvgMissPerc">calc!$K$1877:$M$1877</definedName>
    <definedName name="calcR2LOB2Clinician1BaseNetProd">calc!$K$1830:$M$1830</definedName>
    <definedName name="calcR2LOB2Clinician1BaseProd">calc!$K$1800:$M$1800</definedName>
    <definedName name="calcR2LOB2Clinician1Disc1AvgMissPerc">calc!$K$1371:$M$1371</definedName>
    <definedName name="calcR2LOB2Clinician1Disc1BaseMissPerc">calc!$K$1343:$M$1343</definedName>
    <definedName name="calcR2LOB2Clinician1Disc1Emp1AllocatedProd">calc!$K$1256:$M$1256</definedName>
    <definedName name="calcR2LOB2Clinician1Disc1Emp1AllowPerc">calc!$K$1229:$M$1229</definedName>
    <definedName name="calcR2LOB2Clinician1Disc1Emp1BaseProd">calc!$K$1199:$M$1199</definedName>
    <definedName name="calcR2LOB2Clinician1Disc1Emp1GrossProd">calc!$K$1313:$M$1313</definedName>
    <definedName name="calcR2LOB2Clinician1Disc1Emp1MissVisits">calc!$K$1399:$M$1399</definedName>
    <definedName name="calcR2LOB2Clinician1Disc1Emp1ModifiedProd">calc!$K$1286:$M$1286</definedName>
    <definedName name="calcR2LOB2Clinician1Disc1Emp1NetProd">calc!$K$1427:$M$1427</definedName>
    <definedName name="calcR2LOB2Clinician1Disc1Emp1OverTIme">calc!$K$1462:$M$1462</definedName>
    <definedName name="calcR2LOB2Clinician1Disc2AvgMissPerc">calc!$K$1384:$M$1384</definedName>
    <definedName name="calcR2LOB2Clinician1Disc2BaseMissPerc">calc!$K$1356:$M$1356</definedName>
    <definedName name="calcR2LOB2Clinician1Disc2Emp1AllocatedProd">calc!$K$1269:$M$1269</definedName>
    <definedName name="calcR2LOB2Clinician1Disc2Emp1AllowPerc">calc!$K$1242:$M$1242</definedName>
    <definedName name="calcR2LOB2Clinician1Disc2Emp1BaseProd">calc!$K$1212:$M$1212</definedName>
    <definedName name="calcR2LOB2Clinician1Disc2Emp1GrossProd">calc!$K$1326:$M$1326</definedName>
    <definedName name="calcR2LOB2Clinician1Disc2Emp1MissVisits">calc!$K$1412:$M$1412</definedName>
    <definedName name="calcR2LOB2Clinician1Disc2Emp1ModifiedProd">calc!$K$1298:$M$1298</definedName>
    <definedName name="calcR2LOB2Clinician1Disc2Emp1NetProd">calc!$K$1440:$M$1440</definedName>
    <definedName name="calcR2LOB2Clinician1Disc2Emp1OverTIme">calc!$K$1474:$M$1474</definedName>
    <definedName name="calcR2LOB2Clinician1Emp2AllocatedProd">calc!$K$1520:$M$1520</definedName>
    <definedName name="calcR2LOB2Clinician1Emp2AllowPerc">calc!$K$1505:$M$1505</definedName>
    <definedName name="calcR2LOB2Clinician1Emp2AvgMissPerc">calc!$K$1583:$M$1583</definedName>
    <definedName name="calcR2LOB2Clinician1Emp2BaseMissPerc">calc!$K$1568:$M$1568</definedName>
    <definedName name="calcR2LOB2Clinician1Emp2BaseProd">calc!$K$1488:$M$1488</definedName>
    <definedName name="calcR2LOB2Clinician1Emp2GrossProd">calc!$K$1551:$M$1551</definedName>
    <definedName name="calcR2LOB2Clinician1Emp2MissVisits">calc!$K$1598:$M$1598</definedName>
    <definedName name="calcR2LOB2Clinician1Emp2ModifiedProd">calc!$K$1537:$M$1537</definedName>
    <definedName name="calcR2LOB2Clinician1Emp2NetProd">calc!$K$1613:$M$1613</definedName>
    <definedName name="calcR2LOB2Clinician1Emp2OverTIme">calc!$K$1630:$M$1630</definedName>
    <definedName name="calcR2LOB2Clinician1Emp3AllocatedProd">calc!$K$1676:$M$1676</definedName>
    <definedName name="calcR2LOB2Clinician1Emp3AllowPerc">calc!$K$1661:$M$1661</definedName>
    <definedName name="calcR2LOB2Clinician1Emp3AvgMissPerc">calc!$K$1739:$M$1739</definedName>
    <definedName name="calcR2LOB2Clinician1Emp3BaseMissPerc">calc!$K$1724:$M$1724</definedName>
    <definedName name="calcR2LOB2Clinician1Emp3BaseProd">calc!$K$1644:$M$1644</definedName>
    <definedName name="calcR2LOB2Clinician1Emp3GrossProd">calc!$K$1707:$M$1707</definedName>
    <definedName name="calcR2LOB2Clinician1Emp3MissVisits">calc!$K$1754:$M$1754</definedName>
    <definedName name="calcR2LOB2Clinician1Emp3ModifiedProd">calc!$K$1693:$M$1693</definedName>
    <definedName name="calcR2LOB2Clinician1Emp3NetProd">calc!$K$1769:$M$1769</definedName>
    <definedName name="calcR2LOB2Clinician1Emp3OverTIme">calc!$K$1786:$M$1786</definedName>
    <definedName name="calcR2LOB2Clinician1GrossProd">calc!$K$1844:$M$1844</definedName>
    <definedName name="calcR2LOB2Clinician1MissVisits">calc!$K$1860:$M$1860</definedName>
    <definedName name="calcR2LOB2Clinician1NetVisits">calc!$K$1894:$M$1894</definedName>
    <definedName name="calcR2LOB2Clinician1OverTime">calc!$K$1910:$M$1910</definedName>
    <definedName name="calcR2LOB2Clinician2AllocatedProd">calc!$K$1815:$M$1815</definedName>
    <definedName name="calcR2LOB2Clinician2AvgMissPerc">calc!$K$1878:$M$1878</definedName>
    <definedName name="calcR2LOB2Clinician2BaseNetProd">calc!$K$1831:$M$1831</definedName>
    <definedName name="calcR2LOB2Clinician2BaseProd">calc!$K$1801:$M$1801</definedName>
    <definedName name="calcR2LOB2Clinician2Disc1AvgMissPerc">calc!$K$1372:$M$1372</definedName>
    <definedName name="calcR2LOB2Clinician2Disc1BaseMissPerc">calc!$K$1344:$M$1344</definedName>
    <definedName name="calcR2LOB2Clinician2Disc1Emp1AllocatedProd">calc!$K$1257:$M$1257</definedName>
    <definedName name="calcR2LOB2Clinician2Disc1Emp1AllowPerc">calc!$K$1230:$M$1230</definedName>
    <definedName name="calcR2LOB2Clinician2Disc1Emp1BaseProd">calc!$K$1200:$M$1200</definedName>
    <definedName name="calcR2LOB2Clinician2Disc1Emp1GrossProd">calc!$K$1314:$M$1314</definedName>
    <definedName name="calcR2LOB2Clinician2Disc1Emp1MissVisits">calc!$K$1400:$M$1400</definedName>
    <definedName name="calcR2LOB2Clinician2Disc1Emp1ModifiedProd">calc!$K$1287:$M$1287</definedName>
    <definedName name="calcR2LOB2Clinician2Disc1Emp1NetProd">calc!$K$1428:$M$1428</definedName>
    <definedName name="calcR2LOB2Clinician2Disc1Emp1OverTIme">calc!$K$1463:$M$1463</definedName>
    <definedName name="calcR2LOB2Clinician2Disc2AvgMissPerc">calc!$K$1385:$M$1385</definedName>
    <definedName name="calcR2LOB2Clinician2Disc2BaseMissPerc">calc!$K$1357:$M$1357</definedName>
    <definedName name="calcR2LOB2Clinician2Disc2Emp1AllocatedProd">calc!$K$1270:$M$1270</definedName>
    <definedName name="calcR2LOB2Clinician2Disc2Emp1AllowPerc">calc!$K$1243:$M$1243</definedName>
    <definedName name="calcR2LOB2Clinician2Disc2Emp1BaseProd">calc!$K$1213:$M$1213</definedName>
    <definedName name="calcR2LOB2Clinician2Disc2Emp1GrossProd">calc!$K$1327:$M$1327</definedName>
    <definedName name="calcR2LOB2Clinician2Disc2Emp1MissVisits">calc!$K$1413:$M$1413</definedName>
    <definedName name="calcR2LOB2Clinician2Disc2Emp1ModifiedProd">calc!$K$1299:$M$1299</definedName>
    <definedName name="calcR2LOB2Clinician2Disc2Emp1NetProd">calc!$K$1441:$M$1441</definedName>
    <definedName name="calcR2LOB2Clinician2Disc2Emp1OverTIme">calc!$K$1475:$M$1475</definedName>
    <definedName name="calcR2LOB2Clinician2Emp2AllocatedProd">calc!$K$1521:$M$1521</definedName>
    <definedName name="calcR2LOB2Clinician2Emp2AllowPerc">calc!$K$1506:$M$1506</definedName>
    <definedName name="calcR2LOB2Clinician2Emp2AvgMissPerc">calc!$K$1584:$M$1584</definedName>
    <definedName name="calcR2LOB2Clinician2Emp2BaseMissPerc">calc!$K$1569:$M$1569</definedName>
    <definedName name="calcR2LOB2Clinician2Emp2BaseProd">calc!$K$1489:$M$1489</definedName>
    <definedName name="calcR2LOB2Clinician2Emp2GrossProd">calc!$K$1552:$M$1552</definedName>
    <definedName name="calcR2LOB2Clinician2Emp2MissVisits">calc!$K$1599:$M$1599</definedName>
    <definedName name="calcR2LOB2Clinician2Emp2ModifiedProd">calc!$K$1538:$M$1538</definedName>
    <definedName name="calcR2LOB2Clinician2Emp2NetProd">calc!$K$1614:$M$1614</definedName>
    <definedName name="calcR2LOB2Clinician2Emp2OverTIme">calc!$K$1631:$M$1631</definedName>
    <definedName name="calcR2LOB2Clinician2Emp3AllocatedProd">calc!$K$1677:$M$1677</definedName>
    <definedName name="calcR2LOB2Clinician2Emp3AllowPerc">calc!$K$1662:$M$1662</definedName>
    <definedName name="calcR2LOB2Clinician2Emp3AvgMissPerc">calc!$K$1740:$M$1740</definedName>
    <definedName name="calcR2LOB2Clinician2Emp3BaseMissPerc">calc!$K$1725:$M$1725</definedName>
    <definedName name="calcR2LOB2Clinician2Emp3BaseProd">calc!$K$1645:$M$1645</definedName>
    <definedName name="calcR2LOB2Clinician2Emp3GrossProd">calc!$K$1708:$M$1708</definedName>
    <definedName name="calcR2LOB2Clinician2Emp3MissVisits">calc!$K$1755:$M$1755</definedName>
    <definedName name="calcR2LOB2Clinician2Emp3ModifiedProd">calc!$K$1694:$M$1694</definedName>
    <definedName name="calcR2LOB2Clinician2Emp3NetProd">calc!$K$1770:$M$1770</definedName>
    <definedName name="calcR2LOB2Clinician2Emp3OverTIme">calc!$K$1787:$M$1787</definedName>
    <definedName name="calcR2LOB2Clinician2GrossProd">calc!$K$1845:$M$1845</definedName>
    <definedName name="calcR2LOB2Clinician2MissVisits">calc!$K$1861:$M$1861</definedName>
    <definedName name="calcR2LOB2Clinician2NetVisits">calc!$K$1895:$M$1895</definedName>
    <definedName name="calcR2LOB2Clinician2OverTime">calc!$K$1911:$M$1911</definedName>
    <definedName name="calcR2LOB2Clinician3AllocatedProd">calc!$K$1816:$M$1816</definedName>
    <definedName name="calcR2LOB2Clinician3AvgMissPerc">calc!$K$1879:$M$1879</definedName>
    <definedName name="calcR2LOB2Clinician3BaseNetProd">calc!$K$1832:$M$1832</definedName>
    <definedName name="calcR2LOB2Clinician3BaseProd">calc!$K$1802:$M$1802</definedName>
    <definedName name="calcR2LOB2Clinician3Disc1AvgMissPerc">calc!$K$1373:$M$1373</definedName>
    <definedName name="calcR2LOB2Clinician3Disc1BaseMissPerc">calc!$K$1345:$M$1345</definedName>
    <definedName name="calcR2LOB2Clinician3Disc1Emp1AllocatedProd">calc!$K$1258:$M$1258</definedName>
    <definedName name="calcR2LOB2Clinician3Disc1Emp1AllowPerc">calc!$K$1231:$M$1231</definedName>
    <definedName name="calcR2LOB2Clinician3Disc1Emp1BaseProd">calc!$K$1201:$M$1201</definedName>
    <definedName name="calcR2LOB2Clinician3Disc1Emp1GrossProd">calc!$K$1315:$M$1315</definedName>
    <definedName name="calcR2LOB2Clinician3Disc1Emp1MissVisits">calc!$K$1401:$M$1401</definedName>
    <definedName name="calcR2LOB2Clinician3Disc1Emp1ModifiedProd">calc!$K$1288:$M$1288</definedName>
    <definedName name="calcR2LOB2Clinician3Disc1Emp1NetProd">calc!$K$1429:$M$1429</definedName>
    <definedName name="calcR2LOB2Clinician3Disc1Emp1OverTIme">calc!$K$1464:$M$1464</definedName>
    <definedName name="calcR2LOB2Clinician3Disc2AvgMissPerc">calc!$K$1386:$M$1386</definedName>
    <definedName name="calcR2LOB2Clinician3Disc2BaseMissPerc">calc!$K$1358:$M$1358</definedName>
    <definedName name="calcR2LOB2Clinician3Disc2Emp1AllocatedProd">calc!$K$1271:$M$1271</definedName>
    <definedName name="calcR2LOB2Clinician3Disc2Emp1AllowPerc">calc!$K$1244:$M$1244</definedName>
    <definedName name="calcR2LOB2Clinician3Disc2Emp1BaseProd">calc!$K$1214:$M$1214</definedName>
    <definedName name="calcR2LOB2Clinician3Disc2Emp1GrossProd">calc!$K$1328:$M$1328</definedName>
    <definedName name="calcR2LOB2Clinician3Disc2Emp1MissVisits">calc!$K$1414:$M$1414</definedName>
    <definedName name="calcR2LOB2Clinician3Disc2Emp1ModifiedProd">calc!$K$1300:$M$1300</definedName>
    <definedName name="calcR2LOB2Clinician3Disc2Emp1NetProd">calc!$K$1442:$M$1442</definedName>
    <definedName name="calcR2LOB2Clinician3Disc2Emp1OverTIme">calc!$K$1476:$M$1476</definedName>
    <definedName name="calcR2LOB2Clinician3Emp2AllocatedProd">calc!$K$1522:$M$1522</definedName>
    <definedName name="calcR2LOB2Clinician3Emp2AllowPerc">calc!$K$1507:$M$1507</definedName>
    <definedName name="calcR2LOB2Clinician3Emp2AvgMissPerc">calc!$K$1585:$M$1585</definedName>
    <definedName name="calcR2LOB2Clinician3Emp2BaseMissPerc">calc!$K$1570:$M$1570</definedName>
    <definedName name="calcR2LOB2Clinician3Emp2BaseProd">calc!$K$1490:$M$1490</definedName>
    <definedName name="calcR2LOB2Clinician3Emp2GrossProd">calc!$K$1553:$M$1553</definedName>
    <definedName name="calcR2LOB2Clinician3Emp2MissVisits">calc!$K$1600:$M$1600</definedName>
    <definedName name="calcR2LOB2Clinician3Emp2ModifiedProd">calc!$K$1539:$M$1539</definedName>
    <definedName name="calcR2LOB2Clinician3Emp2NetProd">calc!$K$1615:$M$1615</definedName>
    <definedName name="calcR2LOB2Clinician3Emp2OverTIme">calc!$K$1632:$M$1632</definedName>
    <definedName name="calcR2LOB2Clinician3Emp3AllocatedProd">calc!$K$1678:$M$1678</definedName>
    <definedName name="calcR2LOB2Clinician3Emp3AllowPerc">calc!$K$1663:$M$1663</definedName>
    <definedName name="calcR2LOB2Clinician3Emp3AvgMissPerc">calc!$K$1741:$M$1741</definedName>
    <definedName name="calcR2LOB2Clinician3Emp3BaseMissPerc">calc!$K$1726:$M$1726</definedName>
    <definedName name="calcR2LOB2Clinician3Emp3BaseProd">calc!$K$1646:$M$1646</definedName>
    <definedName name="calcR2LOB2Clinician3Emp3GrossProd">calc!$K$1709:$M$1709</definedName>
    <definedName name="calcR2LOB2Clinician3Emp3MissVisits">calc!$K$1756:$M$1756</definedName>
    <definedName name="calcR2LOB2Clinician3Emp3ModifiedProd">calc!$K$1695:$M$1695</definedName>
    <definedName name="calcR2LOB2Clinician3Emp3NetProd">calc!$K$1771:$M$1771</definedName>
    <definedName name="calcR2LOB2Clinician3Emp3OverTIme">calc!$K$1788:$M$1788</definedName>
    <definedName name="calcR2LOB2Clinician3GrossProd">calc!$K$1846:$M$1846</definedName>
    <definedName name="calcR2LOB2Clinician3MissVisits">calc!$K$1862:$M$1862</definedName>
    <definedName name="calcR2LOB2Clinician3NetVisits">calc!$K$1896:$M$1896</definedName>
    <definedName name="calcR2LOB2Clinician3OverTime">calc!$K$1912:$M$1912</definedName>
    <definedName name="calcR2LOB2Clinician4AllocatedProd">calc!$K$1817:$M$1817</definedName>
    <definedName name="calcR2LOB2Clinician4AvgMissPerc">calc!$K$1880:$M$1880</definedName>
    <definedName name="calcR2LOB2Clinician4BaseNetProd">calc!$K$1833:$M$1833</definedName>
    <definedName name="calcR2LOB2Clinician4BaseProd">calc!$K$1803:$M$1803</definedName>
    <definedName name="calcR2LOB2Clinician4Disc1AvgMissPerc">calc!$K$1374:$M$1374</definedName>
    <definedName name="calcR2LOB2Clinician4Disc1BaseMissPerc">calc!$K$1346:$M$1346</definedName>
    <definedName name="calcR2LOB2Clinician4Disc1Emp1AllocatedProd">calc!$K$1259:$M$1259</definedName>
    <definedName name="calcR2LOB2Clinician4Disc1Emp1AllowPerc">calc!$K$1232:$M$1232</definedName>
    <definedName name="calcR2LOB2Clinician4Disc1Emp1BaseProd">calc!$K$1202:$M$1202</definedName>
    <definedName name="calcR2LOB2Clinician4Disc1Emp1GrossProd">calc!$K$1316:$M$1316</definedName>
    <definedName name="calcR2LOB2Clinician4Disc1Emp1MissVisits">calc!$K$1402:$M$1402</definedName>
    <definedName name="calcR2LOB2Clinician4Disc1Emp1ModifiedProd">calc!$K$1289:$M$1289</definedName>
    <definedName name="calcR2LOB2Clinician4Disc1Emp1NetProd">calc!$K$1430:$M$1430</definedName>
    <definedName name="calcR2LOB2Clinician4Disc1Emp1OverTIme">calc!$K$1465:$M$1465</definedName>
    <definedName name="calcR2LOB2Clinician4Disc2AvgMissPerc">calc!$K$1387:$M$1387</definedName>
    <definedName name="calcR2LOB2Clinician4Disc2BaseMissPerc">calc!$K$1359:$M$1359</definedName>
    <definedName name="calcR2LOB2Clinician4Disc2Emp1AllocatedProd">calc!$K$1272:$M$1272</definedName>
    <definedName name="calcR2LOB2Clinician4Disc2Emp1AllowPerc">calc!$K$1245:$M$1245</definedName>
    <definedName name="calcR2LOB2Clinician4Disc2Emp1BaseProd">calc!$K$1215:$M$1215</definedName>
    <definedName name="calcR2LOB2Clinician4Disc2Emp1GrossProd">calc!$K$1329:$M$1329</definedName>
    <definedName name="calcR2LOB2Clinician4Disc2Emp1MissVisits">calc!$K$1415:$M$1415</definedName>
    <definedName name="calcR2LOB2Clinician4Disc2Emp1ModifiedProd">calc!$K$1301:$M$1301</definedName>
    <definedName name="calcR2LOB2Clinician4Disc2Emp1NetProd">calc!$K$1443:$M$1443</definedName>
    <definedName name="calcR2LOB2Clinician4Disc2Emp1OverTIme">calc!$K$1477:$M$1477</definedName>
    <definedName name="calcR2LOB2Clinician4Emp2AllocatedProd">calc!$K$1523:$M$1523</definedName>
    <definedName name="calcR2LOB2Clinician4Emp2AllowPerc">calc!$K$1508:$M$1508</definedName>
    <definedName name="calcR2LOB2Clinician4Emp2AvgMissPerc">calc!$K$1586:$M$1586</definedName>
    <definedName name="calcR2LOB2Clinician4Emp2BaseMissPerc">calc!$K$1571:$M$1571</definedName>
    <definedName name="calcR2LOB2Clinician4Emp2BaseProd">calc!$K$1491:$M$1491</definedName>
    <definedName name="calcR2LOB2Clinician4Emp2GrossProd">calc!$K$1554:$M$1554</definedName>
    <definedName name="calcR2LOB2Clinician4Emp2MissVisits">calc!$K$1601:$M$1601</definedName>
    <definedName name="calcR2LOB2Clinician4Emp2ModifiedProd">calc!$K$1540:$M$1540</definedName>
    <definedName name="calcR2LOB2Clinician4Emp2NetProd">calc!$K$1616:$M$1616</definedName>
    <definedName name="calcR2LOB2Clinician4Emp2OverTIme">calc!$K$1633:$M$1633</definedName>
    <definedName name="calcR2LOB2Clinician4Emp3AllocatedProd">calc!$K$1679:$M$1679</definedName>
    <definedName name="calcR2LOB2Clinician4Emp3AllowPerc">calc!$K$1664:$M$1664</definedName>
    <definedName name="calcR2LOB2Clinician4Emp3AvgMissPerc">calc!$K$1742:$M$1742</definedName>
    <definedName name="calcR2LOB2Clinician4Emp3BaseMissPerc">calc!$K$1727:$M$1727</definedName>
    <definedName name="calcR2LOB2Clinician4Emp3BaseProd">calc!$K$1647:$M$1647</definedName>
    <definedName name="calcR2LOB2Clinician4Emp3GrossProd">calc!$K$1710:$M$1710</definedName>
    <definedName name="calcR2LOB2Clinician4Emp3MissVisits">calc!$K$1757:$M$1757</definedName>
    <definedName name="calcR2LOB2Clinician4Emp3ModifiedProd">calc!$K$1696:$M$1696</definedName>
    <definedName name="calcR2LOB2Clinician4Emp3NetProd">calc!$K$1772:$M$1772</definedName>
    <definedName name="calcR2LOB2Clinician4Emp3OverTIme">calc!$K$1789:$M$1789</definedName>
    <definedName name="calcR2LOB2Clinician4GrossProd">calc!$K$1847:$M$1847</definedName>
    <definedName name="calcR2LOB2Clinician4MissVisits">calc!$K$1863:$M$1863</definedName>
    <definedName name="calcR2LOB2Clinician4NetVisits">calc!$K$1897:$M$1897</definedName>
    <definedName name="calcR2LOB2Clinician4OverTime">calc!$K$1913:$M$1913</definedName>
    <definedName name="calcR2LOB2Clinician5AllocatedProd">calc!$K$1818:$M$1818</definedName>
    <definedName name="calcR2LOB2Clinician5AvgMissPerc">calc!$K$1881:$M$1881</definedName>
    <definedName name="calcR2LOB2Clinician5BaseNetProd">calc!$K$1834:$M$1834</definedName>
    <definedName name="calcR2LOB2Clinician5BaseProd">calc!$K$1804:$M$1804</definedName>
    <definedName name="calcR2LOB2Clinician5Disc1AvgMissPerc">calc!$K$1375:$M$1375</definedName>
    <definedName name="calcR2LOB2Clinician5Disc1BaseMissPerc">calc!$K$1347:$M$1347</definedName>
    <definedName name="calcR2LOB2Clinician5Disc1Emp1AllocatedProd">calc!$K$1260:$M$1260</definedName>
    <definedName name="calcR2LOB2Clinician5Disc1Emp1AllowPerc">calc!$K$1233:$M$1233</definedName>
    <definedName name="calcR2LOB2Clinician5Disc1Emp1BaseProd">calc!$K$1203:$M$1203</definedName>
    <definedName name="calcR2LOB2Clinician5Disc1Emp1GrossProd">calc!$K$1317:$M$1317</definedName>
    <definedName name="calcR2LOB2Clinician5Disc1Emp1MissVisits">calc!$K$1403:$M$1403</definedName>
    <definedName name="calcR2LOB2Clinician5Disc1Emp1ModifiedProd">calc!$K$1290:$M$1290</definedName>
    <definedName name="calcR2LOB2Clinician5Disc1Emp1NetProd">calc!$K$1431:$M$1431</definedName>
    <definedName name="calcR2LOB2Clinician5Disc1Emp1OverTIme">calc!$K$1466:$M$1466</definedName>
    <definedName name="calcR2LOB2Clinician5Disc2AvgMissPerc">calc!$K$1388:$M$1388</definedName>
    <definedName name="calcR2LOB2Clinician5Disc2BaseMissPerc">calc!$K$1360:$M$1360</definedName>
    <definedName name="calcR2LOB2Clinician5Disc2Emp1AllocatedProd">calc!$K$1273:$M$1273</definedName>
    <definedName name="calcR2LOB2Clinician5Disc2Emp1AllowPerc">calc!$K$1246:$M$1246</definedName>
    <definedName name="calcR2LOB2Clinician5Disc2Emp1BaseProd">calc!$K$1216:$M$1216</definedName>
    <definedName name="calcR2LOB2Clinician5Disc2Emp1GrossProd">calc!$K$1330:$M$1330</definedName>
    <definedName name="calcR2LOB2Clinician5Disc2Emp1MissVisits">calc!$K$1416:$M$1416</definedName>
    <definedName name="calcR2LOB2Clinician5Disc2Emp1ModifiedProd">calc!$K$1302:$M$1302</definedName>
    <definedName name="calcR2LOB2Clinician5Disc2Emp1NetProd">calc!$K$1444:$M$1444</definedName>
    <definedName name="calcR2LOB2Clinician5Disc2Emp1OverTIme">calc!$K$1478:$M$1478</definedName>
    <definedName name="calcR2LOB2Clinician5Emp2AllocatedProd">calc!$K$1524:$M$1524</definedName>
    <definedName name="calcR2LOB2Clinician5Emp2AllowPerc">calc!$K$1509:$M$1509</definedName>
    <definedName name="calcR2LOB2Clinician5Emp2AvgMissPerc">calc!$K$1587:$M$1587</definedName>
    <definedName name="calcR2LOB2Clinician5Emp2BaseMissPerc">calc!$K$1572:$M$1572</definedName>
    <definedName name="calcR2LOB2Clinician5Emp2BaseProd">calc!$K$1492:$M$1492</definedName>
    <definedName name="calcR2LOB2Clinician5Emp2GrossProd">calc!$K$1555:$M$1555</definedName>
    <definedName name="calcR2LOB2Clinician5Emp2MissVisits">calc!$K$1602:$M$1602</definedName>
    <definedName name="calcR2LOB2Clinician5Emp2ModifiedProd">calc!$K$1541:$M$1541</definedName>
    <definedName name="calcR2LOB2Clinician5Emp2NetProd">calc!$K$1617:$M$1617</definedName>
    <definedName name="calcR2LOB2Clinician5Emp2OverTIme">calc!$K$1634:$M$1634</definedName>
    <definedName name="calcR2LOB2Clinician5Emp3AllocatedProd">calc!$K$1680:$M$1680</definedName>
    <definedName name="calcR2LOB2Clinician5Emp3AllowPerc">calc!$K$1665:$M$1665</definedName>
    <definedName name="calcR2LOB2Clinician5Emp3AvgMissPerc">calc!$K$1743:$M$1743</definedName>
    <definedName name="calcR2LOB2Clinician5Emp3BaseMissPerc">calc!$K$1728:$M$1728</definedName>
    <definedName name="calcR2LOB2Clinician5Emp3BaseProd">calc!$K$1648:$M$1648</definedName>
    <definedName name="calcR2LOB2Clinician5Emp3GrossProd">calc!$K$1711:$M$1711</definedName>
    <definedName name="calcR2LOB2Clinician5Emp3MissVisits">calc!$K$1758:$M$1758</definedName>
    <definedName name="calcR2LOB2Clinician5Emp3ModifiedProd">calc!$K$1697:$M$1697</definedName>
    <definedName name="calcR2LOB2Clinician5Emp3NetProd">calc!$K$1773:$M$1773</definedName>
    <definedName name="calcR2LOB2Clinician5Emp3OverTIme">calc!$K$1790:$M$1790</definedName>
    <definedName name="calcR2LOB2Clinician5GrossProd">calc!$K$1848:$M$1848</definedName>
    <definedName name="calcR2LOB2Clinician5MissVisits">calc!$K$1864:$M$1864</definedName>
    <definedName name="calcR2LOB2Clinician5NetVisits">calc!$K$1898:$M$1898</definedName>
    <definedName name="calcR2LOB2Clinician5OverTime">calc!$K$1914:$M$1914</definedName>
    <definedName name="calcR2LOB2Clinician6AllocatedProd">calc!$K$1819:$M$1819</definedName>
    <definedName name="calcR2LOB2Clinician6AvgMissPerc">calc!$K$1882:$M$1882</definedName>
    <definedName name="calcR2LOB2Clinician6BaseNetProd">calc!$K$1835:$M$1835</definedName>
    <definedName name="calcR2LOB2Clinician6BaseProd">calc!$K$1805:$M$1805</definedName>
    <definedName name="calcR2LOB2Clinician6Disc1AvgMissPerc">calc!$K$1376:$M$1376</definedName>
    <definedName name="calcR2LOB2Clinician6Disc1BaseMissPerc">calc!$K$1348:$M$1348</definedName>
    <definedName name="calcR2LOB2Clinician6Disc1Emp1AllocatedProd">calc!$K$1261:$M$1261</definedName>
    <definedName name="calcR2LOB2Clinician6Disc1Emp1AllowPerc">calc!$K$1234:$M$1234</definedName>
    <definedName name="calcR2LOB2Clinician6Disc1Emp1BaseProd">calc!$K$1204:$M$1204</definedName>
    <definedName name="calcR2LOB2Clinician6Disc1Emp1GrossProd">calc!$K$1318:$M$1318</definedName>
    <definedName name="calcR2LOB2Clinician6Disc1Emp1MissVisits">calc!$K$1404:$M$1404</definedName>
    <definedName name="calcR2LOB2Clinician6Disc1Emp1ModifiedProd">calc!$K$1291:$M$1291</definedName>
    <definedName name="calcR2LOB2Clinician6Disc1Emp1NetProd">calc!$K$1432:$M$1432</definedName>
    <definedName name="calcR2LOB2Clinician6Disc1Emp1OverTIme">calc!$K$1467:$M$1467</definedName>
    <definedName name="calcR2LOB2Clinician6Disc2AvgMissPerc">calc!$K$1389:$M$1389</definedName>
    <definedName name="calcR2LOB2Clinician6Disc2BaseMissPerc">calc!$K$1361:$M$1361</definedName>
    <definedName name="calcR2LOB2Clinician6Disc2Emp1AllocatedProd">calc!$K$1274:$M$1274</definedName>
    <definedName name="calcR2LOB2Clinician6Disc2Emp1AllowPerc">calc!$K$1247:$M$1247</definedName>
    <definedName name="calcR2LOB2Clinician6Disc2Emp1BaseProd">calc!$K$1217:$M$1217</definedName>
    <definedName name="calcR2LOB2Clinician6Disc2Emp1GrossProd">calc!$K$1331:$M$1331</definedName>
    <definedName name="calcR2LOB2Clinician6Disc2Emp1MissVisits">calc!$K$1417:$M$1417</definedName>
    <definedName name="calcR2LOB2Clinician6Disc2Emp1ModifiedProd">calc!$K$1303:$M$1303</definedName>
    <definedName name="calcR2LOB2Clinician6Disc2Emp1NetProd">calc!$K$1445:$M$1445</definedName>
    <definedName name="calcR2LOB2Clinician6Disc2Emp1OverTIme">calc!$K$1479:$M$1479</definedName>
    <definedName name="calcR2LOB2Clinician6Emp2AllocatedProd">calc!$K$1525:$M$1525</definedName>
    <definedName name="calcR2LOB2Clinician6Emp2AllowPerc">calc!$K$1510:$M$1510</definedName>
    <definedName name="calcR2LOB2Clinician6Emp2AvgMissPerc">calc!$K$1588:$M$1588</definedName>
    <definedName name="calcR2LOB2Clinician6Emp2BaseMissPerc">calc!$K$1573:$M$1573</definedName>
    <definedName name="calcR2LOB2Clinician6Emp2BaseProd">calc!$K$1493:$M$1493</definedName>
    <definedName name="calcR2LOB2Clinician6Emp2GrossProd">calc!$K$1556:$M$1556</definedName>
    <definedName name="calcR2LOB2Clinician6Emp2MissVisits">calc!$K$1603:$M$1603</definedName>
    <definedName name="calcR2LOB2Clinician6Emp2ModifiedProd">calc!$K$1542:$M$1542</definedName>
    <definedName name="calcR2LOB2Clinician6Emp2NetProd">calc!$K$1618:$M$1618</definedName>
    <definedName name="calcR2LOB2Clinician6Emp2OverTIme">calc!$K$1635:$M$1635</definedName>
    <definedName name="calcR2LOB2Clinician6Emp3AllocatedProd">calc!$K$1681:$M$1681</definedName>
    <definedName name="calcR2LOB2Clinician6Emp3AllowPerc">calc!$K$1666:$M$1666</definedName>
    <definedName name="calcR2LOB2Clinician6Emp3AvgMissPerc">calc!$K$1744:$M$1744</definedName>
    <definedName name="calcR2LOB2Clinician6Emp3BaseMissPerc">calc!$K$1729:$M$1729</definedName>
    <definedName name="calcR2LOB2Clinician6Emp3BaseProd">calc!$K$1649:$M$1649</definedName>
    <definedName name="calcR2LOB2Clinician6Emp3GrossProd">calc!$K$1712:$M$1712</definedName>
    <definedName name="calcR2LOB2Clinician6Emp3MissVisits">calc!$K$1759:$M$1759</definedName>
    <definedName name="calcR2LOB2Clinician6Emp3ModifiedProd">calc!$K$1698:$M$1698</definedName>
    <definedName name="calcR2LOB2Clinician6Emp3NetProd">calc!$K$1774:$M$1774</definedName>
    <definedName name="calcR2LOB2Clinician6Emp3OverTIme">calc!$K$1791:$M$1791</definedName>
    <definedName name="calcR2LOB2Clinician6GrossProd">calc!$K$1849:$M$1849</definedName>
    <definedName name="calcR2LOB2Clinician6MissVisits">calc!$K$1865:$M$1865</definedName>
    <definedName name="calcR2LOB2Clinician6NetVisits">calc!$K$1899:$M$1899</definedName>
    <definedName name="calcR2LOB2Clinician6OverTime">calc!$K$1915:$M$1915</definedName>
    <definedName name="calcR2LOB2Clinician7AllocatedProd">calc!$K$1820:$M$1820</definedName>
    <definedName name="calcR2LOB2Clinician7AvgMissPerc">calc!$K$1883:$M$1883</definedName>
    <definedName name="calcR2LOB2Clinician7BaseNetProd">calc!$K$1836:$M$1836</definedName>
    <definedName name="calcR2LOB2Clinician7BaseProd">calc!$K$1806:$M$1806</definedName>
    <definedName name="calcR2LOB2Clinician7Disc1AvgMissPerc">calc!$K$1377:$M$1377</definedName>
    <definedName name="calcR2LOB2Clinician7Disc1BaseMissPerc">calc!$K$1349:$M$1349</definedName>
    <definedName name="calcR2LOB2Clinician7Disc1Emp1AllocatedProd">calc!$K$1262:$M$1262</definedName>
    <definedName name="calcR2LOB2Clinician7Disc1Emp1AllowPerc">calc!$K$1235:$M$1235</definedName>
    <definedName name="calcR2LOB2Clinician7Disc1Emp1BaseProd">calc!$K$1205:$M$1205</definedName>
    <definedName name="calcR2LOB2Clinician7Disc1Emp1GrossProd">calc!$K$1319:$M$1319</definedName>
    <definedName name="calcR2LOB2Clinician7Disc1Emp1MissVisits">calc!$K$1405:$M$1405</definedName>
    <definedName name="calcR2LOB2Clinician7Disc1Emp1ModifiedProd">calc!$K$1292:$M$1292</definedName>
    <definedName name="calcR2LOB2Clinician7Disc1Emp1NetProd">calc!$K$1433:$M$1433</definedName>
    <definedName name="calcR2LOB2Clinician7Disc1Emp1OverTIme">calc!$K$1468:$M$1468</definedName>
    <definedName name="calcR2LOB2Clinician7Disc2AvgMissPerc">calc!$K$1390:$M$1390</definedName>
    <definedName name="calcR2LOB2Clinician7Disc2BaseMissPerc">calc!$K$1362:$M$1362</definedName>
    <definedName name="calcR2LOB2Clinician7Disc2Emp1AllocatedProd">calc!$K$1275:$M$1275</definedName>
    <definedName name="calcR2LOB2Clinician7Disc2Emp1AllowPerc">calc!$K$1248:$M$1248</definedName>
    <definedName name="calcR2LOB2Clinician7Disc2Emp1BaseProd">calc!$K$1218:$M$1218</definedName>
    <definedName name="calcR2LOB2Clinician7Disc2Emp1GrossProd">calc!$K$1332:$M$1332</definedName>
    <definedName name="calcR2LOB2Clinician7Disc2Emp1MissVisits">calc!$K$1418:$M$1418</definedName>
    <definedName name="calcR2LOB2Clinician7Disc2Emp1ModifiedProd">calc!$K$1304:$M$1304</definedName>
    <definedName name="calcR2LOB2Clinician7Disc2Emp1NetProd">calc!$K$1446:$M$1446</definedName>
    <definedName name="calcR2LOB2Clinician7Disc2Emp1OverTIme">calc!$K$1480:$M$1480</definedName>
    <definedName name="calcR2LOB2Clinician7Emp2AllocatedProd">calc!$K$1526:$M$1526</definedName>
    <definedName name="calcR2LOB2Clinician7Emp2AllowPerc">calc!$K$1511:$M$1511</definedName>
    <definedName name="calcR2LOB2Clinician7Emp2AvgMissPerc">calc!$K$1589:$M$1589</definedName>
    <definedName name="calcR2LOB2Clinician7Emp2BaseMissPerc">calc!$K$1574:$M$1574</definedName>
    <definedName name="calcR2LOB2Clinician7Emp2BaseProd">calc!$K$1494:$M$1494</definedName>
    <definedName name="calcR2LOB2Clinician7Emp2GrossProd">calc!$K$1557:$M$1557</definedName>
    <definedName name="calcR2LOB2Clinician7Emp2MissVisits">calc!$K$1604:$M$1604</definedName>
    <definedName name="calcR2LOB2Clinician7Emp2ModifiedProd">calc!$K$1543:$M$1543</definedName>
    <definedName name="calcR2LOB2Clinician7Emp2NetProd">calc!$K$1619:$M$1619</definedName>
    <definedName name="calcR2LOB2Clinician7Emp2OverTIme">calc!$K$1636:$M$1636</definedName>
    <definedName name="calcR2LOB2Clinician7Emp3AllocatedProd">calc!$K$1682:$M$1682</definedName>
    <definedName name="calcR2LOB2Clinician7Emp3AllowPerc">calc!$K$1667:$M$1667</definedName>
    <definedName name="calcR2LOB2Clinician7Emp3AvgMissPerc">calc!$K$1745:$M$1745</definedName>
    <definedName name="calcR2LOB2Clinician7Emp3BaseMissPerc">calc!$K$1730:$M$1730</definedName>
    <definedName name="calcR2LOB2Clinician7Emp3BaseProd">calc!$K$1650:$M$1650</definedName>
    <definedName name="calcR2LOB2Clinician7Emp3GrossProd">calc!$K$1713:$M$1713</definedName>
    <definedName name="calcR2LOB2Clinician7Emp3MissVisits">calc!$K$1760:$M$1760</definedName>
    <definedName name="calcR2LOB2Clinician7Emp3ModifiedProd">calc!$K$1699:$M$1699</definedName>
    <definedName name="calcR2LOB2Clinician7Emp3NetProd">calc!$K$1775:$M$1775</definedName>
    <definedName name="calcR2LOB2Clinician7Emp3OverTIme">calc!$K$1792:$M$1792</definedName>
    <definedName name="calcR2LOB2Clinician7GrossProd">calc!$K$1850:$M$1850</definedName>
    <definedName name="calcR2LOB2Clinician7MissVisits">calc!$K$1866:$M$1866</definedName>
    <definedName name="calcR2LOB2Clinician7NetVisits">calc!$K$1900:$M$1900</definedName>
    <definedName name="calcR2LOB2Clinician7OverTime">calc!$K$1916:$M$1916</definedName>
    <definedName name="calcR2LOB2Clinician8AllocatedProd">calc!$K$1821:$M$1821</definedName>
    <definedName name="calcR2LOB2Clinician8AvgMissPerc">calc!$K$1884:$M$1884</definedName>
    <definedName name="calcR2LOB2Clinician8BaseNetProd">calc!$K$1837:$M$1837</definedName>
    <definedName name="calcR2LOB2Clinician8BaseProd">calc!$K$1807:$M$1807</definedName>
    <definedName name="calcR2LOB2Clinician8Disc1AvgMissPerc">calc!$K$1378:$M$1378</definedName>
    <definedName name="calcR2LOB2Clinician8Disc1BaseMissPerc">calc!$K$1350:$M$1350</definedName>
    <definedName name="calcR2LOB2Clinician8Disc1Emp1AllocatedProd">calc!$K$1263:$M$1263</definedName>
    <definedName name="calcR2LOB2Clinician8Disc1Emp1AllowPerc">calc!$K$1236:$M$1236</definedName>
    <definedName name="calcR2LOB2Clinician8Disc1Emp1BaseProd">calc!$K$1206:$M$1206</definedName>
    <definedName name="calcR2LOB2Clinician8Disc1Emp1GrossProd">calc!$K$1320:$M$1320</definedName>
    <definedName name="calcR2LOB2Clinician8Disc1Emp1MissVisits">calc!$K$1406:$M$1406</definedName>
    <definedName name="calcR2LOB2Clinician8Disc1Emp1ModifiedProd">calc!$K$1293:$M$1293</definedName>
    <definedName name="calcR2LOB2Clinician8Disc1Emp1NetProd">calc!$K$1434:$M$1434</definedName>
    <definedName name="calcR2LOB2Clinician8Disc1Emp1OverTIme">calc!$K$1469:$M$1469</definedName>
    <definedName name="calcR2LOB2Clinician8Disc2AvgMissPerc">calc!$K$1391:$M$1391</definedName>
    <definedName name="calcR2LOB2Clinician8Disc2BaseMissPerc">calc!$K$1363:$M$1363</definedName>
    <definedName name="calcR2LOB2Clinician8Disc2Emp1AllocatedProd">calc!$K$1276:$M$1276</definedName>
    <definedName name="calcR2LOB2Clinician8Disc2Emp1AllowPerc">calc!$K$1249:$M$1249</definedName>
    <definedName name="calcR2LOB2Clinician8Disc2Emp1BaseProd">calc!$K$1219:$M$1219</definedName>
    <definedName name="calcR2LOB2Clinician8Disc2Emp1GrossProd">calc!$K$1333:$M$1333</definedName>
    <definedName name="calcR2LOB2Clinician8Disc2Emp1MissVisits">calc!$K$1419:$M$1419</definedName>
    <definedName name="calcR2LOB2Clinician8Disc2Emp1ModifiedProd">calc!$K$1305:$M$1305</definedName>
    <definedName name="calcR2LOB2Clinician8Disc2Emp1NetProd">calc!$K$1447:$M$1447</definedName>
    <definedName name="calcR2LOB2Clinician8Disc2Emp1OverTIme">calc!$K$1481:$M$1481</definedName>
    <definedName name="calcR2LOB2Clinician8Emp2AllocatedProd">calc!$K$1527:$M$1527</definedName>
    <definedName name="calcR2LOB2Clinician8Emp2AllowPerc">calc!$K$1512:$M$1512</definedName>
    <definedName name="calcR2LOB2Clinician8Emp2AvgMissPerc">calc!$K$1590:$M$1590</definedName>
    <definedName name="calcR2LOB2Clinician8Emp2BaseMissPerc">calc!$K$1575:$M$1575</definedName>
    <definedName name="calcR2LOB2Clinician8Emp2BaseProd">calc!$K$1495:$M$1495</definedName>
    <definedName name="calcR2LOB2Clinician8Emp2GrossProd">calc!$K$1558:$M$1558</definedName>
    <definedName name="calcR2LOB2Clinician8Emp2MissVisits">calc!$K$1605:$M$1605</definedName>
    <definedName name="calcR2LOB2Clinician8Emp2ModifiedProd">calc!$K$1544:$M$1544</definedName>
    <definedName name="calcR2LOB2Clinician8Emp2NetProd">calc!$K$1620:$M$1620</definedName>
    <definedName name="calcR2LOB2Clinician8Emp2OverTIme">calc!$K$1637:$M$1637</definedName>
    <definedName name="calcR2LOB2Clinician8Emp3AllocatedProd">calc!$K$1683:$M$1683</definedName>
    <definedName name="calcR2LOB2Clinician8Emp3AllowPerc">calc!$K$1668:$M$1668</definedName>
    <definedName name="calcR2LOB2Clinician8Emp3AvgMissPerc">calc!$K$1746:$M$1746</definedName>
    <definedName name="calcR2LOB2Clinician8Emp3BaseMissPerc">calc!$K$1731:$M$1731</definedName>
    <definedName name="calcR2LOB2Clinician8Emp3BaseProd">calc!$K$1651:$M$1651</definedName>
    <definedName name="calcR2LOB2Clinician8Emp3GrossProd">calc!$K$1714:$M$1714</definedName>
    <definedName name="calcR2LOB2Clinician8Emp3MissVisits">calc!$K$1761:$M$1761</definedName>
    <definedName name="calcR2LOB2Clinician8Emp3ModifiedProd">calc!$K$1700:$M$1700</definedName>
    <definedName name="calcR2LOB2Clinician8Emp3NetProd">calc!$K$1776:$M$1776</definedName>
    <definedName name="calcR2LOB2Clinician8Emp3OverTIme">calc!$K$1793:$M$1793</definedName>
    <definedName name="calcR2LOB2Clinician8GrossProd">calc!$K$1851:$M$1851</definedName>
    <definedName name="calcR2LOB2Clinician8MissVisits">calc!$K$1867:$M$1867</definedName>
    <definedName name="calcR2LOB2Clinician8NetVisits">calc!$K$1901:$M$1901</definedName>
    <definedName name="calcR2LOB2Clinician8OverTime">calc!$K$1917:$M$1917</definedName>
    <definedName name="calcR2LOB2Clinician9AllocatedProd">calc!$K$1822:$M$1822</definedName>
    <definedName name="calcR2LOB2Clinician9AvgMissPerc">calc!$K$1885:$M$1885</definedName>
    <definedName name="calcR2LOB2Clinician9BaseNetProd">calc!$K$1838:$M$1838</definedName>
    <definedName name="calcR2LOB2Clinician9BaseProd">calc!$K$1808:$M$1808</definedName>
    <definedName name="calcR2LOB2Clinician9Disc1AvgMissPerc">calc!$K$1379:$M$1379</definedName>
    <definedName name="calcR2LOB2Clinician9Disc1BaseMissPerc">calc!$K$1351:$M$1351</definedName>
    <definedName name="calcR2LOB2Clinician9Disc1Emp1AllocatedProd">calc!$K$1264:$M$1264</definedName>
    <definedName name="calcR2LOB2Clinician9Disc1Emp1AllowPerc">calc!$K$1237:$M$1237</definedName>
    <definedName name="calcR2LOB2Clinician9Disc1Emp1BaseProd">calc!$K$1207:$M$1207</definedName>
    <definedName name="calcR2LOB2Clinician9Disc1Emp1GrossProd">calc!$K$1321:$M$1321</definedName>
    <definedName name="calcR2LOB2Clinician9Disc1Emp1MissVisits">calc!$K$1407:$M$1407</definedName>
    <definedName name="calcR2LOB2Clinician9Disc1Emp1ModifiedProd">calc!$K$1294:$M$1294</definedName>
    <definedName name="calcR2LOB2Clinician9Disc1Emp1NetProd">calc!$K$1435:$M$1435</definedName>
    <definedName name="calcR2LOB2Clinician9Disc1Emp1OverTIme">calc!$K$1470:$M$1470</definedName>
    <definedName name="calcR2LOB2Clinician9Disc2AvgMissPerc">calc!$K$1392:$M$1392</definedName>
    <definedName name="calcR2LOB2Clinician9Disc2BaseMissPerc">calc!$K$1364:$M$1364</definedName>
    <definedName name="calcR2LOB2Clinician9Disc2Emp1AllocatedProd">calc!$K$1277:$M$1277</definedName>
    <definedName name="calcR2LOB2Clinician9Disc2Emp1AllowPerc">calc!$K$1250:$M$1250</definedName>
    <definedName name="calcR2LOB2Clinician9Disc2Emp1BaseProd">calc!$K$1220:$M$1220</definedName>
    <definedName name="calcR2LOB2Clinician9Disc2Emp1GrossProd">calc!$K$1334:$M$1334</definedName>
    <definedName name="calcR2LOB2Clinician9Disc2Emp1MissVisits">calc!$K$1420:$M$1420</definedName>
    <definedName name="calcR2LOB2Clinician9Disc2Emp1ModifiedProd">calc!$K$1306:$M$1306</definedName>
    <definedName name="calcR2LOB2Clinician9Disc2Emp1NetProd">calc!$K$1448:$M$1448</definedName>
    <definedName name="calcR2LOB2Clinician9Disc2Emp1OverTIme">calc!$K$1482:$M$1482</definedName>
    <definedName name="calcR2LOB2Clinician9Emp2AllocatedProd">calc!$K$1528:$M$1528</definedName>
    <definedName name="calcR2LOB2Clinician9Emp2AllowPerc">calc!$K$1513:$M$1513</definedName>
    <definedName name="calcR2LOB2Clinician9Emp2AvgMissPerc">calc!$K$1591:$M$1591</definedName>
    <definedName name="calcR2LOB2Clinician9Emp2BaseMissPerc">calc!$K$1576:$M$1576</definedName>
    <definedName name="calcR2LOB2Clinician9Emp2BaseProd">calc!$K$1496:$M$1496</definedName>
    <definedName name="calcR2LOB2Clinician9Emp2GrossProd">calc!$K$1559:$M$1559</definedName>
    <definedName name="calcR2LOB2Clinician9Emp2MissVisits">calc!$K$1606:$M$1606</definedName>
    <definedName name="calcR2LOB2Clinician9Emp2ModifiedProd">calc!$K$1545:$M$1545</definedName>
    <definedName name="calcR2LOB2Clinician9Emp2NetProd">calc!$K$1621:$M$1621</definedName>
    <definedName name="calcR2LOB2Clinician9Emp2OverTIme">calc!$K$1638:$M$1638</definedName>
    <definedName name="calcR2LOB2Clinician9Emp3AllocatedProd">calc!$K$1684:$M$1684</definedName>
    <definedName name="calcR2LOB2Clinician9Emp3AllowPerc">calc!$K$1669:$M$1669</definedName>
    <definedName name="calcR2LOB2Clinician9Emp3AvgMissPerc">calc!$K$1747:$M$1747</definedName>
    <definedName name="calcR2LOB2Clinician9Emp3BaseMissPerc">calc!$K$1732:$M$1732</definedName>
    <definedName name="calcR2LOB2Clinician9Emp3BaseProd">calc!$K$1652:$M$1652</definedName>
    <definedName name="calcR2LOB2Clinician9Emp3GrossProd">calc!$K$1715:$M$1715</definedName>
    <definedName name="calcR2LOB2Clinician9Emp3MissVisits">calc!$K$1762:$M$1762</definedName>
    <definedName name="calcR2LOB2Clinician9Emp3ModifiedProd">calc!$K$1701:$M$1701</definedName>
    <definedName name="calcR2LOB2Clinician9Emp3NetProd">calc!$K$1777:$M$1777</definedName>
    <definedName name="calcR2LOB2Clinician9Emp3OverTIme">calc!$K$1794:$M$1794</definedName>
    <definedName name="calcR2LOB2Clinician9GrossProd">calc!$K$1852:$M$1852</definedName>
    <definedName name="calcR2LOB2Clinician9MissVisits">calc!$K$1868:$M$1868</definedName>
    <definedName name="calcR2LOB2Clinician9NetVisits">calc!$K$1902:$M$1902</definedName>
    <definedName name="calcR2LOB2Clinician9OverTime">calc!$K$1918:$M$1918</definedName>
    <definedName name="calcR2LOB2ClinicianAllocatedVisits">calc!$K$1827:$M$1827</definedName>
    <definedName name="calcR2LOB2ClinicianAvgMissPerc">calc!$K$1891:$M$1891</definedName>
    <definedName name="calcR2LOB2ClinicianGrossProd">calc!$K$1857:$M$1857</definedName>
    <definedName name="calcR2LOB2ClinicianMissVisits">calc!$K$1873:$M$1873</definedName>
    <definedName name="calcR2LOB2ClinicianMissVisitsPerc">calc!$K$1874:$M$1874</definedName>
    <definedName name="calcR2LOB2ClinicianNetVisits">calc!$K$1907:$M$1907</definedName>
    <definedName name="calcR2LOB2ClinicianOverTime">calc!$K$1923:$M$1923</definedName>
    <definedName name="calcR2LOB2ClinicianOverTimePerc">calc!$K$1924:$M$1924</definedName>
    <definedName name="calcR2LOB2ClinicianTotalMissPerc">calc!$K$1890:$M$1890</definedName>
    <definedName name="calcR2LOB2CSAT">calc!$K$2024:$M$2024</definedName>
    <definedName name="calcR2LOB2Disc1EmpCount">calc!$K$1959:$M$1959</definedName>
    <definedName name="calcR2LOB2Disc1Retention">calc!$K$2061:$M$2061</definedName>
    <definedName name="calcR2LOB2Disc1TotalVisits">calc!$K$1456:$M$1456</definedName>
    <definedName name="calcR2LOB2Disc1TotalVisitsPerc">calc!$K$1458:$M$1458</definedName>
    <definedName name="calcR2LOB2Disc2BelowLicsenceVisits">calc!$K$1460:$M$1460</definedName>
    <definedName name="calcR2LOB2Disc2EmpCount">calc!$K$1960:$M$1960</definedName>
    <definedName name="calcR2LOB2Disc2Retention">calc!$K$2069:$M$2069</definedName>
    <definedName name="calcR2LOB2Disc2TotalVisits">calc!$K$1457:$M$1457</definedName>
    <definedName name="calcR2LOB2Disc2TotalVisitsPerc">calc!$K$1459:$M$1459</definedName>
    <definedName name="calcR2LOB2Disc3EmpCount">calc!$K$1962:$M$1962</definedName>
    <definedName name="calcR2LOB2Disc3Retention">calc!$K$2077:$M$2077</definedName>
    <definedName name="calcR2LOB2Disc4EmpCount">calc!$K$1963:$M$1963</definedName>
    <definedName name="calcR2LOB2Disc4Retention">calc!$K$2085:$M$2085</definedName>
    <definedName name="calcR2LOB2DOOActionTime1">calc!$K$1992:$M$1992</definedName>
    <definedName name="calcR2LOB2DOOActionTime2">calc!$K$1993:$M$1993</definedName>
    <definedName name="calcR2LOB2DOOActionTime3">calc!$K$1994:$M$1994</definedName>
    <definedName name="calcR2LOB2DOOActionTime4">calc!$K$1995:$M$1995</definedName>
    <definedName name="calcR2LOB2DOOActionTime5">calc!$K$1996:$M$1996</definedName>
    <definedName name="calcR2LOB2DOOActionTime6">calc!$K$1997:$M$1997</definedName>
    <definedName name="calcR2LOB2DOOBaseTime1">calc!$K$1982:$M$1982</definedName>
    <definedName name="calcR2LOB2DOOBaseTime2">calc!$K$1983:$M$1983</definedName>
    <definedName name="calcR2LOB2DOOBaseTime3">calc!$K$1984:$M$1984</definedName>
    <definedName name="calcR2LOB2DOOBaseTime4">calc!$K$1985:$M$1985</definedName>
    <definedName name="calcR2LOB2DOOBaseTime5">calc!$K$1986:$M$1986</definedName>
    <definedName name="calcR2LOB2DOOBaseTime6">calc!$K$1987:$M$1987</definedName>
    <definedName name="calcR2LOB2DOOPlanTime1">calc!$K$2002:$M$2002</definedName>
    <definedName name="calcR2LOB2DOOPlanTime2">calc!$K$2003:$M$2003</definedName>
    <definedName name="calcR2LOB2DOOPlanTime3">calc!$K$2004:$M$2004</definedName>
    <definedName name="calcR2LOB2DOOPlanTime4">calc!$K$2005:$M$2005</definedName>
    <definedName name="calcR2LOB2DOOPlanTime5">calc!$K$2006:$M$2006</definedName>
    <definedName name="calcR2LOB2DOOPlanTime6">calc!$K$2007:$M$2007</definedName>
    <definedName name="calcR2LOB2DOOStaffModImpact">calc!$K$2013:$M$2013</definedName>
    <definedName name="calcR2LOB2DOOTotalActionTime">calc!$K$1999:$M$1999</definedName>
    <definedName name="calcR2LOB2DOOTotalBaseTime">calc!$K$1989:$M$1989</definedName>
    <definedName name="calcR2LOB2DOOTotalPlanTime">calc!$K$2009:$M$2009</definedName>
    <definedName name="calcR2LOB2Emp1ActualVisits">calc!$K$1936:$M$1936</definedName>
    <definedName name="calcR2LOB2Emp1AllocatedProd">calc!$K$1283:$M$1283</definedName>
    <definedName name="calcR2LOB2Emp1BaseProdCapacity">calc!$K$1226:$M$1226</definedName>
    <definedName name="calcR2LOB2Emp1Capacity">calc!$K$1169:$M$1169</definedName>
    <definedName name="calcR2LOB2Emp1Count">calc!$K$1961:$M$1961</definedName>
    <definedName name="calcR2LOB2Emp1GrossProdCapacity">calc!$K$1340:$M$1340</definedName>
    <definedName name="calcR2LOB2Emp1NetProduction">calc!$K$1454:$M$1454</definedName>
    <definedName name="calcR2LOB2Emp1PercNonSalaried">calc!$K$1455:$M$1455</definedName>
    <definedName name="calcR2LOB2Emp1Utilization">calc!$K$1174:$M$1174</definedName>
    <definedName name="calcR2LOB2Emp1Visits">calc!$K$1143:$M$1143</definedName>
    <definedName name="calcR2LOB2Emp1Work">calc!$K$1173:$M$1173</definedName>
    <definedName name="calcR2LOB2Emp2ActualVisits">calc!$K$1946:$M$1946</definedName>
    <definedName name="calcR2LOB2Emp2AllocatedProd">calc!$K$1534:$M$1534</definedName>
    <definedName name="calcR2LOB2Emp2BaseProdCapacity">calc!$K$1502:$M$1502</definedName>
    <definedName name="calcR2LOB2Emp2Capacity">calc!$K$1179:$M$1179</definedName>
    <definedName name="calcR2LOB2Emp2GrossProdCapacity">calc!$K$1565:$M$1565</definedName>
    <definedName name="calcR2LOB2Emp2NetProduction">calc!$K$1627:$M$1627</definedName>
    <definedName name="calcR2LOB2Emp2Utilization">calc!$K$1184:$M$1184</definedName>
    <definedName name="calcR2LOB2Emp2Visits">calc!$K$1153:$M$1153</definedName>
    <definedName name="calcR2LOB2Emp2Work">calc!$K$1183:$M$1183</definedName>
    <definedName name="calcR2LOB2Emp3ActualVisits">calc!$K$1956:$M$1956</definedName>
    <definedName name="calcR2LOB2Emp3AllocatedProd">calc!$K$1690:$M$1690</definedName>
    <definedName name="calcR2LOB2Emp3BaseProdCapacity">calc!$K$1658:$M$1658</definedName>
    <definedName name="calcR2LOB2Emp3Capacity">calc!$K$1189:$M$1189</definedName>
    <definedName name="calcR2LOB2Emp3GrossProdCapacity">calc!$K$1721:$M$1721</definedName>
    <definedName name="calcR2LOB2Emp3NetProduction">calc!$K$1783:$M$1783</definedName>
    <definedName name="calcR2LOB2Emp3Utilization">calc!$K$1194:$M$1194</definedName>
    <definedName name="calcR2LOB2Emp3Visits">calc!$K$1163:$M$1163</definedName>
    <definedName name="calcR2LOB2Emp3Work">calc!$K$1193:$M$1193</definedName>
    <definedName name="calcR2LOB2ESAT">calc!$K$2034:$M$2034</definedName>
    <definedName name="calcR2LOB2FullEmp">calc!$K$1966:$M$1966</definedName>
    <definedName name="calcR2LOB2MeetingCount">calc!$K$2087:$M$2087</definedName>
    <definedName name="calcR2LOB2PartEmp">calc!$K$1967:$M$1967</definedName>
    <definedName name="calcR2LOB2Patients">calc!$K$1132:$M$1132</definedName>
    <definedName name="calcR2LOB2Prod1Seg1Budget">calc!$K$1065:$M$1065</definedName>
    <definedName name="calcR2LOB2Prod1Seg1BudgetMM">calc!$K$1076:$M$1076</definedName>
    <definedName name="calcR2LOB2Prod1Seg1Emp1ActualVisits">calc!$K$1929:$M$1929</definedName>
    <definedName name="calcR2LOB2Prod1Seg1Emp1Visits">calc!$K$1136:$M$1136</definedName>
    <definedName name="calcR2LOB2Prod1Seg1Emp2ActualVisits">calc!$K$1939:$M$1939</definedName>
    <definedName name="calcR2LOB2Prod1Seg1Emp2Visits">calc!$K$1146:$M$1146</definedName>
    <definedName name="calcR2LOB2Prod1Seg1Emp3ActualVisits">calc!$K$1949:$M$1949</definedName>
    <definedName name="calcR2LOB2Prod1Seg1Emp3Visits">calc!$K$1156:$M$1156</definedName>
    <definedName name="calcR2LOB2Prod1Seg1Patients">calc!$K$1124:$M$1124</definedName>
    <definedName name="calcR2LOB2Prod1Seg1RunRate">calc!$K$1042:$M$1042</definedName>
    <definedName name="calcR2LOB2Prod1Seg1RunRateM1">calc!$K$1088:$M$1088</definedName>
    <definedName name="calcR2LOB2Prod1Seg1RunRateM2">calc!$K$1100:$M$1100</definedName>
    <definedName name="calcR2LOB2Prod1Seg1RunRateM3">calc!$K$1112:$M$1112</definedName>
    <definedName name="calcR2LOB2Prod1Seg1RunRateMM">calc!$K$1053:$M$1053</definedName>
    <definedName name="calcR2LOB2Prod1Seg2Budget">calc!$K$1066:$M$1066</definedName>
    <definedName name="calcR2LOB2Prod1Seg2BudgetMM">calc!$K$1077:$M$1077</definedName>
    <definedName name="calcR2LOB2Prod1Seg2Emp1ActualVisits">calc!$K$1930:$M$1930</definedName>
    <definedName name="calcR2LOB2Prod1Seg2Emp1Visits">calc!$K$1137:$M$1137</definedName>
    <definedName name="calcR2LOB2Prod1Seg2Emp2ActualVisits">calc!$K$1940:$M$1940</definedName>
    <definedName name="calcR2LOB2Prod1Seg2Emp2Visits">calc!$K$1147:$M$1147</definedName>
    <definedName name="calcR2LOB2Prod1Seg2Emp3ActualVisits">calc!$K$1950:$M$1950</definedName>
    <definedName name="calcR2LOB2Prod1Seg2Emp3Visits">calc!$K$1157:$M$1157</definedName>
    <definedName name="calcR2LOB2Prod1Seg2Patients">calc!$K$1125:$M$1125</definedName>
    <definedName name="calcR2LOB2Prod1Seg2RunRate">calc!$K$1043:$M$1043</definedName>
    <definedName name="calcR2LOB2Prod1Seg2RunRateM1">calc!$K$1089:$M$1089</definedName>
    <definedName name="calcR2LOB2Prod1Seg2RunRateM2">calc!$K$1101:$M$1101</definedName>
    <definedName name="calcR2LOB2Prod1Seg2RunRateM3">calc!$K$1113:$M$1113</definedName>
    <definedName name="calcR2LOB2Prod1Seg2RunRateMM">calc!$K$1054:$M$1054</definedName>
    <definedName name="calcR2LOB2Prod1Seg3Budget">calc!$K$1067:$M$1067</definedName>
    <definedName name="calcR2LOB2Prod1Seg3BudgetMM">calc!$K$1078:$M$1078</definedName>
    <definedName name="calcR2LOB2Prod1Seg3Emp1ActualVisits">calc!$K$1931:$M$1931</definedName>
    <definedName name="calcR2LOB2Prod1Seg3Emp1Visits">calc!$K$1138:$M$1138</definedName>
    <definedName name="calcR2LOB2Prod1Seg3Emp2ActualVisits">calc!$K$1941:$M$1941</definedName>
    <definedName name="calcR2LOB2Prod1Seg3Emp2Visits">calc!$K$1148:$M$1148</definedName>
    <definedName name="calcR2LOB2Prod1Seg3Emp3ActualVisits">calc!$K$1951:$M$1951</definedName>
    <definedName name="calcR2LOB2Prod1Seg3Emp3Visits">calc!$K$1158:$M$1158</definedName>
    <definedName name="calcR2LOB2Prod1Seg3Patients">calc!$K$1126:$M$1126</definedName>
    <definedName name="calcR2LOB2Prod1Seg3RunRate">calc!$K$1044:$M$1044</definedName>
    <definedName name="calcR2LOB2Prod1Seg3RunRateM1">calc!$K$1090:$M$1090</definedName>
    <definedName name="calcR2LOB2Prod1Seg3RunRateM2">calc!$K$1102:$M$1102</definedName>
    <definedName name="calcR2LOB2Prod1Seg3RunRateM3">calc!$K$1114:$M$1114</definedName>
    <definedName name="calcR2LOB2Prod1Seg3RunRateMM">calc!$K$1055:$M$1055</definedName>
    <definedName name="calcR2LOB2Prod2Seg1Budget">calc!$K$1069:$M$1069</definedName>
    <definedName name="calcR2LOB2Prod2Seg1BudgetMM">calc!$K$1080:$M$1080</definedName>
    <definedName name="calcR2LOB2Prod2Seg1Emp1ActualVisits">calc!$K$1932:$M$1932</definedName>
    <definedName name="calcR2LOB2Prod2Seg1Emp1Visits">calc!$K$1139:$M$1139</definedName>
    <definedName name="calcR2LOB2Prod2Seg1Emp2ActualVisits">calc!$K$1942:$M$1942</definedName>
    <definedName name="calcR2LOB2Prod2Seg1Emp2Visits">calc!$K$1149:$M$1149</definedName>
    <definedName name="calcR2LOB2Prod2Seg1Emp3ActualVisits">calc!$K$1952:$M$1952</definedName>
    <definedName name="calcR2LOB2Prod2Seg1Emp3Visits">calc!$K$1159:$M$1159</definedName>
    <definedName name="calcR2LOB2Prod2Seg1Patients">calc!$K$1128:$M$1128</definedName>
    <definedName name="calcR2LOB2Prod2Seg1RunRate">calc!$K$1046:$M$1046</definedName>
    <definedName name="calcR2LOB2Prod2Seg1RunRateM1">calc!$K$1092:$M$1092</definedName>
    <definedName name="calcR2LOB2Prod2Seg1RunRateM2">calc!$K$1104:$M$1104</definedName>
    <definedName name="calcR2LOB2Prod2Seg1RunRateM3">calc!$K$1116:$M$1116</definedName>
    <definedName name="calcR2LOB2Prod2Seg1RunRateMM">calc!$K$1057:$M$1057</definedName>
    <definedName name="calcR2LOB2Prod2Seg2Budget">calc!$K$1070:$M$1070</definedName>
    <definedName name="calcR2LOB2Prod2Seg2BudgetMM">calc!$K$1081:$M$1081</definedName>
    <definedName name="calcR2LOB2Prod2Seg2Emp1ActualVisits">calc!$K$1933:$M$1933</definedName>
    <definedName name="calcR2LOB2Prod2Seg2Emp1Visits">calc!$K$1140:$M$1140</definedName>
    <definedName name="calcR2LOB2Prod2Seg2Emp2ActualVisits">calc!$K$1943:$M$1943</definedName>
    <definedName name="calcR2LOB2Prod2Seg2Emp2Visits">calc!$K$1150:$M$1150</definedName>
    <definedName name="calcR2LOB2Prod2Seg2Emp3ActualVisits">calc!$K$1953:$M$1953</definedName>
    <definedName name="calcR2LOB2Prod2Seg2Emp3Visits">calc!$K$1160:$M$1160</definedName>
    <definedName name="calcR2LOB2Prod2Seg2Patients">calc!$K$1129:$M$1129</definedName>
    <definedName name="calcR2LOB2Prod2Seg2RunRate">calc!$K$1047:$M$1047</definedName>
    <definedName name="calcR2LOB2Prod2Seg2RunRateM1">calc!$K$1093:$M$1093</definedName>
    <definedName name="calcR2LOB2Prod2Seg2RunRateM2">calc!$K$1105:$M$1105</definedName>
    <definedName name="calcR2LOB2Prod2Seg2RunRateM3">calc!$K$1117:$M$1117</definedName>
    <definedName name="calcR2LOB2Prod2Seg2RunRateMM">calc!$K$1058:$M$1058</definedName>
    <definedName name="calcR2LOB2Prod2Seg3Budget">calc!$K$1071:$M$1071</definedName>
    <definedName name="calcR2LOB2Prod2Seg3BudgetMM">calc!$K$1082:$M$1082</definedName>
    <definedName name="calcR2LOB2Prod2Seg3Emp1ActualVisits">calc!$K$1934:$M$1934</definedName>
    <definedName name="calcR2LOB2Prod2Seg3Emp1Visits">calc!$K$1141:$M$1141</definedName>
    <definedName name="calcR2LOB2Prod2Seg3Emp2ActualVisits">calc!$K$1944:$M$1944</definedName>
    <definedName name="calcR2LOB2Prod2Seg3Emp2Visits">calc!$K$1151:$M$1151</definedName>
    <definedName name="calcR2LOB2Prod2Seg3Emp3ActualVisits">calc!$K$1954:$M$1954</definedName>
    <definedName name="calcR2LOB2Prod2Seg3Emp3Visits">calc!$K$1161:$M$1161</definedName>
    <definedName name="calcR2LOB2Prod2Seg3Patients">calc!$K$1130:$M$1130</definedName>
    <definedName name="calcR2LOB2Prod2Seg3RunRate">calc!$K$1048:$M$1048</definedName>
    <definedName name="calcR2LOB2Prod2Seg3RunRateM1">calc!$K$1094:$M$1094</definedName>
    <definedName name="calcR2LOB2Prod2Seg3RunRateM2">calc!$K$1106:$M$1106</definedName>
    <definedName name="calcR2LOB2Prod2Seg3RunRateM3">calc!$K$1118:$M$1118</definedName>
    <definedName name="calcR2LOB2Prod2Seg3RunRateMM">calc!$K$1059:$M$1059</definedName>
    <definedName name="calcR2LOB2RunRate">calc!$K$1050:$M$1050</definedName>
    <definedName name="calcR2LOB2RunRateM1">calc!$K$1096:$M$1096</definedName>
    <definedName name="calcR2LOB2RunRateM2">calc!$K$1108:$M$1108</definedName>
    <definedName name="calcR2LOB2RunRateM3">calc!$K$1120:$M$1120</definedName>
    <definedName name="calcR2LOB2RunRateMM">calc!$K$1061:$M$1061</definedName>
    <definedName name="calcR2LOB2Stars">calc!$K$2053:$M$2053</definedName>
    <definedName name="calcR2TableLOB1CSAT">calc!$I$965:$N$973</definedName>
    <definedName name="calcR2TableLOB1ESAT">calc!$I$975:$N$983</definedName>
    <definedName name="calcR2TableLOB1Stars">calc!$I$993:$N$1001</definedName>
    <definedName name="calcR2TableLOB2CSAT">calc!$I$2015:$N$2024</definedName>
    <definedName name="calcR2TableLOB2ESAT">calc!$I$2026:$N$2034</definedName>
    <definedName name="calcR2TableLOB2Stars">calc!$I$2044:$N$2053</definedName>
    <definedName name="calcTableLOB1CSAT">calc!$B$965:$H$973</definedName>
    <definedName name="calcTableLOB1ESAT">calc!$B$975:$H$983</definedName>
    <definedName name="calcTableLOB1Stars">calc!$B$993:$H$1001</definedName>
    <definedName name="calcTableLOB2CSAT">calc!$B$2015:$H$2024</definedName>
    <definedName name="calcTableLOB2ESAT">calc!$B$2026:$H$2034</definedName>
    <definedName name="calcTableLOB2Stars">calc!$B$2044:$H$2053</definedName>
    <definedName name="calLOB1FullEmp">calc!$E$915:$G$915</definedName>
    <definedName name="calLOB1PartEmp">calc!$E$916:$G$916</definedName>
    <definedName name="calLOB2FullEmp">calc!$E$1966:$G$1966</definedName>
    <definedName name="calLOB2PartEmp">calc!$E$1967:$G$1967</definedName>
    <definedName name="cbal_Paste">cbal!$E$14:$G$14</definedName>
    <definedName name="cbalCSAT">cbal!$E$19:$G$19</definedName>
    <definedName name="cbalESAT">cbal!$E$18:$G$18</definedName>
    <definedName name="cbalLOB1AddFullTime">cbal!$E$53:$G$53</definedName>
    <definedName name="cbalLOB1AddPartTime">cbal!$E$54:$G$54</definedName>
    <definedName name="cbalLOB1AdminTimeClinician1">cbal!$E$196:$G$196</definedName>
    <definedName name="cbalLOB1AdminTimeClinician10">cbal!$E$205:$G$205</definedName>
    <definedName name="cbalLOB1AdminTimeClinician11">cbal!$E$206:$G$206</definedName>
    <definedName name="cbalLOB1AdminTimeClinician12">cbal!$E$207:$G$207</definedName>
    <definedName name="cbalLOB1AdminTimeClinician2">cbal!$E$197:$G$197</definedName>
    <definedName name="cbalLOB1AdminTimeClinician3">cbal!$E$198:$G$198</definedName>
    <definedName name="cbalLOB1AdminTimeClinician4">cbal!$E$199:$G$199</definedName>
    <definedName name="cbalLOB1AdminTimeClinician5">cbal!$E$200:$G$200</definedName>
    <definedName name="cbalLOB1AdminTimeClinician6">cbal!$E$201:$G$201</definedName>
    <definedName name="cbalLOB1AdminTimeClinician7">cbal!$E$202:$G$202</definedName>
    <definedName name="cbalLOB1AdminTimeClinician8">cbal!$E$203:$G$203</definedName>
    <definedName name="cbalLOB1AdminTimeClinician9">cbal!$E$204:$G$204</definedName>
    <definedName name="cbalLOB1AvgBaseProdClinician11">cbal!$E$145:$G$145</definedName>
    <definedName name="cbalLOB1AvgBaseProdClinician12">cbal!$E$146:$G$146</definedName>
    <definedName name="cbalLOB1AvgMissClinician1">cbal!$E$210:$G$210</definedName>
    <definedName name="cbalLOB1AvgMissClinician10">cbal!$E$219:$G$219</definedName>
    <definedName name="cbalLOB1AvgMissClinician11">cbal!$E$220:$G$220</definedName>
    <definedName name="cbalLOB1AvgMissClinician12">cbal!$E$221:$G$221</definedName>
    <definedName name="cbalLOB1AvgMissClinician2">cbal!$E$211:$G$211</definedName>
    <definedName name="cbalLOB1AvgMissClinician3">cbal!$E$212:$G$212</definedName>
    <definedName name="cbalLOB1AvgMissClinician4">cbal!$E$213:$G$213</definedName>
    <definedName name="cbalLOB1AvgMissClinician5">cbal!$E$214:$G$214</definedName>
    <definedName name="cbalLOB1AvgMissClinician6">cbal!$E$215:$G$215</definedName>
    <definedName name="cbalLOB1AvgMissClinician7">cbal!$E$216:$G$216</definedName>
    <definedName name="cbalLOB1AvgMissClinician8">cbal!$E$217:$G$217</definedName>
    <definedName name="cbalLOB1AvgMissClinician9">cbal!$E$218:$G$218</definedName>
    <definedName name="cbalLOB1AvgMissPercClinician1">cbal!$E$177:$G$177</definedName>
    <definedName name="cbalLOB1AvgMissPercClinician10">cbal!$E$186:$G$186</definedName>
    <definedName name="cbalLOB1AvgMissPercClinician11">cbal!$E$187:$G$187</definedName>
    <definedName name="cbalLOB1AvgMissPercClinician12">cbal!$E$188:$G$188</definedName>
    <definedName name="cbalLOB1AvgMissPercClinician13">cbal!$E$189:$G$189</definedName>
    <definedName name="cbalLOB1AvgMissPercClinician14">cbal!$E$190:$G$190</definedName>
    <definedName name="cbalLOB1AvgMissPercClinician15">cbal!$E$191:$G$191</definedName>
    <definedName name="cbalLOB1AvgMissPercClinician16">cbal!$E$192:$G$192</definedName>
    <definedName name="cbalLOB1AvgMissPercClinician2">cbal!$E$178:$G$178</definedName>
    <definedName name="cbalLOB1AvgMissPercClinician3">cbal!$E$179:$G$179</definedName>
    <definedName name="cbalLOB1AvgMissPercClinician4">cbal!$E$180:$G$180</definedName>
    <definedName name="cbalLOB1AvgMissPercClinician5">cbal!$E$181:$G$181</definedName>
    <definedName name="cbalLOB1AvgMissPercClinician6">cbal!$E$182:$G$182</definedName>
    <definedName name="cbalLOB1AvgMissPercClinician7">cbal!$E$183:$G$183</definedName>
    <definedName name="cbalLOB1AvgMissPercClinician8">cbal!$E$184:$G$184</definedName>
    <definedName name="cbalLOB1AvgMissPercClinician9">cbal!$E$185:$G$185</definedName>
    <definedName name="cbalLOB1AvgProdClinician1">cbal!$E$129:$G$129</definedName>
    <definedName name="cbalLOB1AvgProdClinician10">cbal!$E$138:$G$138</definedName>
    <definedName name="cbalLOB1AvgProdClinician11">cbal!$E$139:$G$139</definedName>
    <definedName name="cbalLOB1AvgProdClinician12">cbal!$E$140:$G$140</definedName>
    <definedName name="cbalLOB1AvgProdClinician13">cbal!$E$141:$G$141</definedName>
    <definedName name="cbalLOB1AvgProdClinician14">cbal!$E$142:$G$142</definedName>
    <definedName name="cbalLOB1AvgProdClinician15">cbal!$E$143:$G$143</definedName>
    <definedName name="cbalLOB1AvgProdClinician16">cbal!$E$144:$G$144</definedName>
    <definedName name="cbalLOB1AvgProdClinician2">cbal!$E$130:$G$130</definedName>
    <definedName name="cbalLOB1AvgProdClinician3">cbal!$E$131:$G$131</definedName>
    <definedName name="cbalLOB1AvgProdClinician4">cbal!$E$132:$G$132</definedName>
    <definedName name="cbalLOB1AvgProdClinician5">cbal!$E$133:$G$133</definedName>
    <definedName name="cbalLOB1AvgProdClinician6">cbal!$E$134:$G$134</definedName>
    <definedName name="cbalLOB1AvgProdClinician7">cbal!$E$135:$G$135</definedName>
    <definedName name="cbalLOB1AvgProdClinician8">cbal!$E$136:$G$136</definedName>
    <definedName name="cbalLOB1AvgProdClinician9">cbal!$E$137:$G$137</definedName>
    <definedName name="cbalLOB1AvgUtilization">cbal!$E$59:$G$59</definedName>
    <definedName name="cbalLOB1BaseProdClinician13">cbal!$E$123:$G$123</definedName>
    <definedName name="cbalLOB1BaseProdClinician14">cbal!$E$124:$G$124</definedName>
    <definedName name="cbalLOB1BaseProdClinician15">cbal!$E$125:$G$125</definedName>
    <definedName name="cbalLOB1BaseProdClinician16">cbal!$E$126:$G$126</definedName>
    <definedName name="cbalLOB1BDEngage">cbal!$E$51:$G$51</definedName>
    <definedName name="cbalLOB1ClinicianAvgMissPerc">cbal!$E$193:$G$193</definedName>
    <definedName name="cbalLOB1CSAT">cbal!$E$50:$G$50</definedName>
    <definedName name="cbalLOB1Disc1Retention">cbal!$E$55:$G$55</definedName>
    <definedName name="cbalLOB1Disc2Retention">cbal!$E$56:$G$56</definedName>
    <definedName name="cbalLOB1Disc3Retention">cbal!$E$57:$G$57</definedName>
    <definedName name="cbalLOB1Disc4Retention">cbal!$E$58:$G$58</definedName>
    <definedName name="cbalLOB1DiscClinician1">cbal!$E$71:$G$71</definedName>
    <definedName name="cbalLOB1DiscClinician10">cbal!$E$80:$G$80</definedName>
    <definedName name="cbalLOB1DiscClinician11">cbal!$E$81:$G$81</definedName>
    <definedName name="cbalLOB1DiscClinician12">cbal!$E$82:$G$82</definedName>
    <definedName name="cbalLOB1DiscClinician13">cbal!$E$83:$G$83</definedName>
    <definedName name="cbalLOB1DiscClinician14">cbal!$E$84:$G$84</definedName>
    <definedName name="cbalLOB1DiscClinician15">cbal!$E$85:$G$85</definedName>
    <definedName name="cbalLOB1DiscClinician16">cbal!$E$86:$G$86</definedName>
    <definedName name="cbalLOB1DiscClinician2">cbal!$E$72:$G$72</definedName>
    <definedName name="cbalLOB1DiscClinician3">cbal!$E$73:$G$73</definedName>
    <definedName name="cbalLOB1DiscClinician4">cbal!$E$74:$G$74</definedName>
    <definedName name="cbalLOB1DiscClinician5">cbal!$E$75:$G$75</definedName>
    <definedName name="cbalLOB1DiscClinician6">cbal!$E$76:$G$76</definedName>
    <definedName name="cbalLOB1DiscClinician7">cbal!$E$77:$G$77</definedName>
    <definedName name="cbalLOB1DiscClinician8">cbal!$E$78:$G$78</definedName>
    <definedName name="cbalLOB1DiscClinician9">cbal!$E$79:$G$79</definedName>
    <definedName name="cbalLOB1DOOTime1">cbal!$E$62:$G$62</definedName>
    <definedName name="cbalLOB1DOOTime2">cbal!$E$63:$G$63</definedName>
    <definedName name="cbalLOB1DOOTime3">cbal!$E$64:$G$64</definedName>
    <definedName name="cbalLOB1DOOTime4">cbal!$E$65:$G$65</definedName>
    <definedName name="cbalLOB1DOOTime5">cbal!$E$66:$G$66</definedName>
    <definedName name="cbalLOB1DOOTime6">cbal!$E$67:$G$67</definedName>
    <definedName name="cbalLOB1DOOTotalTime">cbal!$E$68:$G$68</definedName>
    <definedName name="cbalLOB1DOOUtilization">cbal!$E$52:$G$52</definedName>
    <definedName name="cbalLOB1Emp1CostPVisit">cbal!$E$37:$G$37</definedName>
    <definedName name="cbalLOB1Emp1Seg1RevPVisit">cbal!$E$28:$G$28</definedName>
    <definedName name="cbalLOB1Emp1Seg2RevPVisit">cbal!$E$29:$G$29</definedName>
    <definedName name="cbalLOB1Emp1Seg3RevPVisit">cbal!$E$30:$G$30</definedName>
    <definedName name="cbalLOB1Emp1VisitPEp">cbal!$E$25:$G$25</definedName>
    <definedName name="cbalLOB1Emp2CostPVisit">cbal!$E$38:$G$38</definedName>
    <definedName name="cbalLOB1Emp2Seg1RevPVisit">cbal!$E$31:$G$31</definedName>
    <definedName name="cbalLOB1Emp2Seg2RevPVisit">cbal!$E$32:$G$32</definedName>
    <definedName name="cbalLOB1Emp2Seg3RevPVisit">cbal!$E$33:$G$33</definedName>
    <definedName name="cbalLOB1Emp2VisitPEp">cbal!$E$26:$G$26</definedName>
    <definedName name="cbalLOB1Emp3CostPVisit">cbal!$E$39:$G$39</definedName>
    <definedName name="cbalLOB1Emp3Seg1RevPVisit">cbal!$E$34:$G$34</definedName>
    <definedName name="cbalLOB1Emp3Seg2RevPVisit">cbal!$E$35:$G$35</definedName>
    <definedName name="cbalLOB1Emp3Seg3RevPVisit">cbal!$E$36:$G$36</definedName>
    <definedName name="cbalLOB1Emp3VisitPEp">cbal!$E$27:$G$27</definedName>
    <definedName name="cbalLOB1EmpStatClinician1">cbal!$E$89:$G$89</definedName>
    <definedName name="cbalLOB1EmpStatClinician10">cbal!$E$98:$G$98</definedName>
    <definedName name="cbalLOB1EmpStatClinician11">cbal!$E$99:$G$99</definedName>
    <definedName name="cbalLOB1EmpStatClinician12">cbal!$E$100:$G$100</definedName>
    <definedName name="cbalLOB1EmpStatClinician13">cbal!$E$101:$G$101</definedName>
    <definedName name="cbalLOB1EmpStatClinician14">cbal!$E$102:$G$102</definedName>
    <definedName name="cbalLOB1EmpStatClinician15">cbal!$E$103:$G$103</definedName>
    <definedName name="cbalLOB1EmpStatClinician16">cbal!$E$104:$G$104</definedName>
    <definedName name="cbalLOB1EmpStatClinician2">cbal!$E$90:$G$90</definedName>
    <definedName name="cbalLOB1EmpStatClinician3">cbal!$E$91:$G$91</definedName>
    <definedName name="cbalLOB1EmpStatClinician4">cbal!$E$92:$G$92</definedName>
    <definedName name="cbalLOB1EmpStatClinician5">cbal!$E$93:$G$93</definedName>
    <definedName name="cbalLOB1EmpStatClinician6">cbal!$E$94:$G$94</definedName>
    <definedName name="cbalLOB1EmpStatClinician7">cbal!$E$95:$G$95</definedName>
    <definedName name="cbalLOB1EmpStatClinician8">cbal!$E$96:$G$96</definedName>
    <definedName name="cbalLOB1EmpStatClinician9">cbal!$E$97:$G$97</definedName>
    <definedName name="cbalLOB1ESAT">cbal!$E$49:$G$49</definedName>
    <definedName name="cbalLOB1FullEmpOverhead">cbal!$E$44:$G$44</definedName>
    <definedName name="cbalLOB1MarketShare">cbal!$E$43:$G$43</definedName>
    <definedName name="cbalLOB1MileageClinician1">cbal!$E$163:$G$163</definedName>
    <definedName name="cbalLOB1MileageClinician10">cbal!$E$172:$G$172</definedName>
    <definedName name="cbalLOB1MileageClinician11">cbal!$E$173:$G$173</definedName>
    <definedName name="cbalLOB1MileageClinician12">cbal!$E$174:$G$174</definedName>
    <definedName name="cbalLOB1MileageClinician2">cbal!$E$164:$G$164</definedName>
    <definedName name="cbalLOB1MileageClinician3">cbal!$E$165:$G$165</definedName>
    <definedName name="cbalLOB1MileageClinician4">cbal!$E$166:$G$166</definedName>
    <definedName name="cbalLOB1MileageClinician5">cbal!$E$167:$G$167</definedName>
    <definedName name="cbalLOB1MileageClinician6">cbal!$E$168:$G$168</definedName>
    <definedName name="cbalLOB1MileageClinician7">cbal!$E$169:$G$169</definedName>
    <definedName name="cbalLOB1MileageClinician8">cbal!$E$170:$G$170</definedName>
    <definedName name="cbalLOB1MileageClinician9">cbal!$E$171:$G$171</definedName>
    <definedName name="cbalLOB1MileagePVisitClinician1">cbal!$E$149:$G$149</definedName>
    <definedName name="cbalLOB1MileagePVisitClinician10">cbal!$E$158:$G$158</definedName>
    <definedName name="cbalLOB1MileagePVisitClinician11">cbal!$E$159:$G$159</definedName>
    <definedName name="cbalLOB1MileagePVisitClinician12">cbal!$E$160:$G$160</definedName>
    <definedName name="cbalLOB1MileagePVisitClinician2">cbal!$E$150:$G$150</definedName>
    <definedName name="cbalLOB1MileagePVisitClinician3">cbal!$E$151:$G$151</definedName>
    <definedName name="cbalLOB1MileagePVisitClinician4">cbal!$E$152:$G$152</definedName>
    <definedName name="cbalLOB1MileagePVisitClinician5">cbal!$E$153:$G$153</definedName>
    <definedName name="cbalLOB1MileagePVisitClinician6">cbal!$E$154:$G$154</definedName>
    <definedName name="cbalLOB1MileagePVisitClinician7">cbal!$E$155:$G$155</definedName>
    <definedName name="cbalLOB1MileagePVisitClinician8">cbal!$E$156:$G$156</definedName>
    <definedName name="cbalLOB1MileagePVisitClinician9">cbal!$E$157:$G$157</definedName>
    <definedName name="cbalLOB1NameClinician1">cbal!$E$107:$G$107</definedName>
    <definedName name="cbalLOB1NameClinician10">cbal!$E$116:$G$116</definedName>
    <definedName name="cbalLOB1NameClinician11">cbal!$E$117:$G$117</definedName>
    <definedName name="cbalLOB1NameClinician12">cbal!$E$118:$G$118</definedName>
    <definedName name="cbalLOB1NameClinician2">cbal!$E$108:$G$108</definedName>
    <definedName name="cbalLOB1NameClinician3">cbal!$E$109:$G$109</definedName>
    <definedName name="cbalLOB1NameClinician4">cbal!$E$110:$G$110</definedName>
    <definedName name="cbalLOB1NameClinician5">cbal!$E$111:$G$111</definedName>
    <definedName name="cbalLOB1NameClinician6">cbal!$E$112:$G$112</definedName>
    <definedName name="cbalLOB1NameClinician7">cbal!$E$113:$G$113</definedName>
    <definedName name="cbalLOB1NameClinician8">cbal!$E$114:$G$114</definedName>
    <definedName name="cbalLOB1NameClinician9">cbal!$E$115:$G$115</definedName>
    <definedName name="cbalLOB1NumProdClinician13">cbal!$E$119:$G$119</definedName>
    <definedName name="cbalLOB1NumProdClinician14">cbal!$E$120:$G$120</definedName>
    <definedName name="cbalLOB1NumProdClinician15">cbal!$E$121:$G$121</definedName>
    <definedName name="cbalLOB1NumProdClinician16">cbal!$E$122:$G$122</definedName>
    <definedName name="cbalLOB1PartEmpOverhead">cbal!$E$45:$G$45</definedName>
    <definedName name="cbalLOB1Prod2Seg1Perc">cbal!$E$40:$G$40</definedName>
    <definedName name="cbalLOB1Prod2Seg2Perc">cbal!$E$41:$G$41</definedName>
    <definedName name="cbalLOB1Prod2Seg3Perc">cbal!$E$42:$G$42</definedName>
    <definedName name="cbalLOB1Rev">cbal!$E$46:$G$46</definedName>
    <definedName name="cbalLOB1RevGrowth">cbal!$E$47:$G$47</definedName>
    <definedName name="cbalLOB1Seg1Perc">cbal!$E$22:$G$22</definedName>
    <definedName name="cbalLOB1Seg2Perc">cbal!$E$23:$G$23</definedName>
    <definedName name="cbalLOB1Seg3Perc">cbal!$E$24:$G$24</definedName>
    <definedName name="cbalLOB1Stars">cbal!$E$48:$G$48</definedName>
    <definedName name="cbalLOB2AddFullTime">cbal!$E$255:$G$255</definedName>
    <definedName name="cbalLOB2AddPartTime">cbal!$E$256:$G$256</definedName>
    <definedName name="cbalLOB2AdminTimeClinician1">cbal!$E$399:$G$399</definedName>
    <definedName name="cbalLOB2AdminTimeClinician10">cbal!$E$408:$G$408</definedName>
    <definedName name="cbalLOB2AdminTimeClinician11">cbal!$E$409:$G$409</definedName>
    <definedName name="cbalLOB2AdminTimeClinician12">cbal!$E$410:$G$410</definedName>
    <definedName name="cbalLOB2AdminTimeClinician2">cbal!$E$400:$G$400</definedName>
    <definedName name="cbalLOB2AdminTimeClinician3">cbal!$E$401:$G$401</definedName>
    <definedName name="cbalLOB2AdminTimeClinician4">cbal!$E$402:$G$402</definedName>
    <definedName name="cbalLOB2AdminTimeClinician5">cbal!$E$403:$G$403</definedName>
    <definedName name="cbalLOB2AdminTimeClinician6">cbal!$E$404:$G$404</definedName>
    <definedName name="cbalLOB2AdminTimeClinician7">cbal!$E$405:$G$405</definedName>
    <definedName name="cbalLOB2AdminTimeClinician8">cbal!$E$406:$G$406</definedName>
    <definedName name="cbalLOB2AdminTimeClinician9">cbal!$E$407:$G$407</definedName>
    <definedName name="cbalLOB2AvgBaseProdClinician11">cbal!$E$348:$G$348</definedName>
    <definedName name="cbalLOB2AvgBaseProdClinician12">cbal!$E$349:$G$349</definedName>
    <definedName name="cbalLOB2AvgMissPercClinician1">cbal!$E$380:$G$380</definedName>
    <definedName name="cbalLOB2AvgMissPercClinician10">cbal!$E$389:$G$389</definedName>
    <definedName name="cbalLOB2AvgMissPercClinician11">cbal!$E$390:$G$390</definedName>
    <definedName name="cbalLOB2AvgMissPercClinician12">cbal!$E$391:$G$391</definedName>
    <definedName name="cbalLOB2AvgMissPercClinician13">cbal!$E$392:$G$392</definedName>
    <definedName name="cbalLOB2AvgMissPercClinician14">cbal!$E$393:$G$393</definedName>
    <definedName name="cbalLOB2AvgMissPercClinician15">cbal!$E$394:$G$394</definedName>
    <definedName name="cbalLOB2AvgMissPercClinician16">cbal!$E$395:$G$395</definedName>
    <definedName name="cbalLOB2AvgMissPercClinician2">cbal!$E$381:$G$381</definedName>
    <definedName name="cbalLOB2AvgMissPercClinician3">cbal!$E$382:$G$382</definedName>
    <definedName name="cbalLOB2AvgMissPercClinician4">cbal!$E$383:$G$383</definedName>
    <definedName name="cbalLOB2AvgMissPercClinician5">cbal!$E$384:$G$384</definedName>
    <definedName name="cbalLOB2AvgMissPercClinician6">cbal!$E$385:$G$385</definedName>
    <definedName name="cbalLOB2AvgMissPercClinician7">cbal!$E$386:$G$386</definedName>
    <definedName name="cbalLOB2AvgMissPercClinician8">cbal!$E$387:$G$387</definedName>
    <definedName name="cbalLOB2AvgMissPercClinician9">cbal!$E$388:$G$388</definedName>
    <definedName name="cbalLOB2AvgProdClinician1">cbal!$E$332:$G$332</definedName>
    <definedName name="cbalLOB2AvgProdClinician10">cbal!$E$341:$G$341</definedName>
    <definedName name="cbalLOB2AvgProdClinician11">cbal!$E$342:$G$342</definedName>
    <definedName name="cbalLOB2AvgProdClinician12">cbal!$E$343:$G$343</definedName>
    <definedName name="cbalLOB2AvgProdClinician13">cbal!$E$344:$G$344</definedName>
    <definedName name="cbalLOB2AvgProdClinician14">cbal!$E$345:$G$345</definedName>
    <definedName name="cbalLOB2AvgProdClinician15">cbal!$E$346:$G$346</definedName>
    <definedName name="cbalLOB2AvgProdClinician16">cbal!$E$347:$G$347</definedName>
    <definedName name="cbalLOB2AvgProdClinician2">cbal!$E$333:$G$333</definedName>
    <definedName name="cbalLOB2AvgProdClinician3">cbal!$E$334:$G$334</definedName>
    <definedName name="cbalLOB2AvgProdClinician4">cbal!$E$335:$G$335</definedName>
    <definedName name="cbalLOB2AvgProdClinician5">cbal!$E$336:$G$336</definedName>
    <definedName name="cbalLOB2AvgProdClinician6">cbal!$E$337:$G$337</definedName>
    <definedName name="cbalLOB2AvgProdClinician7">cbal!$E$338:$G$338</definedName>
    <definedName name="cbalLOB2AvgProdClinician8">cbal!$E$339:$G$339</definedName>
    <definedName name="cbalLOB2AvgProdClinician9">cbal!$E$340:$G$340</definedName>
    <definedName name="cbalLOB2AvgUtilization">cbal!$E$261:$G$261</definedName>
    <definedName name="cbalLOB2BaseProdClinician13">cbal!$E$326:$G$326</definedName>
    <definedName name="cbalLOB2BaseProdClinician14">cbal!$E$327:$G$327</definedName>
    <definedName name="cbalLOB2BaseProdClinician15">cbal!$E$328:$G$328</definedName>
    <definedName name="cbalLOB2BaseProdClinician16">cbal!$E$329:$G$329</definedName>
    <definedName name="cbalLOB2BDEngage">cbal!$E$253:$G$253</definedName>
    <definedName name="cbalLOB2ClinicianAvgMissPerc">cbal!$E$396:$G$396</definedName>
    <definedName name="cbalLOB2CSAT">cbal!$E$252:$G$252</definedName>
    <definedName name="cbalLOB2Disc1Retention">cbal!$E$257:$G$257</definedName>
    <definedName name="cbalLOB2Disc2Retention">cbal!$E$258:$G$258</definedName>
    <definedName name="cbalLOB2Disc3Retention">cbal!$E$259:$G$259</definedName>
    <definedName name="cbalLOB2Disc4Retention">cbal!$E$260:$G$260</definedName>
    <definedName name="cbalLOB2DiscClinician1">cbal!$E$273:$G$273</definedName>
    <definedName name="cbalLOB2DiscClinician10">cbal!$E$282:$G$282</definedName>
    <definedName name="cbalLOB2DiscClinician11">cbal!$E$283:$G$283</definedName>
    <definedName name="cbalLOB2DiscClinician12">cbal!$E$284:$G$284</definedName>
    <definedName name="cbalLOB2DiscClinician13">cbal!$E$285:$G$285</definedName>
    <definedName name="cbalLOB2DiscClinician14">cbal!$E$286:$G$286</definedName>
    <definedName name="cbalLOB2DiscClinician15">cbal!$E$287:$G$287</definedName>
    <definedName name="cbalLOB2DiscClinician16">cbal!$E$288:$G$288</definedName>
    <definedName name="cbalLOB2DiscClinician2">cbal!$E$274:$G$274</definedName>
    <definedName name="cbalLOB2DiscClinician3">cbal!$E$275:$G$275</definedName>
    <definedName name="cbalLOB2DiscClinician4">cbal!$E$276:$G$276</definedName>
    <definedName name="cbalLOB2DiscClinician5">cbal!$E$277:$G$277</definedName>
    <definedName name="cbalLOB2DiscClinician6">cbal!$E$278:$G$278</definedName>
    <definedName name="cbalLOB2DiscClinician7">cbal!$E$279:$G$279</definedName>
    <definedName name="cbalLOB2DiscClinician8">cbal!$E$280:$G$280</definedName>
    <definedName name="cbalLOB2DiscClinician9">cbal!$E$281:$G$281</definedName>
    <definedName name="cbalLOB2DOOTime1">cbal!$E$264:$G$264</definedName>
    <definedName name="cbalLOB2DOOTime2">cbal!$E$265:$G$265</definedName>
    <definedName name="cbalLOB2DOOTime3">cbal!$E$266:$G$266</definedName>
    <definedName name="cbalLOB2DOOTime4">cbal!$E$267:$G$267</definedName>
    <definedName name="cbalLOB2DOOTime5">cbal!$E$268:$G$268</definedName>
    <definedName name="cbalLOB2DOOTime6">cbal!$E$269:$G$269</definedName>
    <definedName name="cbalLOB2DOOTotalTime">cbal!$E$270:$G$270</definedName>
    <definedName name="cbalLOB2DOOUtilization">cbal!$E$254:$G$254</definedName>
    <definedName name="cbalLOB2Emp1CostPVisit">cbal!$E$239:$G$239</definedName>
    <definedName name="cbalLOB2Emp1Seg1RevPVisit">cbal!$E$230:$G$230</definedName>
    <definedName name="cbalLOB2Emp1Seg2RevPVisit">cbal!$E$231:$G$231</definedName>
    <definedName name="cbalLOB2Emp1Seg3RevPVisit">cbal!$E$232:$G$232</definedName>
    <definedName name="cbalLOB2Emp1VisitPEp">cbal!$E$227:$G$227</definedName>
    <definedName name="cbalLOB2Emp2CostPVisit">cbal!$E$240:$G$240</definedName>
    <definedName name="cbalLOB2Emp2Seg1RevPVisit">cbal!$E$233:$G$233</definedName>
    <definedName name="cbalLOB2Emp2Seg2RevPVisit">cbal!$E$234:$G$234</definedName>
    <definedName name="cbalLOB2Emp2Seg3RevPVisit">cbal!$E$235:$G$235</definedName>
    <definedName name="cbalLOB2Emp2VisitPEp">cbal!$E$228:$G$228</definedName>
    <definedName name="cbalLOB2Emp3CostPVisit">cbal!$E$241:$G$241</definedName>
    <definedName name="cbalLOB2Emp3Seg1RevPVisit">cbal!$E$236:$G$236</definedName>
    <definedName name="cbalLOB2Emp3Seg2RevPVisit">cbal!$E$237:$G$237</definedName>
    <definedName name="cbalLOB2Emp3Seg3RevPVisit">cbal!$E$238:$G$238</definedName>
    <definedName name="cbalLOB2Emp3VisitPEp">cbal!$E$229:$G$229</definedName>
    <definedName name="cbalLOB2EmpStatClinician1">cbal!$E$291:$G$291</definedName>
    <definedName name="cbalLOB2EmpStatClinician10">cbal!$E$300:$G$300</definedName>
    <definedName name="cbalLOB2EmpStatClinician11">cbal!$E$301:$G$301</definedName>
    <definedName name="cbalLOB2EmpStatClinician12">cbal!$E$302:$G$302</definedName>
    <definedName name="cbalLOB2EmpStatClinician13">cbal!$E$303:$G$303</definedName>
    <definedName name="cbalLOB2EmpStatClinician14">cbal!$E$304:$G$304</definedName>
    <definedName name="cbalLOB2EmpStatClinician15">cbal!$E$305:$G$305</definedName>
    <definedName name="cbalLOB2EmpStatClinician16">cbal!$E$306:$G$306</definedName>
    <definedName name="cbalLOB2EmpStatClinician2">cbal!$E$292:$G$292</definedName>
    <definedName name="cbalLOB2EmpStatClinician3">cbal!$E$293:$G$293</definedName>
    <definedName name="cbalLOB2EmpStatClinician4">cbal!$E$294:$G$294</definedName>
    <definedName name="cbalLOB2EmpStatClinician5">cbal!$E$295:$G$295</definedName>
    <definedName name="cbalLOB2EmpStatClinician6">cbal!$E$296:$G$296</definedName>
    <definedName name="cbalLOB2EmpStatClinician7">cbal!$E$297:$G$297</definedName>
    <definedName name="cbalLOB2EmpStatClinician8">cbal!$E$298:$G$298</definedName>
    <definedName name="cbalLOB2EmpStatClinician9">cbal!$E$299:$G$299</definedName>
    <definedName name="cbalLOB2ESAT">cbal!$E$251:$G$251</definedName>
    <definedName name="cbalLOB2FullEmpOverhead">cbal!$E$246:$G$246</definedName>
    <definedName name="cbalLOB2MarketShare">cbal!$E$245:$G$245</definedName>
    <definedName name="cbalLOB2MileageClinician1">cbal!$E$366:$G$366</definedName>
    <definedName name="cbalLOB2MileageClinician10">cbal!$E$375:$G$375</definedName>
    <definedName name="cbalLOB2MileageClinician11">cbal!$E$376:$G$376</definedName>
    <definedName name="cbalLOB2MileageClinician12">cbal!$E$377:$G$377</definedName>
    <definedName name="cbalLOB2MileageClinician2">cbal!$E$367:$G$367</definedName>
    <definedName name="cbalLOB2MileageClinician3">cbal!$E$368:$G$368</definedName>
    <definedName name="cbalLOB2MileageClinician4">cbal!$E$369:$G$369</definedName>
    <definedName name="cbalLOB2MileageClinician5">cbal!$E$370:$G$370</definedName>
    <definedName name="cbalLOB2MileageClinician6">cbal!$E$371:$G$371</definedName>
    <definedName name="cbalLOB2MileageClinician7">cbal!$E$372:$G$372</definedName>
    <definedName name="cbalLOB2MileageClinician8">cbal!$E$373:$G$373</definedName>
    <definedName name="cbalLOB2MileageClinician9">cbal!$E$374:$G$374</definedName>
    <definedName name="cbalLOB2MileagePVisitClinician1">cbal!$E$352:$G$352</definedName>
    <definedName name="cbalLOB2MileagePVisitClinician10">cbal!$E$361:$G$361</definedName>
    <definedName name="cbalLOB2MileagePVisitClinician11">cbal!$E$362:$G$362</definedName>
    <definedName name="cbalLOB2MileagePVisitClinician12">cbal!$E$363:$G$363</definedName>
    <definedName name="cbalLOB2MileagePVisitClinician2">cbal!$E$353:$G$353</definedName>
    <definedName name="cbalLOB2MileagePVisitClinician3">cbal!$E$354:$G$354</definedName>
    <definedName name="cbalLOB2MileagePVisitClinician4">cbal!$E$355:$G$355</definedName>
    <definedName name="cbalLOB2MileagePVisitClinician5">cbal!$E$356:$G$356</definedName>
    <definedName name="cbalLOB2MileagePVisitClinician6">cbal!$E$357:$G$357</definedName>
    <definedName name="cbalLOB2MileagePVisitClinician7">cbal!$E$358:$G$358</definedName>
    <definedName name="cbalLOB2MileagePVisitClinician8">cbal!$E$359:$G$359</definedName>
    <definedName name="cbalLOB2MileagePVisitClinician9">cbal!$E$360:$G$360</definedName>
    <definedName name="cbalLOB2NameClinician1">cbal!$E$310:$G$310</definedName>
    <definedName name="cbalLOB2NameClinician10">cbal!$E$319:$G$319</definedName>
    <definedName name="cbalLOB2NameClinician11">cbal!$E$320:$G$320</definedName>
    <definedName name="cbalLOB2NameClinician12">cbal!$E$321:$G$321</definedName>
    <definedName name="cbalLOB2NameClinician2">cbal!$E$311:$G$311</definedName>
    <definedName name="cbalLOB2NameClinician3">cbal!$E$312:$G$312</definedName>
    <definedName name="cbalLOB2NameClinician4">cbal!$E$313:$G$313</definedName>
    <definedName name="cbalLOB2NameClinician5">cbal!$E$314:$G$314</definedName>
    <definedName name="cbalLOB2NameClinician6">cbal!$E$315:$G$315</definedName>
    <definedName name="cbalLOB2NameClinician7">cbal!$E$316:$G$316</definedName>
    <definedName name="cbalLOB2NameClinician8">cbal!$E$317:$G$317</definedName>
    <definedName name="cbalLOB2NameClinician9">cbal!$E$318:$G$318</definedName>
    <definedName name="cbalLOB2NumProdClinician13">cbal!$E$322:$G$322</definedName>
    <definedName name="cbalLOB2NumProdClinician14">cbal!$E$323:$G$323</definedName>
    <definedName name="cbalLOB2NumProdClinician15">cbal!$E$324:$G$324</definedName>
    <definedName name="cbalLOB2NumProdClinician16">cbal!$E$325:$G$325</definedName>
    <definedName name="cbalLOB2PartEmpOverhead">cbal!$E$247:$G$247</definedName>
    <definedName name="cbalLOB2Prod2Seg1Perc">cbal!$E$242:$G$242</definedName>
    <definedName name="cbalLOB2Prod2Seg2Perc">cbal!$E$243:$G$243</definedName>
    <definedName name="cbalLOB2Prod2Seg3Perc">cbal!$E$244:$G$244</definedName>
    <definedName name="cbalLOB2Rev">cbal!$E$248:$G$248</definedName>
    <definedName name="cbalLOB2RevGrowth">cbal!$E$249:$G$249</definedName>
    <definedName name="cbalLOB2Seg1Perc">cbal!$E$224:$G$224</definedName>
    <definedName name="cbalLOB2Seg2Perc">cbal!$E$225:$G$225</definedName>
    <definedName name="cbalLOB2Seg3Perc">cbal!$E$226:$G$226</definedName>
    <definedName name="cbalLOB2Stars">cbal!$E$250:$G$250</definedName>
    <definedName name="cbalR2_Paste">cbal!$K$14:$M$14</definedName>
    <definedName name="cbalR2CSAT">cbal!$K$19:$M$19</definedName>
    <definedName name="cbalR2ESAT">cbal!$K$18:$M$18</definedName>
    <definedName name="cbalR2LOB1AddFullTime">cbal!$K$53:$M$53</definedName>
    <definedName name="cbalR2LOB1AddPartTime">cbal!$K$54:$M$54</definedName>
    <definedName name="cbalR2LOB1AdminTimeClinician1">cbal!$K$196:$M$196</definedName>
    <definedName name="cbalR2LOB1AdminTimeClinician10">cbal!$K$205:$M$205</definedName>
    <definedName name="cbalR2LOB1AdminTimeClinician11">cbal!$K$206:$M$206</definedName>
    <definedName name="cbalR2LOB1AdminTimeClinician12">cbal!$K$207:$M$207</definedName>
    <definedName name="cbalR2LOB1AdminTimeClinician2">cbal!$K$197:$M$197</definedName>
    <definedName name="cbalR2LOB1AdminTimeClinician3">cbal!$K$198:$M$198</definedName>
    <definedName name="cbalR2LOB1AdminTimeClinician4">cbal!$K$199:$M$199</definedName>
    <definedName name="cbalR2LOB1AdminTimeClinician5">cbal!$K$200:$M$200</definedName>
    <definedName name="cbalR2LOB1AdminTimeClinician6">cbal!$K$201:$M$201</definedName>
    <definedName name="cbalR2LOB1AdminTimeClinician7">cbal!$K$202:$M$202</definedName>
    <definedName name="cbalR2LOB1AdminTimeClinician8">cbal!$K$203:$M$203</definedName>
    <definedName name="cbalR2LOB1AdminTimeClinician9">cbal!$K$204:$M$204</definedName>
    <definedName name="cbalR2LOB1AvgBaseProdClinician11">cbal!$K$145:$M$145</definedName>
    <definedName name="cbalR2LOB1AvgBaseProdClinician12">cbal!$K$146:$M$146</definedName>
    <definedName name="cbalR2LOB1AvgMissClinician1">cbal!$K$210:$M$210</definedName>
    <definedName name="cbalR2LOB1AvgMissClinician10">cbal!$K$219:$M$219</definedName>
    <definedName name="cbalR2LOB1AvgMissClinician11">cbal!$K$220:$M$220</definedName>
    <definedName name="cbalR2LOB1AvgMissClinician12">cbal!$K$221:$M$221</definedName>
    <definedName name="cbalR2LOB1AvgMissClinician2">cbal!$K$211:$M$211</definedName>
    <definedName name="cbalR2LOB1AvgMissClinician3">cbal!$K$212:$M$212</definedName>
    <definedName name="cbalR2LOB1AvgMissClinician4">cbal!$K$213:$M$213</definedName>
    <definedName name="cbalR2LOB1AvgMissClinician5">cbal!$K$214:$M$214</definedName>
    <definedName name="cbalR2LOB1AvgMissClinician6">cbal!$K$215:$M$215</definedName>
    <definedName name="cbalR2LOB1AvgMissClinician7">cbal!$K$216:$M$216</definedName>
    <definedName name="cbalR2LOB1AvgMissClinician8">cbal!$K$217:$M$217</definedName>
    <definedName name="cbalR2LOB1AvgMissClinician9">cbal!$K$218:$M$218</definedName>
    <definedName name="cbalR2LOB1AvgMissPercClinician1">cbal!$K$177:$M$177</definedName>
    <definedName name="cbalR2LOB1AvgMissPercClinician10">cbal!$K$186:$M$186</definedName>
    <definedName name="cbalR2LOB1AvgMissPercClinician11">cbal!$K$187:$M$187</definedName>
    <definedName name="cbalR2LOB1AvgMissPercClinician12">cbal!$K$188:$M$188</definedName>
    <definedName name="cbalR2LOB1AvgMissPercClinician13">cbal!$K$189:$M$189</definedName>
    <definedName name="cbalR2LOB1AvgMissPercClinician14">cbal!$K$190:$M$190</definedName>
    <definedName name="cbalR2LOB1AvgMissPercClinician15">cbal!$K$191:$M$191</definedName>
    <definedName name="cbalR2LOB1AvgMissPercClinician16">cbal!$K$192:$M$192</definedName>
    <definedName name="cbalR2LOB1AvgMissPercClinician2">cbal!$K$178:$M$178</definedName>
    <definedName name="cbalR2LOB1AvgMissPercClinician3">cbal!$K$179:$M$179</definedName>
    <definedName name="cbalR2LOB1AvgMissPercClinician4">cbal!$K$180:$M$180</definedName>
    <definedName name="cbalR2LOB1AvgMissPercClinician5">cbal!$K$181:$M$181</definedName>
    <definedName name="cbalR2LOB1AvgMissPercClinician6">cbal!$K$182:$M$182</definedName>
    <definedName name="cbalR2LOB1AvgMissPercClinician7">cbal!$K$183:$M$183</definedName>
    <definedName name="cbalR2LOB1AvgMissPercClinician8">cbal!$K$184:$M$184</definedName>
    <definedName name="cbalR2LOB1AvgMissPercClinician9">cbal!$K$185:$M$185</definedName>
    <definedName name="cbalR2LOB1AvgProdClinician1">cbal!$K$129:$M$129</definedName>
    <definedName name="cbalR2LOB1AvgProdClinician10">cbal!$K$138:$M$138</definedName>
    <definedName name="cbalR2LOB1AvgProdClinician11">cbal!$K$139:$M$139</definedName>
    <definedName name="cbalR2LOB1AvgProdClinician12">cbal!$K$140:$M$140</definedName>
    <definedName name="cbalR2LOB1AvgProdClinician13">cbal!$K$141:$M$141</definedName>
    <definedName name="cbalR2LOB1AvgProdClinician14">cbal!$K$142:$M$142</definedName>
    <definedName name="cbalR2LOB1AvgProdClinician15">cbal!$K$143:$M$143</definedName>
    <definedName name="cbalR2LOB1AvgProdClinician16">cbal!$K$144:$M$144</definedName>
    <definedName name="cbalR2LOB1AvgProdClinician2">cbal!$K$130:$M$130</definedName>
    <definedName name="cbalR2LOB1AvgProdClinician3">cbal!$K$131:$M$131</definedName>
    <definedName name="cbalR2LOB1AvgProdClinician4">cbal!$K$132:$M$132</definedName>
    <definedName name="cbalR2LOB1AvgProdClinician5">cbal!$K$133:$M$133</definedName>
    <definedName name="cbalR2LOB1AvgProdClinician6">cbal!$K$134:$M$134</definedName>
    <definedName name="cbalR2LOB1AvgProdClinician7">cbal!$K$135:$M$135</definedName>
    <definedName name="cbalR2LOB1AvgProdClinician8">cbal!$K$136:$M$136</definedName>
    <definedName name="cbalR2LOB1AvgProdClinician9">cbal!$K$137:$M$137</definedName>
    <definedName name="cbalR2LOB1AvgUtilization">cbal!$K$59:$M$59</definedName>
    <definedName name="cbalR2LOB1BaseProdClinician13">cbal!$K$123:$M$123</definedName>
    <definedName name="cbalR2LOB1BaseProdClinician14">cbal!$K$124:$M$124</definedName>
    <definedName name="cbalR2LOB1BaseProdClinician15">cbal!$K$125:$M$125</definedName>
    <definedName name="cbalR2LOB1BaseProdClinician16">cbal!$K$126:$M$126</definedName>
    <definedName name="cbalR2LOB1BDEngage">cbal!$K$51:$M$51</definedName>
    <definedName name="cbalR2LOB1ClinicianAvgMissPerc">cbal!$K$193:$M$193</definedName>
    <definedName name="cbalR2LOB1CSAT">cbal!$K$50:$M$50</definedName>
    <definedName name="cbalR2LOB1Disc1Retention">cbal!$K$55:$M$55</definedName>
    <definedName name="cbalR2LOB1Disc2Retention">cbal!$K$56:$M$56</definedName>
    <definedName name="cbalR2LOB1Disc3Retention">cbal!$K$57:$M$57</definedName>
    <definedName name="cbalR2LOB1Disc4Retention">cbal!$K$58:$M$58</definedName>
    <definedName name="cbalR2LOB1DiscClinician1">cbal!$K$71:$M$71</definedName>
    <definedName name="cbalR2LOB1DiscClinician10">cbal!$K$80:$M$80</definedName>
    <definedName name="cbalR2LOB1DiscClinician11">cbal!$K$81:$M$81</definedName>
    <definedName name="cbalR2LOB1DiscClinician12">cbal!$K$82:$M$82</definedName>
    <definedName name="cbalR2LOB1DiscClinician13">cbal!$K$83:$M$83</definedName>
    <definedName name="cbalR2LOB1DiscClinician14">cbal!$K$84:$M$84</definedName>
    <definedName name="cbalR2LOB1DiscClinician15">cbal!$K$85:$M$85</definedName>
    <definedName name="cbalR2LOB1DiscClinician16">cbal!$K$86:$M$86</definedName>
    <definedName name="cbalR2LOB1DiscClinician2">cbal!$K$72:$M$72</definedName>
    <definedName name="cbalR2LOB1DiscClinician3">cbal!$K$73:$M$73</definedName>
    <definedName name="cbalR2LOB1DiscClinician4">cbal!$K$74:$M$74</definedName>
    <definedName name="cbalR2LOB1DiscClinician5">cbal!$K$75:$M$75</definedName>
    <definedName name="cbalR2LOB1DiscClinician6">cbal!$K$76:$M$76</definedName>
    <definedName name="cbalR2LOB1DiscClinician7">cbal!$K$77:$M$77</definedName>
    <definedName name="cbalR2LOB1DiscClinician8">cbal!$K$78:$M$78</definedName>
    <definedName name="cbalR2LOB1DiscClinician9">cbal!$K$79:$M$79</definedName>
    <definedName name="cbalR2LOB1DOOTime1">cbal!$K$62:$M$62</definedName>
    <definedName name="cbalR2LOB1DOOTime2">cbal!$K$63:$M$63</definedName>
    <definedName name="cbalR2LOB1DOOTime3">cbal!$K$64:$M$64</definedName>
    <definedName name="cbalR2LOB1DOOTime4">cbal!$K$65:$M$65</definedName>
    <definedName name="cbalR2LOB1DOOTime5">cbal!$K$66:$M$66</definedName>
    <definedName name="cbalR2LOB1DOOTime6">cbal!$K$67:$M$67</definedName>
    <definedName name="cbalR2LOB1DOOTotalTime">cbal!$K$68:$M$68</definedName>
    <definedName name="cbalR2LOB1DOOUtilization">cbal!$K$52:$M$52</definedName>
    <definedName name="cbalR2LOB1Emp1CostPVisit">cbal!$K$37:$M$37</definedName>
    <definedName name="cbalR2LOB1Emp1Seg1RevPVisit">cbal!$K$28:$M$28</definedName>
    <definedName name="cbalR2LOB1Emp1Seg2RevPVisit">cbal!$K$29:$M$29</definedName>
    <definedName name="cbalR2LOB1Emp1Seg3RevPVisit">cbal!$K$30:$M$30</definedName>
    <definedName name="cbalR2LOB1Emp1VisitPEp">cbal!$K$25:$M$25</definedName>
    <definedName name="cbalR2LOB1Emp2CostPVisit">cbal!$K$38:$M$38</definedName>
    <definedName name="cbalR2LOB1Emp2Seg1RevPVisit">cbal!$K$31:$M$31</definedName>
    <definedName name="cbalR2LOB1Emp2Seg2RevPVisit">cbal!$K$32:$M$32</definedName>
    <definedName name="cbalR2LOB1Emp2Seg3RevPVisit">cbal!$K$33:$M$33</definedName>
    <definedName name="cbalR2LOB1Emp2VisitPEp">cbal!$K$26:$M$26</definedName>
    <definedName name="cbalR2LOB1Emp3CostPVisit">cbal!$K$39:$M$39</definedName>
    <definedName name="cbalR2LOB1Emp3Seg1RevPVisit">cbal!$K$34:$M$34</definedName>
    <definedName name="cbalR2LOB1Emp3Seg2RevPVisit">cbal!$K$35:$M$35</definedName>
    <definedName name="cbalR2LOB1Emp3Seg3RevPVisit">cbal!$K$36:$M$36</definedName>
    <definedName name="cbalR2LOB1Emp3VisitPEp">cbal!$K$27:$M$27</definedName>
    <definedName name="cbalR2LOB1EmpStatClinician1">cbal!$K$89:$M$89</definedName>
    <definedName name="cbalR2LOB1EmpStatClinician10">cbal!$K$98:$M$98</definedName>
    <definedName name="cbalR2LOB1EmpStatClinician11">cbal!$K$99:$M$99</definedName>
    <definedName name="cbalR2LOB1EmpStatClinician12">cbal!$K$100:$M$100</definedName>
    <definedName name="cbalR2LOB1EmpStatClinician13">cbal!$K$101:$M$101</definedName>
    <definedName name="cbalR2LOB1EmpStatClinician14">cbal!$K$102:$M$102</definedName>
    <definedName name="cbalR2LOB1EmpStatClinician15">cbal!$K$103:$M$103</definedName>
    <definedName name="cbalR2LOB1EmpStatClinician16">cbal!$K$104:$M$104</definedName>
    <definedName name="cbalR2LOB1EmpStatClinician2">cbal!$K$90:$M$90</definedName>
    <definedName name="cbalR2LOB1EmpStatClinician3">cbal!$K$91:$M$91</definedName>
    <definedName name="cbalR2LOB1EmpStatClinician4">cbal!$K$92:$M$92</definedName>
    <definedName name="cbalR2LOB1EmpStatClinician5">cbal!$K$93:$M$93</definedName>
    <definedName name="cbalR2LOB1EmpStatClinician6">cbal!$K$94:$M$94</definedName>
    <definedName name="cbalR2LOB1EmpStatClinician7">cbal!$K$95:$M$95</definedName>
    <definedName name="cbalR2LOB1EmpStatClinician8">cbal!$K$96:$M$96</definedName>
    <definedName name="cbalR2LOB1EmpStatClinician9">cbal!$K$97:$M$97</definedName>
    <definedName name="cbalR2LOB1ESAT">cbal!$K$49:$M$49</definedName>
    <definedName name="cbalR2LOB1FullEmpOverhead">cbal!$K$44:$M$44</definedName>
    <definedName name="cbalR2LOB1MarketShare">cbal!$K$43:$M$43</definedName>
    <definedName name="cbalR2LOB1MileageClinician1">cbal!$K$163:$M$163</definedName>
    <definedName name="cbalR2LOB1MileageClinician10">cbal!$K$172:$M$172</definedName>
    <definedName name="cbalR2LOB1MileageClinician11">cbal!$K$173:$M$173</definedName>
    <definedName name="cbalR2LOB1MileageClinician12">cbal!$K$174:$M$174</definedName>
    <definedName name="cbalR2LOB1MileageClinician2">cbal!$K$164:$M$164</definedName>
    <definedName name="cbalR2LOB1MileageClinician3">cbal!$K$165:$M$165</definedName>
    <definedName name="cbalR2LOB1MileageClinician4">cbal!$K$166:$M$166</definedName>
    <definedName name="cbalR2LOB1MileageClinician5">cbal!$K$167:$M$167</definedName>
    <definedName name="cbalR2LOB1MileageClinician6">cbal!$K$168:$M$168</definedName>
    <definedName name="cbalR2LOB1MileageClinician7">cbal!$K$169:$M$169</definedName>
    <definedName name="cbalR2LOB1MileageClinician8">cbal!$K$170:$M$170</definedName>
    <definedName name="cbalR2LOB1MileageClinician9">cbal!$K$171:$M$171</definedName>
    <definedName name="cbalR2LOB1MileagePVisitClinician1">cbal!$K$149:$M$149</definedName>
    <definedName name="cbalR2LOB1MileagePVisitClinician10">cbal!$K$158:$M$158</definedName>
    <definedName name="cbalR2LOB1MileagePVisitClinician11">cbal!$K$159:$M$159</definedName>
    <definedName name="cbalR2LOB1MileagePVisitClinician12">cbal!$K$160:$M$160</definedName>
    <definedName name="cbalR2LOB1MileagePVisitClinician2">cbal!$K$150:$M$150</definedName>
    <definedName name="cbalR2LOB1MileagePVisitClinician3">cbal!$K$151:$M$151</definedName>
    <definedName name="cbalR2LOB1MileagePVisitClinician4">cbal!$K$152:$M$152</definedName>
    <definedName name="cbalR2LOB1MileagePVisitClinician5">cbal!$K$153:$M$153</definedName>
    <definedName name="cbalR2LOB1MileagePVisitClinician6">cbal!$K$154:$M$154</definedName>
    <definedName name="cbalR2LOB1MileagePVisitClinician7">cbal!$K$155:$M$155</definedName>
    <definedName name="cbalR2LOB1MileagePVisitClinician8">cbal!$K$156:$M$156</definedName>
    <definedName name="cbalR2LOB1MileagePVisitClinician9">cbal!$K$157:$M$157</definedName>
    <definedName name="cbalR2LOB1NameClinician1">cbal!$K$107:$M$107</definedName>
    <definedName name="cbalR2LOB1NameClinician10">cbal!$K$116:$M$116</definedName>
    <definedName name="cbalR2LOB1NameClinician11">cbal!$K$117:$M$117</definedName>
    <definedName name="cbalR2LOB1NameClinician12">cbal!$K$118:$M$118</definedName>
    <definedName name="cbalR2LOB1NameClinician2">cbal!$K$108:$M$108</definedName>
    <definedName name="cbalR2LOB1NameClinician3">cbal!$K$109:$M$109</definedName>
    <definedName name="cbalR2LOB1NameClinician4">cbal!$K$110:$M$110</definedName>
    <definedName name="cbalR2LOB1NameClinician5">cbal!$K$111:$M$111</definedName>
    <definedName name="cbalR2LOB1NameClinician6">cbal!$K$112:$M$112</definedName>
    <definedName name="cbalR2LOB1NameClinician7">cbal!$K$113:$M$113</definedName>
    <definedName name="cbalR2LOB1NameClinician8">cbal!$K$114:$M$114</definedName>
    <definedName name="cbalR2LOB1NameClinician9">cbal!$K$115:$M$115</definedName>
    <definedName name="cbalR2LOB1NumProdClinician13">cbal!$K$119:$M$119</definedName>
    <definedName name="cbalR2LOB1NumProdClinician14">cbal!$K$120:$M$120</definedName>
    <definedName name="cbalR2LOB1NumProdClinician15">cbal!$K$121:$M$121</definedName>
    <definedName name="cbalR2LOB1NumProdClinician16">cbal!$K$122:$M$122</definedName>
    <definedName name="cbalR2LOB1PartEmpOverhead">cbal!$K$45:$M$45</definedName>
    <definedName name="cbalR2LOB1Prod2Seg1Perc">cbal!$K$40:$M$40</definedName>
    <definedName name="cbalR2LOB1Prod2Seg2Perc">cbal!$K$41:$M$41</definedName>
    <definedName name="cbalR2LOB1Prod2Seg3Perc">cbal!$K$42:$M$42</definedName>
    <definedName name="cbalR2LOB1Rev">cbal!$K$46:$M$46</definedName>
    <definedName name="cbalR2LOB1RevGrowth">cbal!$K$47:$M$47</definedName>
    <definedName name="cbalR2LOB1Seg1Perc">cbal!$K$22:$M$22</definedName>
    <definedName name="cbalR2LOB1Seg2Perc">cbal!$K$23:$M$23</definedName>
    <definedName name="cbalR2LOB1Seg3Perc">cbal!$K$24:$M$24</definedName>
    <definedName name="cbalR2LOB1Stars">cbal!$K$48:$M$48</definedName>
    <definedName name="cbalR2LOB2AddFullTime">cbal!$K$255:$M$255</definedName>
    <definedName name="cbalR2LOB2AddPartTime">cbal!$K$256:$M$256</definedName>
    <definedName name="cbalR2LOB2AdminTimeClinician1">cbal!$K$399:$M$399</definedName>
    <definedName name="cbalR2LOB2AdminTimeClinician10">cbal!$K$408:$M$408</definedName>
    <definedName name="cbalR2LOB2AdminTimeClinician11">cbal!$K$409:$M$409</definedName>
    <definedName name="cbalR2LOB2AdminTimeClinician12">cbal!$K$410:$M$410</definedName>
    <definedName name="cbalR2LOB2AdminTimeClinician2">cbal!$K$400:$M$400</definedName>
    <definedName name="cbalR2LOB2AdminTimeClinician3">cbal!$K$401:$M$401</definedName>
    <definedName name="cbalR2LOB2AdminTimeClinician4">cbal!$K$402:$M$402</definedName>
    <definedName name="cbalR2LOB2AdminTimeClinician5">cbal!$K$403:$M$403</definedName>
    <definedName name="cbalR2LOB2AdminTimeClinician6">cbal!$K$404:$M$404</definedName>
    <definedName name="cbalR2LOB2AdminTimeClinician7">cbal!$K$405:$M$405</definedName>
    <definedName name="cbalR2LOB2AdminTimeClinician8">cbal!$K$406:$M$406</definedName>
    <definedName name="cbalR2LOB2AdminTimeClinician9">cbal!$K$407:$M$407</definedName>
    <definedName name="cbalR2LOB2AvgBaseProdClinician11">cbal!$K$348:$M$348</definedName>
    <definedName name="cbalR2LOB2AvgBaseProdClinician12">cbal!$K$349:$M$349</definedName>
    <definedName name="cbalR2LOB2AvgMissPercClinician1">cbal!$K$380:$M$380</definedName>
    <definedName name="cbalR2LOB2AvgMissPercClinician10">cbal!$K$389:$M$389</definedName>
    <definedName name="cbalR2LOB2AvgMissPercClinician11">cbal!$K$390:$M$390</definedName>
    <definedName name="cbalR2LOB2AvgMissPercClinician12">cbal!$K$391:$M$391</definedName>
    <definedName name="cbalR2LOB2AvgMissPercClinician13">cbal!$K$392:$M$392</definedName>
    <definedName name="cbalR2LOB2AvgMissPercClinician14">cbal!$K$393:$M$393</definedName>
    <definedName name="cbalR2LOB2AvgMissPercClinician15">cbal!$K$394:$M$394</definedName>
    <definedName name="cbalR2LOB2AvgMissPercClinician16">cbal!$K$395:$M$395</definedName>
    <definedName name="cbalR2LOB2AvgMissPercClinician2">cbal!$K$381:$M$381</definedName>
    <definedName name="cbalR2LOB2AvgMissPercClinician3">cbal!$K$382:$M$382</definedName>
    <definedName name="cbalR2LOB2AvgMissPercClinician4">cbal!$K$383:$M$383</definedName>
    <definedName name="cbalR2LOB2AvgMissPercClinician5">cbal!$K$384:$M$384</definedName>
    <definedName name="cbalR2LOB2AvgMissPercClinician6">cbal!$K$385:$M$385</definedName>
    <definedName name="cbalR2LOB2AvgMissPercClinician7">cbal!$K$386:$M$386</definedName>
    <definedName name="cbalR2LOB2AvgMissPercClinician8">cbal!$K$387:$M$387</definedName>
    <definedName name="cbalR2LOB2AvgMissPercClinician9">cbal!$K$388:$M$388</definedName>
    <definedName name="cbalR2LOB2AvgProdClinician1">cbal!$K$332:$M$332</definedName>
    <definedName name="cbalR2LOB2AvgProdClinician10">cbal!$K$341:$M$341</definedName>
    <definedName name="cbalR2LOB2AvgProdClinician11">cbal!$K$342:$M$342</definedName>
    <definedName name="cbalR2LOB2AvgProdClinician12">cbal!$K$343:$M$343</definedName>
    <definedName name="cbalR2LOB2AvgProdClinician13">cbal!$K$344:$M$344</definedName>
    <definedName name="cbalR2LOB2AvgProdClinician14">cbal!$K$345:$M$345</definedName>
    <definedName name="cbalR2LOB2AvgProdClinician15">cbal!$K$346:$M$346</definedName>
    <definedName name="cbalR2LOB2AvgProdClinician16">cbal!$K$347:$M$347</definedName>
    <definedName name="cbalR2LOB2AvgProdClinician2">cbal!$K$333:$M$333</definedName>
    <definedName name="cbalR2LOB2AvgProdClinician3">cbal!$K$334:$M$334</definedName>
    <definedName name="cbalR2LOB2AvgProdClinician4">cbal!$K$335:$M$335</definedName>
    <definedName name="cbalR2LOB2AvgProdClinician5">cbal!$K$336:$M$336</definedName>
    <definedName name="cbalR2LOB2AvgProdClinician6">cbal!$K$337:$M$337</definedName>
    <definedName name="cbalR2LOB2AvgProdClinician7">cbal!$K$338:$M$338</definedName>
    <definedName name="cbalR2LOB2AvgProdClinician8">cbal!$K$339:$M$339</definedName>
    <definedName name="cbalR2LOB2AvgProdClinician9">cbal!$K$340:$M$340</definedName>
    <definedName name="cbalR2LOB2AvgUtilization">cbal!$K$261:$M$261</definedName>
    <definedName name="cbalR2LOB2BaseProdClinician13">cbal!$K$326:$M$326</definedName>
    <definedName name="cbalR2LOB2BaseProdClinician14">cbal!$K$327:$M$327</definedName>
    <definedName name="cbalR2LOB2BaseProdClinician15">cbal!$K$328:$M$328</definedName>
    <definedName name="cbalR2LOB2BaseProdClinician16">cbal!$K$329:$M$329</definedName>
    <definedName name="cbalR2LOB2BDEngage">cbal!$K$253:$M$253</definedName>
    <definedName name="cbalR2LOB2ClinicianAvgMissPerc">cbal!$K$396:$M$396</definedName>
    <definedName name="cbalR2LOB2CSAT">cbal!$K$252:$M$252</definedName>
    <definedName name="cbalR2LOB2Disc1Retention">cbal!$K$257:$M$257</definedName>
    <definedName name="cbalR2LOB2Disc2Retention">cbal!$K$258:$M$258</definedName>
    <definedName name="cbalR2LOB2Disc3Retention">cbal!$K$259:$M$259</definedName>
    <definedName name="cbalR2LOB2Disc4Retention">cbal!$K$260:$M$260</definedName>
    <definedName name="cbalR2LOB2DiscClinician1">cbal!$K$273:$M$273</definedName>
    <definedName name="cbalR2LOB2DiscClinician10">cbal!$K$282:$M$282</definedName>
    <definedName name="cbalR2LOB2DiscClinician11">cbal!$K$283:$M$283</definedName>
    <definedName name="cbalR2LOB2DiscClinician12">cbal!$K$284:$M$284</definedName>
    <definedName name="cbalR2LOB2DiscClinician13">cbal!$K$285:$M$285</definedName>
    <definedName name="cbalR2LOB2DiscClinician14">cbal!$K$286:$M$286</definedName>
    <definedName name="cbalR2LOB2DiscClinician15">cbal!$K$287:$M$287</definedName>
    <definedName name="cbalR2LOB2DiscClinician16">cbal!$K$288:$M$288</definedName>
    <definedName name="cbalR2LOB2DiscClinician2">cbal!$K$274:$M$274</definedName>
    <definedName name="cbalR2LOB2DiscClinician3">cbal!$K$275:$M$275</definedName>
    <definedName name="cbalR2LOB2DiscClinician4">cbal!$K$276:$M$276</definedName>
    <definedName name="cbalR2LOB2DiscClinician5">cbal!$K$277:$M$277</definedName>
    <definedName name="cbalR2LOB2DiscClinician6">cbal!$K$278:$M$278</definedName>
    <definedName name="cbalR2LOB2DiscClinician7">cbal!$K$279:$M$279</definedName>
    <definedName name="cbalR2LOB2DiscClinician8">cbal!$K$280:$M$280</definedName>
    <definedName name="cbalR2LOB2DiscClinician9">cbal!$K$281:$M$281</definedName>
    <definedName name="cbalR2LOB2DOOTime1">cbal!$K$264:$M$264</definedName>
    <definedName name="cbalR2LOB2DOOTime2">cbal!$K$265:$M$265</definedName>
    <definedName name="cbalR2LOB2DOOTime3">cbal!$K$266:$M$266</definedName>
    <definedName name="cbalR2LOB2DOOTime4">cbal!$K$267:$M$267</definedName>
    <definedName name="cbalR2LOB2DOOTime5">cbal!$K$268:$M$268</definedName>
    <definedName name="cbalR2LOB2DOOTime6">cbal!$K$269:$M$269</definedName>
    <definedName name="cbalR2LOB2DOOTotalTime">cbal!$K$270:$M$270</definedName>
    <definedName name="cbalR2LOB2DOOUtilization">cbal!$K$254:$M$254</definedName>
    <definedName name="cbalR2LOB2Emp1CostPVisit">cbal!$K$239:$M$239</definedName>
    <definedName name="cbalR2LOB2Emp1Seg1RevPVisit">cbal!$K$230:$M$230</definedName>
    <definedName name="cbalR2LOB2Emp1Seg2RevPVisit">cbal!$K$231:$M$231</definedName>
    <definedName name="cbalR2LOB2Emp1Seg3RevPVisit">cbal!$K$232:$M$232</definedName>
    <definedName name="cbalR2LOB2Emp1VisitPEp">cbal!$K$227:$M$227</definedName>
    <definedName name="cbalR2LOB2Emp2CostPVisit">cbal!$K$240:$M$240</definedName>
    <definedName name="cbalR2LOB2Emp2Seg1RevPVisit">cbal!$K$233:$M$233</definedName>
    <definedName name="cbalR2LOB2Emp2Seg2RevPVisit">cbal!$K$234:$M$234</definedName>
    <definedName name="cbalR2LOB2Emp2Seg3RevPVisit">cbal!$K$235:$M$235</definedName>
    <definedName name="cbalR2LOB2Emp2VisitPEp">cbal!$K$228:$M$228</definedName>
    <definedName name="cbalR2LOB2Emp3CostPVisit">cbal!$K$241:$M$241</definedName>
    <definedName name="cbalR2LOB2Emp3Seg1RevPVisit">cbal!$K$236:$M$236</definedName>
    <definedName name="cbalR2LOB2Emp3Seg2RevPVisit">cbal!$K$237:$M$237</definedName>
    <definedName name="cbalR2LOB2Emp3Seg3RevPVisit">cbal!$K$238:$M$238</definedName>
    <definedName name="cbalR2LOB2Emp3VisitPEp">cbal!$K$229:$M$229</definedName>
    <definedName name="cbalR2LOB2EmpStatClinician1">cbal!$K$291:$M$291</definedName>
    <definedName name="cbalR2LOB2EmpStatClinician10">cbal!$K$300:$M$300</definedName>
    <definedName name="cbalR2LOB2EmpStatClinician11">cbal!$K$301:$M$301</definedName>
    <definedName name="cbalR2LOB2EmpStatClinician12">cbal!$K$302:$M$302</definedName>
    <definedName name="cbalR2LOB2EmpStatClinician13">cbal!$K$303:$M$303</definedName>
    <definedName name="cbalR2LOB2EmpStatClinician14">cbal!$K$304:$M$304</definedName>
    <definedName name="cbalR2LOB2EmpStatClinician15">cbal!$K$305:$M$305</definedName>
    <definedName name="cbalR2LOB2EmpStatClinician16">cbal!$K$306:$M$306</definedName>
    <definedName name="cbalR2LOB2EmpStatClinician2">cbal!$K$292:$M$292</definedName>
    <definedName name="cbalR2LOB2EmpStatClinician3">cbal!$K$293:$M$293</definedName>
    <definedName name="cbalR2LOB2EmpStatClinician4">cbal!$K$294:$M$294</definedName>
    <definedName name="cbalR2LOB2EmpStatClinician5">cbal!$K$295:$M$295</definedName>
    <definedName name="cbalR2LOB2EmpStatClinician6">cbal!$K$296:$M$296</definedName>
    <definedName name="cbalR2LOB2EmpStatClinician7">cbal!$K$297:$M$297</definedName>
    <definedName name="cbalR2LOB2EmpStatClinician8">cbal!$K$298:$M$298</definedName>
    <definedName name="cbalR2LOB2EmpStatClinician9">cbal!$K$299:$M$299</definedName>
    <definedName name="cbalR2LOB2ESAT">cbal!$K$251:$M$251</definedName>
    <definedName name="cbalR2LOB2FullEmpOverhead">cbal!$K$246:$M$246</definedName>
    <definedName name="cbalR2LOB2MarketShare">cbal!$K$245:$M$245</definedName>
    <definedName name="cbalR2LOB2MileageClinician1">cbal!$K$366:$M$366</definedName>
    <definedName name="cbalR2LOB2MileageClinician10">cbal!$K$375:$M$375</definedName>
    <definedName name="cbalR2LOB2MileageClinician11">cbal!$K$376:$M$376</definedName>
    <definedName name="cbalR2LOB2MileageClinician12">cbal!$K$377:$M$377</definedName>
    <definedName name="cbalR2LOB2MileageClinician2">cbal!$K$367:$M$367</definedName>
    <definedName name="cbalR2LOB2MileageClinician3">cbal!$K$368:$M$368</definedName>
    <definedName name="cbalR2LOB2MileageClinician4">cbal!$K$369:$M$369</definedName>
    <definedName name="cbalR2LOB2MileageClinician5">cbal!$K$370:$M$370</definedName>
    <definedName name="cbalR2LOB2MileageClinician6">cbal!$K$371:$M$371</definedName>
    <definedName name="cbalR2LOB2MileageClinician7">cbal!$K$372:$M$372</definedName>
    <definedName name="cbalR2LOB2MileageClinician8">cbal!$K$373:$M$373</definedName>
    <definedName name="cbalR2LOB2MileageClinician9">cbal!$K$374:$M$374</definedName>
    <definedName name="cbalR2LOB2MileagePVisitClinician1">cbal!$K$352:$M$352</definedName>
    <definedName name="cbalR2LOB2MileagePVisitClinician10">cbal!$K$361:$M$361</definedName>
    <definedName name="cbalR2LOB2MileagePVisitClinician11">cbal!$K$362:$M$362</definedName>
    <definedName name="cbalR2LOB2MileagePVisitClinician12">cbal!$K$363:$M$363</definedName>
    <definedName name="cbalR2LOB2MileagePVisitClinician2">cbal!$K$353:$M$353</definedName>
    <definedName name="cbalR2LOB2MileagePVisitClinician3">cbal!$K$354:$M$354</definedName>
    <definedName name="cbalR2LOB2MileagePVisitClinician4">cbal!$K$355:$M$355</definedName>
    <definedName name="cbalR2LOB2MileagePVisitClinician5">cbal!$K$356:$M$356</definedName>
    <definedName name="cbalR2LOB2MileagePVisitClinician6">cbal!$K$357:$M$357</definedName>
    <definedName name="cbalR2LOB2MileagePVisitClinician7">cbal!$K$358:$M$358</definedName>
    <definedName name="cbalR2LOB2MileagePVisitClinician8">cbal!$K$359:$M$359</definedName>
    <definedName name="cbalR2LOB2MileagePVisitClinician9">cbal!$K$360:$M$360</definedName>
    <definedName name="cbalR2LOB2NameClinician1">cbal!$K$310:$M$310</definedName>
    <definedName name="cbalR2LOB2NameClinician10">cbal!$K$319:$M$319</definedName>
    <definedName name="cbalR2LOB2NameClinician11">cbal!$K$320:$M$320</definedName>
    <definedName name="cbalR2LOB2NameClinician12">cbal!$K$321:$M$321</definedName>
    <definedName name="cbalR2LOB2NameClinician2">cbal!$K$311:$M$311</definedName>
    <definedName name="cbalR2LOB2NameClinician3">cbal!$K$312:$M$312</definedName>
    <definedName name="cbalR2LOB2NameClinician4">cbal!$K$313:$M$313</definedName>
    <definedName name="cbalR2LOB2NameClinician5">cbal!$K$314:$M$314</definedName>
    <definedName name="cbalR2LOB2NameClinician6">cbal!$K$315:$M$315</definedName>
    <definedName name="cbalR2LOB2NameClinician7">cbal!$K$316:$M$316</definedName>
    <definedName name="cbalR2LOB2NameClinician8">cbal!$K$317:$M$317</definedName>
    <definedName name="cbalR2LOB2NameClinician9">cbal!$K$318:$M$318</definedName>
    <definedName name="cbalR2LOB2NumProdClinician13">cbal!$K$322:$M$322</definedName>
    <definedName name="cbalR2LOB2NumProdClinician14">cbal!$K$323:$M$323</definedName>
    <definedName name="cbalR2LOB2NumProdClinician15">cbal!$K$324:$M$324</definedName>
    <definedName name="cbalR2LOB2NumProdClinician16">cbal!$K$325:$M$325</definedName>
    <definedName name="cbalR2LOB2PartEmpOverhead">cbal!$K$247:$M$247</definedName>
    <definedName name="cbalR2LOB2Prod2Seg1Perc">cbal!$K$242:$M$242</definedName>
    <definedName name="cbalR2LOB2Prod2Seg2Perc">cbal!$K$243:$M$243</definedName>
    <definedName name="cbalR2LOB2Prod2Seg3Perc">cbal!$K$244:$M$244</definedName>
    <definedName name="cbalR2LOB2Rev">cbal!$K$248:$M$248</definedName>
    <definedName name="cbalR2LOB2RevGrowth">cbal!$K$249:$M$249</definedName>
    <definedName name="cbalR2LOB2Seg1Perc">cbal!$K$224:$M$224</definedName>
    <definedName name="cbalR2LOB2Seg2Perc">cbal!$K$225:$M$225</definedName>
    <definedName name="cbalR2LOB2Seg3Perc">cbal!$K$226:$M$226</definedName>
    <definedName name="cbalR2LOB2Stars">cbal!$K$250:$M$250</definedName>
    <definedName name="cbalR2Rev">cbal!$K$15:$M$15</definedName>
    <definedName name="cbalR2RevGrowth">cbal!$K$16:$M$16</definedName>
    <definedName name="cbalR2SI1CodeR1">cbal!$K$413:$M$413</definedName>
    <definedName name="cbalR2SI1CodeR2">cbal!$K$419:$M$419</definedName>
    <definedName name="cbalR2SI1CodeR3">cbal!$K$425:$M$425</definedName>
    <definedName name="cbalR2SI2CodeR1">cbal!$K$414:$M$414</definedName>
    <definedName name="cbalR2SI2CodeR2">cbal!$K$420:$M$420</definedName>
    <definedName name="cbalR2SI2CodeR3">cbal!$K$426:$M$426</definedName>
    <definedName name="cbalR2SI3CodeR1">cbal!$K$415:$M$415</definedName>
    <definedName name="cbalR2SI3CodeR2">cbal!$K$421:$M$421</definedName>
    <definedName name="cbalR2SI3CodeR3">cbal!$K$427:$M$427</definedName>
    <definedName name="cbalR2SI4CodeR1">cbal!$K$416:$M$416</definedName>
    <definedName name="cbalR2SI4CodeR2">cbal!$K$422:$M$422</definedName>
    <definedName name="cbalR2SI4CodeR3">cbal!$K$428:$M$428</definedName>
    <definedName name="cbalR2SI5CodeR1">cbal!$K$417:$M$417</definedName>
    <definedName name="cbalR2SI5CodeR2">cbal!$K$423:$M$423</definedName>
    <definedName name="cbalR2SI5CodeR3">cbal!$K$429:$M$429</definedName>
    <definedName name="cbalR2Stars">cbal!$K$17:$M$17</definedName>
    <definedName name="cbalRev">cbal!$E$15:$G$15</definedName>
    <definedName name="cbalRevGrowth">cbal!$E$16:$G$16</definedName>
    <definedName name="cbalSI1CodeR1">cbal!$E$413:$G$413</definedName>
    <definedName name="cbalSI1CodeR2">cbal!$E$419:$G$419</definedName>
    <definedName name="cbalSI1CodeR3">cbal!$E$425:$G$425</definedName>
    <definedName name="cbalSI2CodeR1">cbal!$E$414:$G$414</definedName>
    <definedName name="cbalSI2CodeR2">cbal!$E$420:$G$420</definedName>
    <definedName name="cbalSI2CodeR3">cbal!$E$426:$G$426</definedName>
    <definedName name="cbalSI3CodeR1">cbal!$E$415:$G$415</definedName>
    <definedName name="cbalSI3CodeR2">cbal!$E$421:$G$421</definedName>
    <definedName name="cbalSI3CodeR3">cbal!$E$427:$G$427</definedName>
    <definedName name="cbalSI4CodeR1">cbal!$E$416:$G$416</definedName>
    <definedName name="cbalSI4CodeR2">cbal!$E$422:$G$422</definedName>
    <definedName name="cbalSI4CodeR3">cbal!$E$428:$G$428</definedName>
    <definedName name="cbalSI5CodeR1">cbal!$E$417:$G$417</definedName>
    <definedName name="cbalSI5CodeR2">cbal!$E$423:$G$423</definedName>
    <definedName name="cbalSI5CodeR3">cbal!$E$429:$G$429</definedName>
    <definedName name="cbalStars">cbal!$E$17:$G$17</definedName>
    <definedName name="cnstComma">PopUp!$E$69</definedName>
    <definedName name="cnstDoubleQuote">PopUp!$E$68</definedName>
    <definedName name="cnstMillion">Glossary!$D$19</definedName>
    <definedName name="cnstSingleQuote">PopUp!$E$67</definedName>
    <definedName name="core_FilePrefix">Controls!$D$5</definedName>
    <definedName name="dataMMLOB1UnitsNew">data!$D$115:$J$115</definedName>
    <definedName name="dataMMLOB2UnitsNew">data!$D$136:$J$136</definedName>
    <definedName name="dataTableCC1Staff">data!$B$22:$K$48</definedName>
    <definedName name="dataTableCC2Staff">data!$M$22:$V$48</definedName>
    <definedName name="dec_Round">Controls!$D$41</definedName>
    <definedName name="dec_TeamName">Controls!$D$37</definedName>
    <definedName name="dec_TeamNumber">Controls!$D$39</definedName>
    <definedName name="dec_ToolInputPrefix">Controls!$D$43</definedName>
    <definedName name="decLOB1Cln10Mtng_R1">dec!$E$52:$G$52</definedName>
    <definedName name="decLOB1Cln10Mtng_R2">dec!$K$52:$M$52</definedName>
    <definedName name="decLOB1Cln10Text_R1">dec!$E$64:$G$64</definedName>
    <definedName name="decLOB1Cln10Text_R2">dec!$K$64:$M$64</definedName>
    <definedName name="decLOB1Cln10WeekProdMod_R1">dec!$E$40:$G$40</definedName>
    <definedName name="decLOB1Cln10WeekProdMod_R2">dec!$K$40:$M$40</definedName>
    <definedName name="decLOB1Cln11Dis_R1">dec!$E$67:$G$67</definedName>
    <definedName name="decLOB1Cln11Dis_R2">dec!$K$67:$M$67</definedName>
    <definedName name="decLOB1Cln11Mtng_R1">dec!$E$53:$G$53</definedName>
    <definedName name="decLOB1Cln11Mtng_R2">dec!$K$53:$M$53</definedName>
    <definedName name="decLOB1Cln11Status_R1">dec!$E$68:$G$68</definedName>
    <definedName name="decLOB1Cln11Status_R2">dec!$K$68:$M$68</definedName>
    <definedName name="decLOB1Cln11Text_R1">dec!$E$65:$G$65</definedName>
    <definedName name="decLOB1Cln11Text_R2">dec!$K$65:$M$65</definedName>
    <definedName name="decLOB1Cln11WeekProdMod_R1">dec!$E$41:$G$41</definedName>
    <definedName name="decLOB1Cln11WeekProdMod_R2">dec!$K$41:$M$41</definedName>
    <definedName name="decLOB1Cln12Dis_R1">dec!$E$69:$G$69</definedName>
    <definedName name="decLOB1Cln12Dis_R2">dec!$K$69:$M$69</definedName>
    <definedName name="decLOB1Cln12Mtng_R1">dec!$E$54:$G$54</definedName>
    <definedName name="decLOB1Cln12Mtng_R2">dec!$K$54:$M$54</definedName>
    <definedName name="decLOB1Cln12Status_R1">dec!$E$70:$G$70</definedName>
    <definedName name="decLOB1Cln12Status_R2">dec!$K$70:$M$70</definedName>
    <definedName name="decLOB1Cln12Text_R1">dec!$E$66:$G$66</definedName>
    <definedName name="decLOB1Cln12Text_R2">dec!$K$66:$M$66</definedName>
    <definedName name="decLOB1Cln12WeekProdMod_R1">dec!$E$42:$G$42</definedName>
    <definedName name="decLOB1Cln12WeekProdMod_R2">dec!$K$42:$M$42</definedName>
    <definedName name="decLOB1Cln1Mtng_R1">dec!$E$43:$G$43</definedName>
    <definedName name="decLOB1Cln1Mtng_R2">dec!$K$43:$M$43</definedName>
    <definedName name="decLOB1Cln1Text_R1">dec!$E$55:$G$55</definedName>
    <definedName name="decLOB1Cln1Text_R2">dec!$K$55:$M$55</definedName>
    <definedName name="decLOB1Cln1WeekProdMod_R1">dec!$E$31:$G$31</definedName>
    <definedName name="decLOB1Cln1WeekProdMod_R2">dec!$K$31:$M$31</definedName>
    <definedName name="decLOB1Cln2Mtng_R1">dec!$E$44:$G$44</definedName>
    <definedName name="decLOB1Cln2Mtng_R2">dec!$K$44:$M$44</definedName>
    <definedName name="decLOB1Cln2Text_R1">dec!$E$56:$G$56</definedName>
    <definedName name="decLOB1Cln2Text_R2">dec!$K$56:$M$56</definedName>
    <definedName name="decLOB1Cln2WeekProdMod_R1">dec!$E$32:$G$32</definedName>
    <definedName name="decLOB1Cln2WeekProdMod_R2">dec!$K$32:$M$32</definedName>
    <definedName name="decLOB1Cln3Mtng_R1">dec!$E$45:$G$45</definedName>
    <definedName name="decLOB1Cln3Mtng_R2">dec!$K$45:$M$45</definedName>
    <definedName name="decLOB1Cln3Text_R1">dec!$E$57:$G$57</definedName>
    <definedName name="decLOB1Cln3Text_R2">dec!$K$57:$M$57</definedName>
    <definedName name="decLOB1Cln3WeekProdMod_R1">dec!$E$33:$G$33</definedName>
    <definedName name="decLOB1Cln3WeekProdMod_R2">dec!$K$33:$M$33</definedName>
    <definedName name="decLOB1Cln4Mtng_R1">dec!$E$46:$G$46</definedName>
    <definedName name="decLOB1Cln4Mtng_R2">dec!$K$46:$M$46</definedName>
    <definedName name="decLOB1Cln4Text_R1">dec!$E$58:$G$58</definedName>
    <definedName name="decLOB1Cln4Text_R2">dec!$K$58:$M$58</definedName>
    <definedName name="decLOB1Cln4WeekProdMod_R1">dec!$E$34:$G$34</definedName>
    <definedName name="decLOB1Cln4WeekProdMod_R2">dec!$K$34:$M$34</definedName>
    <definedName name="decLOB1Cln5Mtng_R1">dec!$E$47:$G$47</definedName>
    <definedName name="decLOB1Cln5Mtng_R2">dec!$K$47:$M$47</definedName>
    <definedName name="decLOB1Cln5Text_R1">dec!$E$59:$G$59</definedName>
    <definedName name="decLOB1Cln5Text_R2">dec!$K$59:$M$59</definedName>
    <definedName name="decLOB1Cln5WeekProdMod_R1">dec!$E$35:$G$35</definedName>
    <definedName name="decLOB1Cln5WeekProdMod_R2">dec!$K$35:$M$35</definedName>
    <definedName name="decLOB1Cln6Mtng_R1">dec!$E$48:$G$48</definedName>
    <definedName name="decLOB1Cln6Mtng_R2">dec!$K$48:$M$48</definedName>
    <definedName name="decLOB1Cln6Text_R1">dec!$E$60:$G$60</definedName>
    <definedName name="decLOB1Cln6Text_R2">dec!$K$60:$M$60</definedName>
    <definedName name="decLOB1Cln6WeekProdMod_R1">dec!$E$36:$G$36</definedName>
    <definedName name="decLOB1Cln6WeekProdMod_R2">dec!$K$36:$M$36</definedName>
    <definedName name="decLOB1Cln7Mtng_R1">dec!$E$49:$G$49</definedName>
    <definedName name="decLOB1Cln7Mtng_R2">dec!$K$49:$M$49</definedName>
    <definedName name="decLOB1Cln7Text_R1">dec!$E$61:$G$61</definedName>
    <definedName name="decLOB1Cln7Text_R2">dec!$K$61:$M$61</definedName>
    <definedName name="decLOB1Cln7WeekProdMod_R1">dec!$E$37:$G$37</definedName>
    <definedName name="decLOB1Cln7WeekProdMod_R2">dec!$K$37:$M$37</definedName>
    <definedName name="decLOB1Cln8Mtng_R1">dec!$E$50:$G$50</definedName>
    <definedName name="decLOB1Cln8Mtng_R2">dec!$K$50:$M$50</definedName>
    <definedName name="decLOB1Cln8Text_R1">dec!$E$62:$G$62</definedName>
    <definedName name="decLOB1Cln8Text_R2">dec!$K$62:$M$62</definedName>
    <definedName name="decLOB1Cln8WeekProdMod_R1">dec!$E$38:$G$38</definedName>
    <definedName name="decLOB1Cln8WeekProdMod_R2">dec!$K$38:$M$38</definedName>
    <definedName name="decLOB1Cln9Mtng_R1">dec!$E$51:$G$51</definedName>
    <definedName name="decLOB1Cln9Mtng_R2">dec!$K$51:$M$51</definedName>
    <definedName name="decLOB1Cln9Text_R1">dec!$E$63:$G$63</definedName>
    <definedName name="decLOB1Cln9Text_R2">dec!$K$63:$M$63</definedName>
    <definedName name="decLOB1Cln9WeekProdMod_R1">dec!$E$39:$G$39</definedName>
    <definedName name="decLOB1Cln9WeekProdMod_R2">dec!$K$39:$M$39</definedName>
    <definedName name="decLOB1DOOAdjTime1_R1">dec!$E$17:$G$17</definedName>
    <definedName name="decLOB1DOOAdjTime1_R2">dec!$K$17:$M$17</definedName>
    <definedName name="decLOB1DOOAdjTime2_R1">dec!$E$18:$G$18</definedName>
    <definedName name="decLOB1DOOAdjTime2_R2">dec!$K$18:$M$18</definedName>
    <definedName name="decLOB1DOOAdjTime3_R1">dec!$E$19:$G$19</definedName>
    <definedName name="decLOB1DOOAdjTime3_R2">dec!$K$19:$M$19</definedName>
    <definedName name="decLOB1DOOAdjTime4_R1">dec!$E$20:$G$20</definedName>
    <definedName name="decLOB1DOOAdjTime4_R2">dec!$K$20:$M$20</definedName>
    <definedName name="decLOB1DOOAdjTime5_R1">dec!$E$21:$G$21</definedName>
    <definedName name="decLOB1DOOAdjTime5_R2">dec!$K$21:$M$21</definedName>
    <definedName name="decLOB1DOOAdjTime6_R1">dec!$E$22:$G$22</definedName>
    <definedName name="decLOB1DOOAdjTime6_R2">dec!$K$22:$M$22</definedName>
    <definedName name="decLOB1Prod1Seg1Adj_R1">dec!$E$24:$G$24</definedName>
    <definedName name="decLOB1Prod1Seg1Adj_R2">dec!$K$24:$M$24</definedName>
    <definedName name="decLOB1Prod1Seg2Adj_R1">dec!$E$25:$G$25</definedName>
    <definedName name="decLOB1Prod1Seg2Adj_R2">dec!$K$25:$M$25</definedName>
    <definedName name="decLOB1Prod1Seg3Adj_R1">dec!$E$26:$G$26</definedName>
    <definedName name="decLOB1Prod1Seg3Adj_R2">dec!$K$26:$M$26</definedName>
    <definedName name="decLOB1Prod2Seg1Adj_R1">dec!$E$27:$G$27</definedName>
    <definedName name="decLOB1Prod2Seg1Adj_R2">dec!$K$27:$M$27</definedName>
    <definedName name="decLOB1Prod2Seg2Adj_R1">dec!$E$28:$G$28</definedName>
    <definedName name="decLOB1Prod2Seg2Adj_R2">dec!$K$28:$M$28</definedName>
    <definedName name="decLOB1Prod2Seg3Adj_R1">dec!$E$29:$G$29</definedName>
    <definedName name="decLOB1Prod2Seg3Adj_R2">dec!$K$29:$M$29</definedName>
    <definedName name="decLOB1SpecProg1_R1">dec!$E$13:$G$13</definedName>
    <definedName name="decLOB1SpecProg1_R2">dec!$K$13:$M$13</definedName>
    <definedName name="decLOB1SpecProg2_R1">dec!$E$14:$G$14</definedName>
    <definedName name="decLOB1SpecProg2_R2">dec!$K$14:$M$14</definedName>
    <definedName name="decLOB1SpecProg3_R1">dec!$E$15:$G$15</definedName>
    <definedName name="decLOB1SpecProg3_R2">dec!$K$15:$M$15</definedName>
    <definedName name="decLOB1SpecProg4_R1">dec!$E$16:$G$16</definedName>
    <definedName name="decLOB1SpecProg4_R2">dec!$K$16:$M$16</definedName>
    <definedName name="decLOB2Cln10Mtng_R1">dec!$E$113:$G$113</definedName>
    <definedName name="decLOB2Cln10Mtng_R2">dec!$K$113:$M$113</definedName>
    <definedName name="decLOB2Cln10Text_R1">dec!$E$125:$G$125</definedName>
    <definedName name="decLOB2Cln10Text_R2">dec!$K$125:$M$125</definedName>
    <definedName name="decLOB2Cln10WeekProdMod_R1">dec!$E$101:$G$101</definedName>
    <definedName name="decLOB2Cln10WeekProdMod_R2">dec!$K$101:$M$101</definedName>
    <definedName name="decLOB2Cln11Dis_R1">dec!$E$128:$G$128</definedName>
    <definedName name="decLOB2Cln11Dis_R2">dec!$K$128:$M$128</definedName>
    <definedName name="decLOB2Cln11Mtng_R1">dec!$E$114:$G$114</definedName>
    <definedName name="decLOB2Cln11Mtng_R2">dec!$K$114:$M$114</definedName>
    <definedName name="decLOB2Cln11Status_R1">dec!$E$129:$G$129</definedName>
    <definedName name="decLOB2Cln11Status_R2">dec!$K$129:$M$129</definedName>
    <definedName name="decLOB2Cln11Text_R1">dec!$E$126:$G$126</definedName>
    <definedName name="decLOB2Cln11Text_R2">dec!$K$126:$M$126</definedName>
    <definedName name="decLOB2Cln11WeekProdMod_R1">dec!$E$102:$G$102</definedName>
    <definedName name="decLOB2Cln11WeekProdMod_R2">dec!$K$102:$M$102</definedName>
    <definedName name="decLOB2Cln12Dis_R1">dec!$E$130:$G$130</definedName>
    <definedName name="decLOB2Cln12Dis_R2">dec!$K$130:$M$130</definedName>
    <definedName name="decLOB2Cln12Mtng_R1">dec!$E$115:$G$115</definedName>
    <definedName name="decLOB2Cln12Mtng_R2">dec!$K$115:$M$115</definedName>
    <definedName name="decLOB2Cln12Status_R1">dec!$E$131:$G$131</definedName>
    <definedName name="decLOB2Cln12Status_R2">dec!$K$131:$M$131</definedName>
    <definedName name="decLOB2Cln12Text_R1">dec!$E$127:$G$127</definedName>
    <definedName name="decLOB2Cln12Text_R2">dec!$K$127:$M$127</definedName>
    <definedName name="decLOB2Cln12WeekProdMod_R1">dec!$E$103:$G$103</definedName>
    <definedName name="decLOB2Cln12WeekProdMod_R2">dec!$K$103:$M$103</definedName>
    <definedName name="decLOB2Cln1Mtng_R1">dec!$E$104:$G$104</definedName>
    <definedName name="decLOB2Cln1Mtng_R2">dec!$K$104:$M$104</definedName>
    <definedName name="decLOB2Cln1Text_R1">dec!$E$116:$G$116</definedName>
    <definedName name="decLOB2Cln1Text_R2">dec!$K$116:$M$116</definedName>
    <definedName name="decLOB2Cln1WeekProdMod_R1">dec!$E$92:$G$92</definedName>
    <definedName name="decLOB2Cln1WeekProdMod_R2">dec!$K$92:$M$92</definedName>
    <definedName name="decLOB2Cln2Mtng_R1">dec!$E$105:$G$105</definedName>
    <definedName name="decLOB2Cln2Mtng_R2">dec!$K$105:$M$105</definedName>
    <definedName name="decLOB2Cln2Text_R1">dec!$E$117:$G$117</definedName>
    <definedName name="decLOB2Cln2Text_R2">dec!$K$117:$M$117</definedName>
    <definedName name="decLOB2Cln2WeekProdMod_R1">dec!$E$93:$G$93</definedName>
    <definedName name="decLOB2Cln2WeekProdMod_R2">dec!$K$93:$M$93</definedName>
    <definedName name="decLOB2Cln3Mtng_R1">dec!$E$106:$G$106</definedName>
    <definedName name="decLOB2Cln3Mtng_R2">dec!$K$106:$M$106</definedName>
    <definedName name="decLOB2Cln3Text_R1">dec!$E$118:$G$118</definedName>
    <definedName name="decLOB2Cln3Text_R2">dec!$K$118:$M$118</definedName>
    <definedName name="decLOB2Cln3WeekProdMod_R1">dec!$E$94:$G$94</definedName>
    <definedName name="decLOB2Cln3WeekProdMod_R2">dec!$K$94:$M$94</definedName>
    <definedName name="decLOB2Cln4Mtng_R1">dec!$E$107:$G$107</definedName>
    <definedName name="decLOB2Cln4Mtng_R2">dec!$K$107:$M$107</definedName>
    <definedName name="decLOB2Cln4Text_R1">dec!$E$119:$G$119</definedName>
    <definedName name="decLOB2Cln4Text_R2">dec!$K$119:$M$119</definedName>
    <definedName name="decLOB2Cln4WeekProdMod_R1">dec!$E$95:$G$95</definedName>
    <definedName name="decLOB2Cln4WeekProdMod_R2">dec!$K$95:$M$95</definedName>
    <definedName name="decLOB2Cln5Mtng_R1">dec!$E$108:$G$108</definedName>
    <definedName name="decLOB2Cln5Mtng_R2">dec!$K$108:$M$108</definedName>
    <definedName name="decLOB2Cln5Text_R1">dec!$E$120:$G$120</definedName>
    <definedName name="decLOB2Cln5Text_R2">dec!$K$120:$M$120</definedName>
    <definedName name="decLOB2Cln5WeekProdMod_R1">dec!$E$96:$G$96</definedName>
    <definedName name="decLOB2Cln5WeekProdMod_R2">dec!$K$96:$M$96</definedName>
    <definedName name="decLOB2Cln6Mtng_R1">dec!$E$109:$G$109</definedName>
    <definedName name="decLOB2Cln6Mtng_R2">dec!$K$109:$M$109</definedName>
    <definedName name="decLOB2Cln6Text_R1">dec!$E$121:$G$121</definedName>
    <definedName name="decLOB2Cln6Text_R2">dec!$K$121:$M$121</definedName>
    <definedName name="decLOB2Cln6WeekProdMod_R1">dec!$E$97:$G$97</definedName>
    <definedName name="decLOB2Cln6WeekProdMod_R2">dec!$K$97:$M$97</definedName>
    <definedName name="decLOB2Cln7Mtng_R1">dec!$E$110:$G$110</definedName>
    <definedName name="decLOB2Cln7Mtng_R2">dec!$K$110:$M$110</definedName>
    <definedName name="decLOB2Cln7Text_R1">dec!$E$122:$G$122</definedName>
    <definedName name="decLOB2Cln7Text_R2">dec!$K$122:$M$122</definedName>
    <definedName name="decLOB2Cln7WeekProdMod_R1">dec!$E$98:$G$98</definedName>
    <definedName name="decLOB2Cln7WeekProdMod_R2">dec!$K$98:$M$98</definedName>
    <definedName name="decLOB2Cln8Mtng_R1">dec!$E$111:$G$111</definedName>
    <definedName name="decLOB2Cln8Mtng_R2">dec!$K$111:$M$111</definedName>
    <definedName name="decLOB2Cln8Text_R1">dec!$E$123:$G$123</definedName>
    <definedName name="decLOB2Cln8Text_R2">dec!$K$123:$M$123</definedName>
    <definedName name="decLOB2Cln8WeekProdMod_R1">dec!$E$99:$G$99</definedName>
    <definedName name="decLOB2Cln8WeekProdMod_R2">dec!$K$99:$M$99</definedName>
    <definedName name="decLOB2Cln9Mtng_R1">dec!$E$112:$G$112</definedName>
    <definedName name="decLOB2Cln9Mtng_R2">dec!$K$112:$M$112</definedName>
    <definedName name="decLOB2Cln9Text_R1">dec!$E$124:$G$124</definedName>
    <definedName name="decLOB2Cln9Text_R2">dec!$K$124:$M$124</definedName>
    <definedName name="decLOB2Cln9WeekProdMod_R1">dec!$E$100:$G$100</definedName>
    <definedName name="decLOB2Cln9WeekProdMod_R2">dec!$K$100:$M$100</definedName>
    <definedName name="decLOB2DOOAdjTime1_R1">dec!$E$78:$G$78</definedName>
    <definedName name="decLOB2DOOAdjTime1_R2">dec!$K$78:$M$78</definedName>
    <definedName name="decLOB2DOOAdjTime2_R1">dec!$E$79:$G$79</definedName>
    <definedName name="decLOB2DOOAdjTime2_R2">dec!$K$79:$M$79</definedName>
    <definedName name="decLOB2DOOAdjTime3_R1">dec!$E$80:$G$80</definedName>
    <definedName name="decLOB2DOOAdjTime3_R2">dec!$K$80:$M$80</definedName>
    <definedName name="decLOB2DOOAdjTime4_R1">dec!$E$81:$G$81</definedName>
    <definedName name="decLOB2DOOAdjTime4_R2">dec!$K$81:$M$81</definedName>
    <definedName name="decLOB2DOOAdjTime5_R1">dec!$E$82:$G$82</definedName>
    <definedName name="decLOB2DOOAdjTime5_R2">dec!$K$82:$M$82</definedName>
    <definedName name="decLOB2DOOAdjTime6_R1">dec!$E$83:$G$83</definedName>
    <definedName name="decLOB2DOOAdjTime6_R2">dec!$K$83:$M$83</definedName>
    <definedName name="decLOB2Prod1Seg1Adj_R1">dec!$E$85:$G$85</definedName>
    <definedName name="decLOB2Prod1Seg1Adj_R2">dec!$K$85:$M$85</definedName>
    <definedName name="decLOB2Prod1Seg2Adj_R1">dec!$E$86:$G$86</definedName>
    <definedName name="decLOB2Prod1Seg2Adj_R2">dec!$K$86:$M$86</definedName>
    <definedName name="decLOB2Prod1Seg3Adj_R1">dec!$E$87:$G$87</definedName>
    <definedName name="decLOB2Prod1Seg3Adj_R2">dec!$K$87:$M$87</definedName>
    <definedName name="decLOB2Prod2Seg1Adj_R1">dec!$E$88:$G$88</definedName>
    <definedName name="decLOB2Prod2Seg1Adj_R2">dec!$K$88:$M$88</definedName>
    <definedName name="decLOB2Prod2Seg2Adj_R1">dec!$E$89:$G$89</definedName>
    <definedName name="decLOB2Prod2Seg2Adj_R2">dec!$K$89:$M$89</definedName>
    <definedName name="decLOB2Prod2Seg3Adj_R1">dec!$E$90:$G$90</definedName>
    <definedName name="decLOB2Prod2Seg3Adj_R2">dec!$K$90:$M$90</definedName>
    <definedName name="decLOB2SpecProg1_R1">dec!$E$74:$G$74</definedName>
    <definedName name="decLOB2SpecProg1_R2">dec!$K$74:$M$74</definedName>
    <definedName name="decLOB2SpecProg2_R1">dec!$E$75:$G$75</definedName>
    <definedName name="decLOB2SpecProg2_R2">dec!$K$75:$M$75</definedName>
    <definedName name="decLOB2SpecProg3_R1">dec!$E$76:$G$76</definedName>
    <definedName name="decLOB2SpecProg3_R2">dec!$K$76:$M$76</definedName>
    <definedName name="decLOB2SpecProg4_R1">dec!$E$77:$G$77</definedName>
    <definedName name="decLOB2SpecProg4_R2">dec!$K$77:$M$77</definedName>
    <definedName name="decR1Event1">dec!$E$134:$G$134</definedName>
    <definedName name="decR1Event2">dec!$E$135:$G$135</definedName>
    <definedName name="decR1Event3">dec!$E$136:$G$136</definedName>
    <definedName name="decR1Event4">dec!$E$137:$G$137</definedName>
    <definedName name="decR2Event1">dec!$K$134:$M$134</definedName>
    <definedName name="decR2Event2">dec!$K$135:$M$135</definedName>
    <definedName name="decR2Event3">dec!$K$136:$M$136</definedName>
    <definedName name="decR2Event4">dec!$K$137:$M$137</definedName>
    <definedName name="decR2Event5">dec!$K$138:$M$138</definedName>
    <definedName name="decR2TeamName">dec!$K$8:$M$8</definedName>
    <definedName name="decR2TeamNumber">dec!$K$7:$M$7</definedName>
    <definedName name="decR2TeamYear">dec!$K$9:$M$9</definedName>
    <definedName name="decTeamName">dec!$E$8:$G$8</definedName>
    <definedName name="decTeamNumber">dec!$E$7:$G$7</definedName>
    <definedName name="decTeamYear">dec!$E$9:$G$9</definedName>
    <definedName name="feedback_FeedbackFileName">Controls!$D$7</definedName>
    <definedName name="feedback_FeedbackSheetName">Controls!$D$31</definedName>
    <definedName name="feedback_TimeSeriesFeedbackSheetName">Controls!$D$33</definedName>
    <definedName name="finPNLEmp1Cost">fin!$E$148:$G$148</definedName>
    <definedName name="finPNLEmp2Cost">fin!$E$149:$G$149</definedName>
    <definedName name="finPNLEmp3Cost">fin!$E$150:$G$150</definedName>
    <definedName name="finPNLEmpOverhead">fin!$E$160:$G$160</definedName>
    <definedName name="finPNLFullEmpOverhead">fin!$E$157:$G$157</definedName>
    <definedName name="finPNLGrossMargin">fin!$E$154:$G$154</definedName>
    <definedName name="finPNLGrossProfit">fin!$E$153:$G$153</definedName>
    <definedName name="finPNLLOB1Emp1Cost">fin!$E$54:$G$54</definedName>
    <definedName name="finPNLLOB1Emp2Cost">fin!$E$55:$G$55</definedName>
    <definedName name="finPNLLOB1Emp3Cost">fin!$E$56:$G$56</definedName>
    <definedName name="finPNLLOB1EmpOverhead">fin!$E$66:$G$66</definedName>
    <definedName name="finPNLLOB1FullEmpOverhead">fin!$E$63:$G$63</definedName>
    <definedName name="finPNLLOB1GrossMargin">fin!$E$60:$G$60</definedName>
    <definedName name="finPNLLOB1GrossProfit">fin!$E$59:$G$59</definedName>
    <definedName name="finPNLLOB1OpMargin">fin!$E$68:$G$68</definedName>
    <definedName name="finPNLLOB1OpProfit">fin!$E$67:$G$67</definedName>
    <definedName name="finPNLLOB1PartEmpOverhead">fin!$E$64:$G$64</definedName>
    <definedName name="finPNLLOB1Rev">fin!$E$51:$G$51</definedName>
    <definedName name="finPNLLOB1Seg1Rev">fin!$E$32:$G$32</definedName>
    <definedName name="finPNLLOB1Seg1RevPEpisode">fin!$E$11:$G$11</definedName>
    <definedName name="finPNLLOB1Seg2Rev">fin!$E$38:$G$38</definedName>
    <definedName name="finPNLLOB1Seg2RevPEpisode">fin!$E$18:$G$18</definedName>
    <definedName name="finPNLLOB1Seg3Rev">fin!$E$44:$G$44</definedName>
    <definedName name="finPNLLOB1Seg3RevPEpisode">fin!$E$25:$G$25</definedName>
    <definedName name="finPNLLOB1ServiceCost">fin!$E$58:$G$58</definedName>
    <definedName name="finPNLLOB2Emp1Cost">fin!$E$121:$G$121</definedName>
    <definedName name="finPNLLOB2Emp2Cost">fin!$E$122:$G$122</definedName>
    <definedName name="finPNLLOB2Emp3Cost">fin!$E$123:$G$123</definedName>
    <definedName name="finPNLLOB2EmpOverhead">fin!$E$133:$G$133</definedName>
    <definedName name="finPNLLOB2FullEmpOverhead">fin!$E$130:$G$130</definedName>
    <definedName name="finPNLLOB2GrossMargin">fin!$E$127:$G$127</definedName>
    <definedName name="finPNLLOB2GrossProfit">fin!$E$126:$G$126</definedName>
    <definedName name="finPNLLOB2OpMargin">fin!$E$135:$G$135</definedName>
    <definedName name="finPNLLOB2OpProfit">fin!$E$134:$G$134</definedName>
    <definedName name="finPNLLOB2PartEmpOverhead">fin!$E$131:$G$131</definedName>
    <definedName name="finPNLLOB2Rev">fin!$E$118:$G$118</definedName>
    <definedName name="finPNLLOB2Seg1Rev">fin!$E$99:$G$99</definedName>
    <definedName name="finPNLLOB2Seg1RevPEpisode">fin!$E$78:$G$78</definedName>
    <definedName name="finPNLLOB2Seg2Rev">fin!$E$105:$G$105</definedName>
    <definedName name="finPNLLOB2Seg2RevPEpisode">fin!$E$85:$G$85</definedName>
    <definedName name="finPNLLOB2Seg3Rev">fin!$E$111:$G$111</definedName>
    <definedName name="finPNLLOB2Seg3RevPEpisode">fin!$E$92:$G$92</definedName>
    <definedName name="finPNLLOB2ServiceCost">fin!$E$125:$G$125</definedName>
    <definedName name="finPNLOpMargin">fin!$E$162:$G$162</definedName>
    <definedName name="finPNLOpProfit">fin!$E$161:$G$161</definedName>
    <definedName name="finPNLPartEmpOverhead">fin!$E$158:$G$158</definedName>
    <definedName name="finPNLRev">fin!$E$145:$G$145</definedName>
    <definedName name="finPNLSeg1Rev">fin!$E$141:$G$141</definedName>
    <definedName name="finPNLSeg2Rev">fin!$E$142:$G$142</definedName>
    <definedName name="finPNLSeg3Rev">fin!$E$143:$G$143</definedName>
    <definedName name="finPNLServiceCost">fin!$E$152:$G$152</definedName>
    <definedName name="finR2PNLEmp1Cost">fin!$K$148:$M$148</definedName>
    <definedName name="finR2PNLEmp2Cost">fin!$K$149:$M$149</definedName>
    <definedName name="finR2PNLEmp3Cost">fin!$K$150:$M$150</definedName>
    <definedName name="finR2PNLEmpOverhead">fin!$K$160:$M$160</definedName>
    <definedName name="finR2PNLFullEmpOverhead">fin!$K$157:$M$157</definedName>
    <definedName name="finR2PNLGrossMargin">fin!$K$154:$M$154</definedName>
    <definedName name="finR2PNLGrossProfit">fin!$K$153:$M$153</definedName>
    <definedName name="finR2PNLLOB1Emp1Cost">fin!$K$54:$M$54</definedName>
    <definedName name="finR2PNLLOB1Emp2Cost">fin!$K$55:$M$55</definedName>
    <definedName name="finR2PNLLOB1Emp3Cost">fin!$K$56:$M$56</definedName>
    <definedName name="finR2PNLLOB1EmpOverhead">fin!$K$66:$M$66</definedName>
    <definedName name="finR2PNLLOB1FullEmpOverhead">fin!$K$63:$M$63</definedName>
    <definedName name="finR2PNLLOB1GrossMargin">fin!$K$60:$M$60</definedName>
    <definedName name="finR2PNLLOB1GrossProfit">fin!$K$59:$M$59</definedName>
    <definedName name="finR2PNLLOB1OpMargin">fin!$K$68:$M$68</definedName>
    <definedName name="finR2PNLLOB1OpProfit">fin!$K$67:$M$67</definedName>
    <definedName name="finR2PNLLOB1PartEmpOverhead">fin!$K$64:$M$64</definedName>
    <definedName name="finR2PNLLOB1Prod1Seg1Rev">fin!$K$29:$M$29</definedName>
    <definedName name="finR2PNLLOB1Prod1Seg2Rev">fin!$K$35:$M$35</definedName>
    <definedName name="finR2PNLLOB1Prod1Seg3Rev">fin!$K$41:$M$41</definedName>
    <definedName name="finR2PNLLOB1Prod2Seg1Rev">fin!$K$30:$M$30</definedName>
    <definedName name="finR2PNLLOB1Prod2Seg2Rev">fin!$K$36:$M$36</definedName>
    <definedName name="finR2PNLLOB1Prod2Seg3Rev">fin!$K$42:$M$42</definedName>
    <definedName name="finR2PNLLOB1Rev">fin!$K$51:$M$51</definedName>
    <definedName name="finR2PNLLOB1Seg1Rev">fin!$K$32:$M$32</definedName>
    <definedName name="finR2PNLLOB1Seg1RevPEpisode">fin!$K$11:$M$11</definedName>
    <definedName name="finR2PNLLOB1Seg2Rev">fin!$K$38:$M$38</definedName>
    <definedName name="finR2PNLLOB1Seg2RevPEpisode">fin!$K$18:$M$18</definedName>
    <definedName name="finR2PNLLOB1Seg3Rev">fin!$K$44:$M$44</definedName>
    <definedName name="finR2PNLLOB1Seg3RevPEpisode">fin!$K$25:$M$25</definedName>
    <definedName name="finR2PNLLOB1ServiceCost">fin!$K$58:$M$58</definedName>
    <definedName name="finR2PNLLOB2Emp1Cost">fin!$K$121:$M$121</definedName>
    <definedName name="finR2PNLLOB2Emp2Cost">fin!$K$122:$M$122</definedName>
    <definedName name="finR2PNLLOB2Emp3Cost">fin!$K$123:$M$123</definedName>
    <definedName name="finR2PNLLOB2EmpOverhead">fin!$K$133:$M$133</definedName>
    <definedName name="finR2PNLLOB2FullEmpOverhead">fin!$K$130:$M$130</definedName>
    <definedName name="finR2PNLLOB2GrossMargin">fin!$K$127:$M$127</definedName>
    <definedName name="finR2PNLLOB2GrossProfit">fin!$K$126:$M$126</definedName>
    <definedName name="finR2PNLLOB2OpMargin">fin!$K$135:$M$135</definedName>
    <definedName name="finR2PNLLOB2OpProfit">fin!$K$134:$M$134</definedName>
    <definedName name="finR2PNLLOB2PartEmpOverhead">fin!$K$131:$M$131</definedName>
    <definedName name="finR2PNLLOB2Prod1Seg1Rev">fin!$K$96:$M$96</definedName>
    <definedName name="finR2PNLLOB2Prod1Seg2Rev">fin!$K$102:$M$102</definedName>
    <definedName name="finR2PNLLOB2Prod1Seg3Rev">fin!$K$108:$M$108</definedName>
    <definedName name="finR2PNLLOB2Prod2Seg1Rev">fin!$K$97:$M$97</definedName>
    <definedName name="finR2PNLLOB2Prod2Seg2Rev">fin!$K$103:$M$103</definedName>
    <definedName name="finR2PNLLOB2Prod2Seg3Rev">fin!$K$109:$M$109</definedName>
    <definedName name="finR2PNLLOB2Rev">fin!$K$118:$M$118</definedName>
    <definedName name="finR2PNLLOB2Seg1Rev">fin!$K$99:$M$99</definedName>
    <definedName name="finR2PNLLOB2Seg1RevPEpisode">fin!$K$78:$M$78</definedName>
    <definedName name="finR2PNLLOB2Seg2Rev">fin!$K$105:$M$105</definedName>
    <definedName name="finR2PNLLOB2Seg2RevPEpisode">fin!$K$85:$M$85</definedName>
    <definedName name="finR2PNLLOB2Seg3Rev">fin!$K$111:$M$111</definedName>
    <definedName name="finR2PNLLOB2Seg3RevPEpisode">fin!$K$92:$M$92</definedName>
    <definedName name="finR2PNLLOB2ServiceCost">fin!$K$125:$M$125</definedName>
    <definedName name="finR2PNLOpMargin">fin!$K$162:$M$162</definedName>
    <definedName name="finR2PNLOpProfit">fin!$K$161:$M$161</definedName>
    <definedName name="finR2PNLPartEmpOverhead">fin!$K$158:$M$158</definedName>
    <definedName name="finR2PNLRev">fin!$K$145:$M$145</definedName>
    <definedName name="finR2PNLSeg1Rev">fin!$K$141:$M$141</definedName>
    <definedName name="finR2PNLSeg2Rev">fin!$K$142:$M$142</definedName>
    <definedName name="finR2PNLSeg3Rev">fin!$K$143:$M$143</definedName>
    <definedName name="finR2PNLServiceCost">fin!$K$152:$M$152</definedName>
    <definedName name="glossaryLanguage">Glossary!$E$14</definedName>
    <definedName name="HideRows">tlIntro!$T$2:$T$17</definedName>
    <definedName name="hood_OnHoodCloseGoTo">Controls!$D$29</definedName>
    <definedName name="hood_ToolPrefix">Controls!$D$47</definedName>
    <definedName name="LOB1FocusAreas_DecR1">dec!$E$13:$E$16</definedName>
    <definedName name="LOB1FocusAreas_DecR2">dec!$K$13:$K$16</definedName>
    <definedName name="LOB2FocusAreas_DecR1">dec!$E$74:$E$77</definedName>
    <definedName name="LOB2FocusAreas_DecR2">dec!$K$74:$K$77</definedName>
    <definedName name="make_percentage">calc!$K$994:$M$994</definedName>
    <definedName name="mmLOB1Driver1Explain">mmLOB1!$E$52:$G$52</definedName>
    <definedName name="mmLOB1Driver2Explain">mmLOB1!$E$53:$G$53</definedName>
    <definedName name="mmLOB1Driver3Explain">mmLOB1!$E$54:$G$54</definedName>
    <definedName name="mmLOB1ImpactTable">mmLOB1!$C$44:$G$48</definedName>
    <definedName name="mmLOB1MarketShare">mmLOB1!$E$39:$H$39</definedName>
    <definedName name="mmLOB1UnitsNew">mmLOB1!$E$38:$H$38</definedName>
    <definedName name="mmLOB2Driver1Explain">mmLOB2!$E$52:$G$52</definedName>
    <definedName name="mmLOB2Driver2Explain">mmLOB2!$E$53:$G$53</definedName>
    <definedName name="mmLOB2Driver3Explain">mmLOB2!$E$54:$G$54</definedName>
    <definedName name="mmLOB2ImpactTable">mmLOB2!$C$44:$G$48</definedName>
    <definedName name="mmLOB2MarketShare">mmLOB2!$E$39:$H$39</definedName>
    <definedName name="mmLOB2UnitsNew">mmLOB2!$E$38:$H$38</definedName>
    <definedName name="mmR2LOB1Driver1Explain">mmLOB1!$K$52:$M$52</definedName>
    <definedName name="mmR2LOB1Driver2Explain">mmLOB1!$K$53:$M$53</definedName>
    <definedName name="mmR2LOB1Driver3Explain">mmLOB1!$K$54:$M$54</definedName>
    <definedName name="mmR2LOB1ImpactTable">mmLOB1!$I$44:$M$48</definedName>
    <definedName name="mmR2LOB1MarketShare">mmLOB1!$K$39:$N$39</definedName>
    <definedName name="mmR2LOB1UnitsNew">mmLOB1!$K$38:$N$38</definedName>
    <definedName name="mmR2LOB2Driver1Explain">mmLOB2!$K$52:$M$52</definedName>
    <definedName name="mmR2LOB2Driver2Explain">mmLOB2!$K$53:$M$53</definedName>
    <definedName name="mmR2LOB2Driver3Explain">mmLOB2!$K$54:$M$54</definedName>
    <definedName name="mmR2LOB2ImpactTable">mmLOB2!$I$44:$M$48</definedName>
    <definedName name="mmR2LOB2MarketShare">mmLOB2!$K$39:$N$39</definedName>
    <definedName name="mmR2LOB2UnitsNew">mmLOB2!$K$38:$N$38</definedName>
    <definedName name="nmCOGS">Glossary!$D$55</definedName>
    <definedName name="nmDisc1">Glossary!$D$42</definedName>
    <definedName name="nmDisc2">Glossary!$D$43</definedName>
    <definedName name="nmDisc3">Glossary!$D$44</definedName>
    <definedName name="nmDisc4">Glossary!$D$45</definedName>
    <definedName name="nmEmp1">Glossary!$D$39</definedName>
    <definedName name="nmEmp2">Glossary!$D$40</definedName>
    <definedName name="nmEmp3">Glossary!$D$41</definedName>
    <definedName name="nmForecast">Glossary!$D$47</definedName>
    <definedName name="nmGrossMargin">Glossary!$D$57</definedName>
    <definedName name="nmGrossProfit">Glossary!$D$56</definedName>
    <definedName name="nmInitiatives">Glossary!$D$51</definedName>
    <definedName name="nmLOB1">Glossary!$D$32</definedName>
    <definedName name="nmLOB2">Glossary!$D$33</definedName>
    <definedName name="nmMarketing">Glossary!$D$49</definedName>
    <definedName name="nmMillion">Glossary!$D$30</definedName>
    <definedName name="nmPrice">Glossary!$D$48</definedName>
    <definedName name="nmProd1">Glossary!$D$34</definedName>
    <definedName name="nmProd2">Glossary!$D$35</definedName>
    <definedName name="nmProgramSubtitle">Glossary!$D$25</definedName>
    <definedName name="nmProgramTitle">Glossary!$D$24</definedName>
    <definedName name="nmRevenue">Glossary!$D$54</definedName>
    <definedName name="nmRound">Glossary!$D$28</definedName>
    <definedName name="nmSeg1">Glossary!$D$36</definedName>
    <definedName name="nmSeg2">Glossary!$D$37</definedName>
    <definedName name="nmSeg3">Glossary!$D$38</definedName>
    <definedName name="nmTeamName">Glossary!$D$26</definedName>
    <definedName name="nmTeamNumber">Glossary!$D$27</definedName>
    <definedName name="obal_End">obal!$E$433</definedName>
    <definedName name="obalCSAT">obal!$E$19:$G$19</definedName>
    <definedName name="obalESAT">obal!$E$18:$G$18</definedName>
    <definedName name="obalLOB1AddFullTime">obal!$E$53:$G$53</definedName>
    <definedName name="obalLOB1AddPartTime">obal!$E$54:$G$54</definedName>
    <definedName name="obalLOB1AdminTimeClinician1">obal!$E$196:$G$196</definedName>
    <definedName name="obalLOB1AdminTimeClinician10">obal!$E$205:$G$205</definedName>
    <definedName name="obalLOB1AdminTimeClinician11">obal!$E$206:$G$206</definedName>
    <definedName name="obalLOB1AdminTimeClinician12">obal!$E$207:$G$207</definedName>
    <definedName name="obalLOB1AdminTimeClinician2">obal!$E$197:$G$197</definedName>
    <definedName name="obalLOB1AdminTimeClinician3">obal!$E$198:$G$198</definedName>
    <definedName name="obalLOB1AdminTimeClinician4">obal!$E$199:$G$199</definedName>
    <definedName name="obalLOB1AdminTimeClinician5">obal!$E$200:$G$200</definedName>
    <definedName name="obalLOB1AdminTimeClinician6">obal!$E$201:$G$201</definedName>
    <definedName name="obalLOB1AdminTimeClinician7">obal!$E$202:$G$202</definedName>
    <definedName name="obalLOB1AdminTimeClinician8">obal!$E$203:$G$203</definedName>
    <definedName name="obalLOB1AdminTimeClinician9">obal!$E$204:$G$204</definedName>
    <definedName name="obalLOB1AvgBaseProdClinician11">obal!$E$145:$G$145</definedName>
    <definedName name="obalLOB1AvgBaseProdClinician12">obal!$E$146:$G$146</definedName>
    <definedName name="obalLOB1AvgMissClinician1">obal!$E$210:$G$210</definedName>
    <definedName name="obalLOB1AvgMissClinician10">obal!$E$219:$G$219</definedName>
    <definedName name="obalLOB1AvgMissClinician11">obal!$E$220:$G$220</definedName>
    <definedName name="obalLOB1AvgMissClinician12">obal!$E$221:$G$221</definedName>
    <definedName name="obalLOB1AvgMissClinician2">obal!$E$211:$G$211</definedName>
    <definedName name="obalLOB1AvgMissClinician3">obal!$E$212:$G$212</definedName>
    <definedName name="obalLOB1AvgMissClinician4">obal!$E$213:$G$213</definedName>
    <definedName name="obalLOB1AvgMissClinician5">obal!$E$214:$G$214</definedName>
    <definedName name="obalLOB1AvgMissClinician6">obal!$E$215:$G$215</definedName>
    <definedName name="obalLOB1AvgMissClinician7">obal!$E$216:$G$216</definedName>
    <definedName name="obalLOB1AvgMissClinician8">obal!$E$217:$G$217</definedName>
    <definedName name="obalLOB1AvgMissClinician9">obal!$E$218:$G$218</definedName>
    <definedName name="obalLOB1AvgMissPercClinician1">obal!$E$177:$G$177</definedName>
    <definedName name="obalLOB1AvgMissPercClinician10">obal!$E$186:$G$186</definedName>
    <definedName name="obalLOB1AvgMissPercClinician11">obal!$E$187:$G$187</definedName>
    <definedName name="obalLOB1AvgMissPercClinician12">obal!$E$188:$G$188</definedName>
    <definedName name="obalLOB1AvgMissPercClinician13">obal!$E$189:$G$189</definedName>
    <definedName name="obalLOB1AvgMissPercClinician14">obal!$E$190:$G$190</definedName>
    <definedName name="obalLOB1AvgMissPercClinician15">obal!$E$191:$G$191</definedName>
    <definedName name="obalLOB1AvgMissPercClinician16">obal!$E$192:$G$192</definedName>
    <definedName name="obalLOB1AvgMissPercClinician2">obal!$E$178:$G$178</definedName>
    <definedName name="obalLOB1AvgMissPercClinician3">obal!$E$179:$G$179</definedName>
    <definedName name="obalLOB1AvgMissPercClinician4">obal!$E$180:$G$180</definedName>
    <definedName name="obalLOB1AvgMissPercClinician5">obal!$E$181:$G$181</definedName>
    <definedName name="obalLOB1AvgMissPercClinician6">obal!$E$182:$G$182</definedName>
    <definedName name="obalLOB1AvgMissPercClinician7">obal!$E$183:$G$183</definedName>
    <definedName name="obalLOB1AvgMissPercClinician8">obal!$E$184:$G$184</definedName>
    <definedName name="obalLOB1AvgMissPercClinician9">obal!$E$185:$G$185</definedName>
    <definedName name="obalLOB1AvgProdClinician1">obal!$E$129:$G$129</definedName>
    <definedName name="obalLOB1AvgProdClinician10">obal!$E$138:$G$138</definedName>
    <definedName name="obalLOB1AvgProdClinician11">obal!$E$139:$G$139</definedName>
    <definedName name="obalLOB1AvgProdClinician12">obal!$E$140:$G$140</definedName>
    <definedName name="obalLOB1AvgProdClinician13">obal!$E$141:$G$141</definedName>
    <definedName name="obalLOB1AvgProdClinician14">obal!$E$142:$G$142</definedName>
    <definedName name="obalLOB1AvgProdClinician15">obal!$E$143:$G$143</definedName>
    <definedName name="obalLOB1AvgProdClinician16">obal!$E$144:$G$144</definedName>
    <definedName name="obalLOB1AvgProdClinician2">obal!$E$130:$G$130</definedName>
    <definedName name="obalLOB1AvgProdClinician3">obal!$E$131:$G$131</definedName>
    <definedName name="obalLOB1AvgProdClinician4">obal!$E$132:$G$132</definedName>
    <definedName name="obalLOB1AvgProdClinician5">obal!$E$133:$G$133</definedName>
    <definedName name="obalLOB1AvgProdClinician6">obal!$E$134:$G$134</definedName>
    <definedName name="obalLOB1AvgProdClinician7">obal!$E$135:$G$135</definedName>
    <definedName name="obalLOB1AvgProdClinician8">obal!$E$136:$G$136</definedName>
    <definedName name="obalLOB1AvgProdClinician9">obal!$E$137:$G$137</definedName>
    <definedName name="obalLOB1AvgUtilization">obal!$E$59:$G$59</definedName>
    <definedName name="obalLOB1BaseProdClinician13">obal!$E$123:$G$123</definedName>
    <definedName name="obalLOB1BaseProdClinician14">obal!$E$124:$G$124</definedName>
    <definedName name="obalLOB1BaseProdClinician15">obal!$E$125:$G$125</definedName>
    <definedName name="obalLOB1BaseProdClinician16">obal!$E$126:$G$126</definedName>
    <definedName name="obalLOB1BDEngage">obal!$E$51:$G$51</definedName>
    <definedName name="obalLOB1ClinicianAvgMissPerc">obal!$E$193:$G$193</definedName>
    <definedName name="obalLOB1CSAT">obal!$E$50:$G$50</definedName>
    <definedName name="obalLOB1Disc1Retention">obal!$E$55:$G$55</definedName>
    <definedName name="obalLOB1Disc2Retention">obal!$E$56:$G$56</definedName>
    <definedName name="obalLOB1Disc3Retention">obal!$E$57:$G$57</definedName>
    <definedName name="obalLOB1Disc4Retention">obal!$E$58:$G$58</definedName>
    <definedName name="obalLOB1DiscClinician1">obal!$E$71:$G$71</definedName>
    <definedName name="obalLOB1DiscClinician10">obal!$E$80:$G$80</definedName>
    <definedName name="obalLOB1DiscClinician11">obal!$E$81:$G$81</definedName>
    <definedName name="obalLOB1DiscClinician12">obal!$E$82:$G$82</definedName>
    <definedName name="obalLOB1DiscClinician13">obal!$E$83:$G$83</definedName>
    <definedName name="obalLOB1DiscClinician14">obal!$E$84:$G$84</definedName>
    <definedName name="obalLOB1DiscClinician15">obal!$E$85:$G$85</definedName>
    <definedName name="obalLOB1DiscClinician16">obal!$E$86:$G$86</definedName>
    <definedName name="obalLOB1DiscClinician2">obal!$E$72:$G$72</definedName>
    <definedName name="obalLOB1DiscClinician3">obal!$E$73:$G$73</definedName>
    <definedName name="obalLOB1DiscClinician4">obal!$E$74:$G$74</definedName>
    <definedName name="obalLOB1DiscClinician5">obal!$E$75:$G$75</definedName>
    <definedName name="obalLOB1DiscClinician6">obal!$E$76:$G$76</definedName>
    <definedName name="obalLOB1DiscClinician7">obal!$E$77:$G$77</definedName>
    <definedName name="obalLOB1DiscClinician8">obal!$E$78:$G$78</definedName>
    <definedName name="obalLOB1DiscClinician9">obal!$E$79:$G$79</definedName>
    <definedName name="obalLOB1DOOTime1">obal!$E$62:$G$62</definedName>
    <definedName name="obalLOB1DOOTime2">obal!$E$63:$G$63</definedName>
    <definedName name="obalLOB1DOOTime3">obal!$E$64:$G$64</definedName>
    <definedName name="obalLOB1DOOTime4">obal!$E$65:$G$65</definedName>
    <definedName name="obalLOB1DOOTime5">obal!$E$66:$G$66</definedName>
    <definedName name="obalLOB1DOOTime6">obal!$E$67:$G$67</definedName>
    <definedName name="obalLOB1DOOTotalTime">obal!$E$68:$G$68</definedName>
    <definedName name="obalLOB1DOOUtilization">obal!$E$52:$G$52</definedName>
    <definedName name="obalLOB1Emp1CostPVisit">obal!$E$37:$G$37</definedName>
    <definedName name="obalLOB1Emp1Seg1RevPVisit">obal!$E$28:$G$28</definedName>
    <definedName name="obalLOB1Emp1Seg2RevPVisit">obal!$E$29:$G$29</definedName>
    <definedName name="obalLOB1Emp1Seg3RevPVisit">obal!$E$30:$G$30</definedName>
    <definedName name="obalLOB1Emp1VisitPEp">obal!$E$25:$G$25</definedName>
    <definedName name="obalLOB1Emp2CostPVisit">obal!$E$38:$G$38</definedName>
    <definedName name="obalLOB1Emp2Seg1RevPVisit">obal!$E$31:$G$31</definedName>
    <definedName name="obalLOB1Emp2Seg2RevPVisit">obal!$E$32:$G$32</definedName>
    <definedName name="obalLOB1Emp2Seg3RevPVisit">obal!$E$33:$G$33</definedName>
    <definedName name="obalLOB1Emp2VisitPEp">obal!$E$26:$G$26</definedName>
    <definedName name="obalLOB1Emp3CostPVisit">obal!$E$39:$G$39</definedName>
    <definedName name="obalLOB1Emp3Seg1RevPVisit">obal!$E$34:$G$34</definedName>
    <definedName name="obalLOB1Emp3Seg2RevPVisit">obal!$E$35:$G$35</definedName>
    <definedName name="obalLOB1Emp3Seg3RevPVisit">obal!$E$36:$G$36</definedName>
    <definedName name="obalLOB1Emp3VisitPEp">obal!$E$27:$G$27</definedName>
    <definedName name="obalLOB1EmpStatClinician1">obal!$E$89:$G$89</definedName>
    <definedName name="obalLOB1EmpStatClinician10">obal!$E$98:$G$98</definedName>
    <definedName name="obalLOB1EmpStatClinician11">obal!$E$99:$G$99</definedName>
    <definedName name="obalLOB1EmpStatClinician12">obal!$E$100:$G$100</definedName>
    <definedName name="obalLOB1EmpStatClinician13">obal!$E$101:$G$101</definedName>
    <definedName name="obalLOB1EmpStatClinician14">obal!$E$102:$G$102</definedName>
    <definedName name="obalLOB1EmpStatClinician15">obal!$E$103:$G$103</definedName>
    <definedName name="obalLOB1EmpStatClinician16">obal!$E$104:$G$104</definedName>
    <definedName name="obalLOB1EmpStatClinician2">obal!$E$90:$G$90</definedName>
    <definedName name="obalLOB1EmpStatClinician3">obal!$E$91:$G$91</definedName>
    <definedName name="obalLOB1EmpStatClinician4">obal!$E$92:$G$92</definedName>
    <definedName name="obalLOB1EmpStatClinician5">obal!$E$93:$G$93</definedName>
    <definedName name="obalLOB1EmpStatClinician6">obal!$E$94:$G$94</definedName>
    <definedName name="obalLOB1EmpStatClinician7">obal!$E$95:$G$95</definedName>
    <definedName name="obalLOB1EmpStatClinician8">obal!$E$96:$G$96</definedName>
    <definedName name="obalLOB1EmpStatClinician9">obal!$E$97:$G$97</definedName>
    <definedName name="obalLOB1ESAT">obal!$E$49:$G$49</definedName>
    <definedName name="obalLOB1FullEmpOverhead">obal!$E$44:$G$44</definedName>
    <definedName name="obalLOB1MarketShare">obal!$E$43:$G$43</definedName>
    <definedName name="obalLOB1MileageClinician1">obal!$E$163:$G$163</definedName>
    <definedName name="obalLOB1MileageClinician10">obal!$E$172:$G$172</definedName>
    <definedName name="obalLOB1MileageClinician11">obal!$E$173:$G$173</definedName>
    <definedName name="obalLOB1MileageClinician12">obal!$E$174:$G$174</definedName>
    <definedName name="obalLOB1MileageClinician2">obal!$E$164:$G$164</definedName>
    <definedName name="obalLOB1MileageClinician3">obal!$E$165:$G$165</definedName>
    <definedName name="obalLOB1MileageClinician4">obal!$E$166:$G$166</definedName>
    <definedName name="obalLOB1MileageClinician5">obal!$E$167:$G$167</definedName>
    <definedName name="obalLOB1MileageClinician6">obal!$E$168:$G$168</definedName>
    <definedName name="obalLOB1MileageClinician7">obal!$E$169:$G$169</definedName>
    <definedName name="obalLOB1MileageClinician8">obal!$E$170:$G$170</definedName>
    <definedName name="obalLOB1MileageClinician9">obal!$E$171:$G$171</definedName>
    <definedName name="obalLOB1MileagePVisitClinician1">obal!$E$149:$G$149</definedName>
    <definedName name="obalLOB1MileagePVisitClinician10">obal!$E$158:$G$158</definedName>
    <definedName name="obalLOB1MileagePVisitClinician11">obal!$E$159:$G$159</definedName>
    <definedName name="obalLOB1MileagePVisitClinician12">obal!$E$160:$G$160</definedName>
    <definedName name="obalLOB1MileagePVisitClinician2">obal!$E$150:$G$150</definedName>
    <definedName name="obalLOB1MileagePVisitClinician3">obal!$E$151:$G$151</definedName>
    <definedName name="obalLOB1MileagePVisitClinician4">obal!$E$152:$G$152</definedName>
    <definedName name="obalLOB1MileagePVisitClinician5">obal!$E$153:$G$153</definedName>
    <definedName name="obalLOB1MileagePVisitClinician6">obal!$E$154:$G$154</definedName>
    <definedName name="obalLOB1MileagePVisitClinician7">obal!$E$155:$G$155</definedName>
    <definedName name="obalLOB1MileagePVisitClinician8">obal!$E$156:$G$156</definedName>
    <definedName name="obalLOB1MileagePVisitClinician9">obal!$E$157:$G$157</definedName>
    <definedName name="obalLOB1NameClinician1">obal!$E$107:$G$107</definedName>
    <definedName name="obalLOB1NameClinician10">obal!$E$116:$G$116</definedName>
    <definedName name="obalLOB1NameClinician11">obal!$E$117:$G$117</definedName>
    <definedName name="obalLOB1NameClinician12">obal!$E$118:$G$118</definedName>
    <definedName name="obalLOB1NameClinician2">obal!$E$108:$G$108</definedName>
    <definedName name="obalLOB1NameClinician3">obal!$E$109:$G$109</definedName>
    <definedName name="obalLOB1NameClinician4">obal!$E$110:$G$110</definedName>
    <definedName name="obalLOB1NameClinician5">obal!$E$111:$G$111</definedName>
    <definedName name="obalLOB1NameClinician6">obal!$E$112:$G$112</definedName>
    <definedName name="obalLOB1NameClinician7">obal!$E$113:$G$113</definedName>
    <definedName name="obalLOB1NameClinician8">obal!$E$114:$G$114</definedName>
    <definedName name="obalLOB1NameClinician9">obal!$E$115:$G$115</definedName>
    <definedName name="obalLOB1NumProdClinician13">obal!$E$119:$G$119</definedName>
    <definedName name="obalLOB1NumProdClinician14">obal!$E$120:$G$120</definedName>
    <definedName name="obalLOB1NumProdClinician15">obal!$E$121:$G$121</definedName>
    <definedName name="obalLOB1NumProdClinician16">obal!$E$122:$G$122</definedName>
    <definedName name="obalLOB1PartEmpOverhead">obal!$E$45:$G$45</definedName>
    <definedName name="obalLOB1Prod2Seg1Perc">obal!$E$40:$G$40</definedName>
    <definedName name="obalLOB1Prod2Seg2Perc">obal!$E$41:$G$41</definedName>
    <definedName name="obalLOB1Prod2Seg3Perc">obal!$E$42:$G$42</definedName>
    <definedName name="obalLOB1Rev">obal!$E$46:$G$46</definedName>
    <definedName name="obalLOB1RevGrowth">obal!$E$47:$G$47</definedName>
    <definedName name="obalLOB1Seg1Perc">obal!$E$22:$G$22</definedName>
    <definedName name="obalLOB1Seg2Perc">obal!$E$23:$G$23</definedName>
    <definedName name="obalLOB1Seg3Perc">obal!$E$24:$G$24</definedName>
    <definedName name="obalLOB1Stars">obal!$E$48:$G$48</definedName>
    <definedName name="obalLOB2AddFullTime">obal!$E$255:$G$255</definedName>
    <definedName name="obalLOB2AddPartTime">obal!$E$256:$G$256</definedName>
    <definedName name="obalLOB2AdminTimeClinician1">obal!$E$399:$G$399</definedName>
    <definedName name="obalLOB2AdminTimeClinician10">obal!$E$408:$G$408</definedName>
    <definedName name="obalLOB2AdminTimeClinician11">obal!$E$409:$G$409</definedName>
    <definedName name="obalLOB2AdminTimeClinician12">obal!$E$410:$G$410</definedName>
    <definedName name="obalLOB2AdminTimeClinician2">obal!$E$400:$G$400</definedName>
    <definedName name="obalLOB2AdminTimeClinician3">obal!$E$401:$G$401</definedName>
    <definedName name="obalLOB2AdminTimeClinician4">obal!$E$402:$G$402</definedName>
    <definedName name="obalLOB2AdminTimeClinician5">obal!$E$403:$G$403</definedName>
    <definedName name="obalLOB2AdminTimeClinician6">obal!$E$404:$G$404</definedName>
    <definedName name="obalLOB2AdminTimeClinician7">obal!$E$405:$G$405</definedName>
    <definedName name="obalLOB2AdminTimeClinician8">obal!$E$406:$G$406</definedName>
    <definedName name="obalLOB2AdminTimeClinician9">obal!$E$407:$G$407</definedName>
    <definedName name="obalLOB2AvgBaseProdClinician11">obal!$E$348:$G$348</definedName>
    <definedName name="obalLOB2AvgBaseProdClinician12">obal!$E$349:$G$349</definedName>
    <definedName name="obalLOB2AvgMissPercClinician1">obal!$E$380:$G$380</definedName>
    <definedName name="obalLOB2AvgMissPercClinician10">obal!$E$389:$G$389</definedName>
    <definedName name="obalLOB2AvgMissPercClinician11">obal!$E$390:$G$390</definedName>
    <definedName name="obalLOB2AvgMissPercClinician12">obal!$E$391:$G$391</definedName>
    <definedName name="obalLOB2AvgMissPercClinician13">obal!$E$392:$G$392</definedName>
    <definedName name="obalLOB2AvgMissPercClinician14">obal!$E$393:$G$393</definedName>
    <definedName name="obalLOB2AvgMissPercClinician15">obal!$E$394:$G$394</definedName>
    <definedName name="obalLOB2AvgMissPercClinician16">obal!$E$395:$G$395</definedName>
    <definedName name="obalLOB2AvgMissPercClinician2">obal!$E$381:$G$381</definedName>
    <definedName name="obalLOB2AvgMissPercClinician3">obal!$E$382:$G$382</definedName>
    <definedName name="obalLOB2AvgMissPercClinician4">obal!$E$383:$G$383</definedName>
    <definedName name="obalLOB2AvgMissPercClinician5">obal!$E$384:$G$384</definedName>
    <definedName name="obalLOB2AvgMissPercClinician6">obal!$E$385:$G$385</definedName>
    <definedName name="obalLOB2AvgMissPercClinician7">obal!$E$386:$G$386</definedName>
    <definedName name="obalLOB2AvgMissPercClinician8">obal!$E$387:$G$387</definedName>
    <definedName name="obalLOB2AvgMissPercClinician9">obal!$E$388:$G$388</definedName>
    <definedName name="obalLOB2AvgProdClinician1">obal!$E$332:$G$332</definedName>
    <definedName name="obalLOB2AvgProdClinician10">obal!$E$341:$G$341</definedName>
    <definedName name="obalLOB2AvgProdClinician11">obal!$E$342:$G$342</definedName>
    <definedName name="obalLOB2AvgProdClinician12">obal!$E$343:$G$343</definedName>
    <definedName name="obalLOB2AvgProdClinician13">obal!$E$344:$G$344</definedName>
    <definedName name="obalLOB2AvgProdClinician14">obal!$E$345:$G$345</definedName>
    <definedName name="obalLOB2AvgProdClinician15">obal!$E$346:$G$346</definedName>
    <definedName name="obalLOB2AvgProdClinician16">obal!$E$347:$G$347</definedName>
    <definedName name="obalLOB2AvgProdClinician2">obal!$E$333:$G$333</definedName>
    <definedName name="obalLOB2AvgProdClinician3">obal!$E$334:$G$334</definedName>
    <definedName name="obalLOB2AvgProdClinician4">obal!$E$335:$G$335</definedName>
    <definedName name="obalLOB2AvgProdClinician5">obal!$E$336:$G$336</definedName>
    <definedName name="obalLOB2AvgProdClinician6">obal!$E$337:$G$337</definedName>
    <definedName name="obalLOB2AvgProdClinician7">obal!$E$338:$G$338</definedName>
    <definedName name="obalLOB2AvgProdClinician8">obal!$E$339:$G$339</definedName>
    <definedName name="obalLOB2AvgProdClinician9">obal!$E$340:$G$340</definedName>
    <definedName name="obalLOB2AvgUtilization">obal!$E$261:$G$261</definedName>
    <definedName name="obalLOB2BaseProdClinician13">obal!$E$326:$G$326</definedName>
    <definedName name="obalLOB2BaseProdClinician14">obal!$E$327:$G$327</definedName>
    <definedName name="obalLOB2BaseProdClinician15">obal!$E$328:$G$328</definedName>
    <definedName name="obalLOB2BaseProdClinician16">obal!$E$329:$G$329</definedName>
    <definedName name="obalLOB2BDEngage">obal!$E$253:$G$253</definedName>
    <definedName name="obalLOB2ClinicianAvgMissPerc">obal!$E$396:$G$396</definedName>
    <definedName name="obalLOB2CSAT">obal!$E$252:$G$252</definedName>
    <definedName name="obalLOB2Disc1Retention">obal!$E$257:$G$257</definedName>
    <definedName name="obalLOB2Disc2Retention">obal!$E$258:$G$258</definedName>
    <definedName name="obalLOB2Disc3Retention">obal!$E$259:$G$259</definedName>
    <definedName name="obalLOB2Disc4Retention">obal!$E$260:$G$260</definedName>
    <definedName name="obalLOB2DiscClinician1">obal!$E$273:$G$273</definedName>
    <definedName name="obalLOB2DiscClinician10">obal!$E$282:$G$282</definedName>
    <definedName name="obalLOB2DiscClinician11">obal!$E$283:$G$283</definedName>
    <definedName name="obalLOB2DiscClinician12">obal!$E$284:$G$284</definedName>
    <definedName name="obalLOB2DiscClinician13">obal!$E$285:$G$285</definedName>
    <definedName name="obalLOB2DiscClinician14">obal!$E$286:$G$286</definedName>
    <definedName name="obalLOB2DiscClinician15">obal!$E$287:$G$287</definedName>
    <definedName name="obalLOB2DiscClinician16">obal!$E$288:$G$288</definedName>
    <definedName name="obalLOB2DiscClinician2">obal!$E$274:$G$274</definedName>
    <definedName name="obalLOB2DiscClinician3">obal!$E$275:$G$275</definedName>
    <definedName name="obalLOB2DiscClinician4">obal!$E$276:$G$276</definedName>
    <definedName name="obalLOB2DiscClinician5">obal!$E$277:$G$277</definedName>
    <definedName name="obalLOB2DiscClinician6">obal!$E$278:$G$278</definedName>
    <definedName name="obalLOB2DiscClinician7">obal!$E$279:$G$279</definedName>
    <definedName name="obalLOB2DiscClinician8">obal!$E$280:$G$280</definedName>
    <definedName name="obalLOB2DiscClinician9">obal!$E$281:$G$281</definedName>
    <definedName name="obalLOB2DOOTime1">obal!$E$264:$G$264</definedName>
    <definedName name="obalLOB2DOOTime2">obal!$E$265:$G$265</definedName>
    <definedName name="obalLOB2DOOTime3">obal!$E$266:$G$266</definedName>
    <definedName name="obalLOB2DOOTime4">obal!$E$267:$G$267</definedName>
    <definedName name="obalLOB2DOOTime5">obal!$E$268:$G$268</definedName>
    <definedName name="obalLOB2DOOTime6">obal!$E$269:$G$269</definedName>
    <definedName name="obalLOB2DOOTotalTime">obal!$E$270:$G$270</definedName>
    <definedName name="obalLOB2DOOUtilization">obal!$E$254:$G$254</definedName>
    <definedName name="obalLOB2Emp1CostPVisit">obal!$E$239:$G$239</definedName>
    <definedName name="obalLOB2Emp1Seg1RevPVisit">obal!$E$230:$G$230</definedName>
    <definedName name="obalLOB2Emp1Seg2RevPVisit">obal!$E$231:$G$231</definedName>
    <definedName name="obalLOB2Emp1Seg3RevPVisit">obal!$E$232:$G$232</definedName>
    <definedName name="obalLOB2Emp1VisitPEp">obal!$E$227:$G$227</definedName>
    <definedName name="obalLOB2Emp2CostPVisit">obal!$E$240:$G$240</definedName>
    <definedName name="obalLOB2Emp2Seg1RevPVisit">obal!$E$233:$G$233</definedName>
    <definedName name="obalLOB2Emp2Seg2RevPVisit">obal!$E$234:$G$234</definedName>
    <definedName name="obalLOB2Emp2Seg3RevPVisit">obal!$E$235:$G$235</definedName>
    <definedName name="obalLOB2Emp2VisitPEp">obal!$E$228:$G$228</definedName>
    <definedName name="obalLOB2Emp3CostPVisit">obal!$E$241:$G$241</definedName>
    <definedName name="obalLOB2Emp3Seg1RevPVisit">obal!$E$236:$G$236</definedName>
    <definedName name="obalLOB2Emp3Seg2RevPVisit">obal!$E$237:$G$237</definedName>
    <definedName name="obalLOB2Emp3Seg3RevPVisit">obal!$E$238:$G$238</definedName>
    <definedName name="obalLOB2Emp3VisitPEp">obal!$E$229:$G$229</definedName>
    <definedName name="obalLOB2EmpStatClinician1">obal!$E$291:$G$291</definedName>
    <definedName name="obalLOB2EmpStatClinician10">obal!$E$300:$G$300</definedName>
    <definedName name="obalLOB2EmpStatClinician11">obal!$E$301:$G$301</definedName>
    <definedName name="obalLOB2EmpStatClinician12">obal!$E$302:$G$302</definedName>
    <definedName name="obalLOB2EmpStatClinician13">obal!$E$303:$G$303</definedName>
    <definedName name="obalLOB2EmpStatClinician14">obal!$E$304:$G$304</definedName>
    <definedName name="obalLOB2EmpStatClinician15">obal!$E$305:$G$305</definedName>
    <definedName name="obalLOB2EmpStatClinician16">obal!$E$306:$G$306</definedName>
    <definedName name="obalLOB2EmpStatClinician2">obal!$E$292:$G$292</definedName>
    <definedName name="obalLOB2EmpStatClinician3">obal!$E$293:$G$293</definedName>
    <definedName name="obalLOB2EmpStatClinician4">obal!$E$294:$G$294</definedName>
    <definedName name="obalLOB2EmpStatClinician5">obal!$E$295:$G$295</definedName>
    <definedName name="obalLOB2EmpStatClinician6">obal!$E$296:$G$296</definedName>
    <definedName name="obalLOB2EmpStatClinician7">obal!$E$297:$G$297</definedName>
    <definedName name="obalLOB2EmpStatClinician8">obal!$E$298:$G$298</definedName>
    <definedName name="obalLOB2EmpStatClinician9">obal!$E$299:$G$299</definedName>
    <definedName name="obalLOB2ESAT">obal!$E$251:$G$251</definedName>
    <definedName name="obalLOB2FullEmpOverhead">obal!$E$246:$G$246</definedName>
    <definedName name="obalLOB2MarketShare">obal!$E$245:$G$245</definedName>
    <definedName name="obalLOB2MileageClinician1">obal!$E$366:$G$366</definedName>
    <definedName name="obalLOB2MileageClinician10">obal!$E$375:$G$375</definedName>
    <definedName name="obalLOB2MileageClinician11">obal!$E$376:$G$376</definedName>
    <definedName name="obalLOB2MileageClinician12">obal!$E$377:$G$377</definedName>
    <definedName name="obalLOB2MileageClinician2">obal!$E$367:$G$367</definedName>
    <definedName name="obalLOB2MileageClinician3">obal!$E$368:$G$368</definedName>
    <definedName name="obalLOB2MileageClinician4">obal!$E$369:$G$369</definedName>
    <definedName name="obalLOB2MileageClinician5">obal!$E$370:$G$370</definedName>
    <definedName name="obalLOB2MileageClinician6">obal!$E$371:$G$371</definedName>
    <definedName name="obalLOB2MileageClinician7">obal!$E$372:$G$372</definedName>
    <definedName name="obalLOB2MileageClinician8">obal!$E$373:$G$373</definedName>
    <definedName name="obalLOB2MileageClinician9">obal!$E$374:$G$374</definedName>
    <definedName name="obalLOB2MileagePVisitClinician1">obal!$E$352:$G$352</definedName>
    <definedName name="obalLOB2MileagePVisitClinician10">obal!$E$361:$G$361</definedName>
    <definedName name="obalLOB2MileagePVisitClinician11">obal!$E$362:$G$362</definedName>
    <definedName name="obalLOB2MileagePVisitClinician12">obal!$E$363:$G$363</definedName>
    <definedName name="obalLOB2MileagePVisitClinician2">obal!$E$353:$G$353</definedName>
    <definedName name="obalLOB2MileagePVisitClinician3">obal!$E$354:$G$354</definedName>
    <definedName name="obalLOB2MileagePVisitClinician4">obal!$E$355:$G$355</definedName>
    <definedName name="obalLOB2MileagePVisitClinician5">obal!$E$356:$G$356</definedName>
    <definedName name="obalLOB2MileagePVisitClinician6">obal!$E$357:$G$357</definedName>
    <definedName name="obalLOB2MileagePVisitClinician7">obal!$E$358:$G$358</definedName>
    <definedName name="obalLOB2MileagePVisitClinician8">obal!$E$359:$G$359</definedName>
    <definedName name="obalLOB2MileagePVisitClinician9">obal!$E$360:$G$360</definedName>
    <definedName name="obalLOB2NameClinician1">obal!$E$310:$G$310</definedName>
    <definedName name="obalLOB2NameClinician10">obal!$E$319:$G$319</definedName>
    <definedName name="obalLOB2NameClinician11">obal!$E$320:$G$320</definedName>
    <definedName name="obalLOB2NameClinician12">obal!$E$321:$G$321</definedName>
    <definedName name="obalLOB2NameClinician2">obal!$E$311:$G$311</definedName>
    <definedName name="obalLOB2NameClinician3">obal!$E$312:$G$312</definedName>
    <definedName name="obalLOB2NameClinician4">obal!$E$313:$G$313</definedName>
    <definedName name="obalLOB2NameClinician5">obal!$E$314:$G$314</definedName>
    <definedName name="obalLOB2NameClinician6">obal!$E$315:$G$315</definedName>
    <definedName name="obalLOB2NameClinician7">obal!$E$316:$G$316</definedName>
    <definedName name="obalLOB2NameClinician8">obal!$E$317:$G$317</definedName>
    <definedName name="obalLOB2NameClinician9">obal!$E$318:$G$318</definedName>
    <definedName name="obalLOB2NumProdClinician13">obal!$E$322:$G$322</definedName>
    <definedName name="obalLOB2NumProdClinician14">obal!$E$323:$G$323</definedName>
    <definedName name="obalLOB2NumProdClinician15">obal!$E$324:$G$324</definedName>
    <definedName name="obalLOB2NumProdClinician16">obal!$E$325:$G$325</definedName>
    <definedName name="obalLOB2PartEmpOverhead">obal!$E$247:$G$247</definedName>
    <definedName name="obalLOB2Prod2Seg1Perc">obal!$E$242:$G$242</definedName>
    <definedName name="obalLOB2Prod2Seg2Perc">obal!$E$243:$G$243</definedName>
    <definedName name="obalLOB2Prod2Seg3Perc">obal!$E$244:$G$244</definedName>
    <definedName name="obalLOB2Rev">obal!$E$248:$G$248</definedName>
    <definedName name="obalLOB2RevGrowth">obal!$E$249:$G$249</definedName>
    <definedName name="obalLOB2Seg1Perc">obal!$E$224:$G$224</definedName>
    <definedName name="obalLOB2Seg2Perc">obal!$E$225:$G$225</definedName>
    <definedName name="obalLOB2Seg3Perc">obal!$E$226:$G$226</definedName>
    <definedName name="obalLOB2Stars">obal!$E$250:$G$250</definedName>
    <definedName name="obalR2_Paste">obal!$K$14:$M$14</definedName>
    <definedName name="obalR2CSAT">obal!$K$19:$M$19</definedName>
    <definedName name="obalR2ESAT">obal!$K$18:$M$18</definedName>
    <definedName name="obalR2LOB1AddFullTime">obal!$K$53:$M$53</definedName>
    <definedName name="obalR2LOB1AddPartTime">obal!$K$54:$M$54</definedName>
    <definedName name="obalR2LOB1AdminTimeClinician1">obal!$K$196:$M$196</definedName>
    <definedName name="obalR2LOB1AdminTimeClinician10">obal!$K$205:$M$205</definedName>
    <definedName name="obalR2LOB1AdminTimeClinician11">obal!$K$206:$M$206</definedName>
    <definedName name="obalR2LOB1AdminTimeClinician12">obal!$K$207:$M$207</definedName>
    <definedName name="obalR2LOB1AdminTimeClinician2">obal!$K$197:$M$197</definedName>
    <definedName name="obalR2LOB1AdminTimeClinician3">obal!$K$198:$M$198</definedName>
    <definedName name="obalR2LOB1AdminTimeClinician4">obal!$K$199:$M$199</definedName>
    <definedName name="obalR2LOB1AdminTimeClinician5">obal!$K$200:$M$200</definedName>
    <definedName name="obalR2LOB1AdminTimeClinician6">obal!$K$201:$M$201</definedName>
    <definedName name="obalR2LOB1AdminTimeClinician7">obal!$K$202:$M$202</definedName>
    <definedName name="obalR2LOB1AdminTimeClinician8">obal!$K$203:$M$203</definedName>
    <definedName name="obalR2LOB1AdminTimeClinician9">obal!$K$204:$M$204</definedName>
    <definedName name="obalR2LOB1AvgBaseProdClinician11">obal!$K$145:$M$145</definedName>
    <definedName name="obalR2LOB1AvgBaseProdClinician12">obal!$K$146:$M$146</definedName>
    <definedName name="obalR2LOB1AvgMissClinician1">obal!$K$210:$M$210</definedName>
    <definedName name="obalR2LOB1AvgMissClinician10">obal!$K$219:$M$219</definedName>
    <definedName name="obalR2LOB1AvgMissClinician11">obal!$K$220:$M$220</definedName>
    <definedName name="obalR2LOB1AvgMissClinician12">obal!$K$221:$M$221</definedName>
    <definedName name="obalR2LOB1AvgMissClinician2">obal!$K$211:$M$211</definedName>
    <definedName name="obalR2LOB1AvgMissClinician3">obal!$K$212:$M$212</definedName>
    <definedName name="obalR2LOB1AvgMissClinician4">obal!$K$213:$M$213</definedName>
    <definedName name="obalR2LOB1AvgMissClinician5">obal!$K$214:$M$214</definedName>
    <definedName name="obalR2LOB1AvgMissClinician6">obal!$K$215:$M$215</definedName>
    <definedName name="obalR2LOB1AvgMissClinician7">obal!$K$216:$M$216</definedName>
    <definedName name="obalR2LOB1AvgMissClinician8">obal!$K$217:$M$217</definedName>
    <definedName name="obalR2LOB1AvgMissClinician9">obal!$K$218:$M$218</definedName>
    <definedName name="obalR2LOB1AvgMissPercClinician1">obal!$K$177:$M$177</definedName>
    <definedName name="obalR2LOB1AvgMissPercClinician10">obal!$K$186:$M$186</definedName>
    <definedName name="obalR2LOB1AvgMissPercClinician11">obal!$K$187:$M$187</definedName>
    <definedName name="obalR2LOB1AvgMissPercClinician12">obal!$K$188:$M$188</definedName>
    <definedName name="obalR2LOB1AvgMissPercClinician13">obal!$K$189:$M$189</definedName>
    <definedName name="obalR2LOB1AvgMissPercClinician14">obal!$K$190:$M$190</definedName>
    <definedName name="obalR2LOB1AvgMissPercClinician15">obal!$K$191:$M$191</definedName>
    <definedName name="obalR2LOB1AvgMissPercClinician16">obal!$K$192:$M$192</definedName>
    <definedName name="obalR2LOB1AvgMissPercClinician2">obal!$K$178:$M$178</definedName>
    <definedName name="obalR2LOB1AvgMissPercClinician3">obal!$K$179:$M$179</definedName>
    <definedName name="obalR2LOB1AvgMissPercClinician4">obal!$K$180:$M$180</definedName>
    <definedName name="obalR2LOB1AvgMissPercClinician5">obal!$K$181:$M$181</definedName>
    <definedName name="obalR2LOB1AvgMissPercClinician6">obal!$K$182:$M$182</definedName>
    <definedName name="obalR2LOB1AvgMissPercClinician7">obal!$K$183:$M$183</definedName>
    <definedName name="obalR2LOB1AvgMissPercClinician8">obal!$K$184:$M$184</definedName>
    <definedName name="obalR2LOB1AvgMissPercClinician9">obal!$K$185:$M$185</definedName>
    <definedName name="obalR2LOB1AvgProdClinician1">obal!$K$129:$M$129</definedName>
    <definedName name="obalR2LOB1AvgProdClinician10">obal!$K$138:$M$138</definedName>
    <definedName name="obalR2LOB1AvgProdClinician11">obal!$K$139:$M$139</definedName>
    <definedName name="obalR2LOB1AvgProdClinician12">obal!$K$140:$M$140</definedName>
    <definedName name="obalR2LOB1AvgProdClinician13">obal!$K$141:$M$141</definedName>
    <definedName name="obalR2LOB1AvgProdClinician14">obal!$K$142:$M$142</definedName>
    <definedName name="obalR2LOB1AvgProdClinician15">obal!$K$143:$M$143</definedName>
    <definedName name="obalR2LOB1AvgProdClinician16">obal!$K$144:$M$144</definedName>
    <definedName name="obalR2LOB1AvgProdClinician2">obal!$K$130:$M$130</definedName>
    <definedName name="obalR2LOB1AvgProdClinician3">obal!$K$131:$M$131</definedName>
    <definedName name="obalR2LOB1AvgProdClinician4">obal!$K$132:$M$132</definedName>
    <definedName name="obalR2LOB1AvgProdClinician5">obal!$K$133:$M$133</definedName>
    <definedName name="obalR2LOB1AvgProdClinician6">obal!$K$134:$M$134</definedName>
    <definedName name="obalR2LOB1AvgProdClinician7">obal!$K$135:$M$135</definedName>
    <definedName name="obalR2LOB1AvgProdClinician8">obal!$K$136:$M$136</definedName>
    <definedName name="obalR2LOB1AvgProdClinician9">obal!$K$137:$M$137</definedName>
    <definedName name="obalR2LOB1AvgUtilization">obal!$K$59:$M$59</definedName>
    <definedName name="obalR2LOB1BaseProdClinician13">obal!$K$123:$M$123</definedName>
    <definedName name="obalR2LOB1BaseProdClinician14">obal!$K$124:$M$124</definedName>
    <definedName name="obalR2LOB1BaseProdClinician15">obal!$K$125:$M$125</definedName>
    <definedName name="obalR2LOB1BaseProdClinician16">obal!$K$126:$M$126</definedName>
    <definedName name="obalR2LOB1BDEngage">obal!$K$51:$M$51</definedName>
    <definedName name="obalR2LOB1ClinicianAvgMissPerc">obal!$K$193:$M$193</definedName>
    <definedName name="obalR2LOB1CSAT">obal!$K$50:$M$50</definedName>
    <definedName name="obalR2LOB1Disc1Retention">obal!$K$55:$M$55</definedName>
    <definedName name="obalR2LOB1Disc2Retention">obal!$K$56:$M$56</definedName>
    <definedName name="obalR2LOB1Disc3Retention">obal!$K$57:$M$57</definedName>
    <definedName name="obalR2LOB1Disc4Retention">obal!$K$58:$M$58</definedName>
    <definedName name="obalR2LOB1DiscClinician1">obal!$K$71:$M$71</definedName>
    <definedName name="obalR2LOB1DiscClinician10">obal!$K$80:$M$80</definedName>
    <definedName name="obalR2LOB1DiscClinician11">obal!$K$81:$M$81</definedName>
    <definedName name="obalR2LOB1DiscClinician12">obal!$K$82:$M$82</definedName>
    <definedName name="obalR2LOB1DiscClinician13">obal!$K$83:$M$83</definedName>
    <definedName name="obalR2LOB1DiscClinician14">obal!$K$84:$M$84</definedName>
    <definedName name="obalR2LOB1DiscClinician15">obal!$K$85:$M$85</definedName>
    <definedName name="obalR2LOB1DiscClinician16">obal!$K$86:$M$86</definedName>
    <definedName name="obalR2LOB1DiscClinician2">obal!$K$72:$M$72</definedName>
    <definedName name="obalR2LOB1DiscClinician3">obal!$K$73:$M$73</definedName>
    <definedName name="obalR2LOB1DiscClinician4">obal!$K$74:$M$74</definedName>
    <definedName name="obalR2LOB1DiscClinician5">obal!$K$75:$M$75</definedName>
    <definedName name="obalR2LOB1DiscClinician6">obal!$K$76:$M$76</definedName>
    <definedName name="obalR2LOB1DiscClinician7">obal!$K$77:$M$77</definedName>
    <definedName name="obalR2LOB1DiscClinician8">obal!$K$78:$M$78</definedName>
    <definedName name="obalR2LOB1DiscClinician9">obal!$K$79:$M$79</definedName>
    <definedName name="obalR2LOB1DOOTime1">obal!$K$62:$M$62</definedName>
    <definedName name="obalR2LOB1DOOTime2">obal!$K$63:$M$63</definedName>
    <definedName name="obalR2LOB1DOOTime3">obal!$K$64:$M$64</definedName>
    <definedName name="obalR2LOB1DOOTime4">obal!$K$65:$M$65</definedName>
    <definedName name="obalR2LOB1DOOTime5">obal!$K$66:$M$66</definedName>
    <definedName name="obalR2LOB1DOOTime6">obal!$K$67:$M$67</definedName>
    <definedName name="obalR2LOB1DOOTotalTime">obal!$K$68:$M$68</definedName>
    <definedName name="obalR2LOB1DOOUtilization">obal!$K$52:$M$52</definedName>
    <definedName name="obalR2LOB1Emp1CostPVisit">obal!$K$37:$M$37</definedName>
    <definedName name="obalR2LOB1Emp1Seg1RevPVisit">obal!$K$28:$M$28</definedName>
    <definedName name="obalR2LOB1Emp1Seg2RevPVisit">obal!$K$29:$M$29</definedName>
    <definedName name="obalR2LOB1Emp1Seg3RevPVisit">obal!$K$30:$M$30</definedName>
    <definedName name="obalR2LOB1Emp1VisitPEp">obal!$K$25:$M$25</definedName>
    <definedName name="obalR2LOB1Emp2CostPVisit">obal!$K$38:$M$38</definedName>
    <definedName name="obalR2LOB1Emp2Seg1RevPVisit">obal!$K$31:$M$31</definedName>
    <definedName name="obalR2LOB1Emp2Seg2RevPVisit">obal!$K$32:$M$32</definedName>
    <definedName name="obalR2LOB1Emp2Seg3RevPVisit">obal!$K$33:$M$33</definedName>
    <definedName name="obalR2LOB1Emp2VisitPEp">obal!$K$26:$M$26</definedName>
    <definedName name="obalR2LOB1Emp3CostPVisit">obal!$K$39:$M$39</definedName>
    <definedName name="obalR2LOB1Emp3Seg1RevPVisit">obal!$K$34:$M$34</definedName>
    <definedName name="obalR2LOB1Emp3Seg2RevPVisit">obal!$K$35:$M$35</definedName>
    <definedName name="obalR2LOB1Emp3Seg3RevPVisit">obal!$K$36:$M$36</definedName>
    <definedName name="obalR2LOB1Emp3VisitPEp">obal!$K$27:$M$27</definedName>
    <definedName name="obalR2LOB1EmpStatClinician1">obal!$K$89:$M$89</definedName>
    <definedName name="obalR2LOB1EmpStatClinician10">obal!$K$98:$M$98</definedName>
    <definedName name="obalR2LOB1EmpStatClinician11">obal!$K$99:$M$99</definedName>
    <definedName name="obalR2LOB1EmpStatClinician12">obal!$K$100:$M$100</definedName>
    <definedName name="obalR2LOB1EmpStatClinician13">obal!$K$101:$M$101</definedName>
    <definedName name="obalR2LOB1EmpStatClinician14">obal!$K$102:$M$102</definedName>
    <definedName name="obalR2LOB1EmpStatClinician15">obal!$K$103:$M$103</definedName>
    <definedName name="obalR2LOB1EmpStatClinician16">obal!$K$104:$M$104</definedName>
    <definedName name="obalR2LOB1EmpStatClinician2">obal!$K$90:$M$90</definedName>
    <definedName name="obalR2LOB1EmpStatClinician3">obal!$K$91:$M$91</definedName>
    <definedName name="obalR2LOB1EmpStatClinician4">obal!$K$92:$M$92</definedName>
    <definedName name="obalR2LOB1EmpStatClinician5">obal!$K$93:$M$93</definedName>
    <definedName name="obalR2LOB1EmpStatClinician6">obal!$K$94:$M$94</definedName>
    <definedName name="obalR2LOB1EmpStatClinician7">obal!$K$95:$M$95</definedName>
    <definedName name="obalR2LOB1EmpStatClinician8">obal!$K$96:$M$96</definedName>
    <definedName name="obalR2LOB1EmpStatClinician9">obal!$K$97:$M$97</definedName>
    <definedName name="obalR2LOB1ESAT">obal!$K$49:$M$49</definedName>
    <definedName name="obalR2LOB1FullEmpOverhead">obal!$K$44:$M$44</definedName>
    <definedName name="obalR2LOB1MarketShare">obal!$K$43:$M$43</definedName>
    <definedName name="obalR2LOB1MileageClinician1">obal!$K$163:$M$163</definedName>
    <definedName name="obalR2LOB1MileageClinician10">obal!$K$172:$M$172</definedName>
    <definedName name="obalR2LOB1MileageClinician11">obal!$K$173:$M$173</definedName>
    <definedName name="obalR2LOB1MileageClinician12">obal!$K$174:$M$174</definedName>
    <definedName name="obalR2LOB1MileageClinician2">obal!$K$164:$M$164</definedName>
    <definedName name="obalR2LOB1MileageClinician3">obal!$K$165:$M$165</definedName>
    <definedName name="obalR2LOB1MileageClinician4">obal!$K$166:$M$166</definedName>
    <definedName name="obalR2LOB1MileageClinician5">obal!$K$167:$M$167</definedName>
    <definedName name="obalR2LOB1MileageClinician6">obal!$K$168:$M$168</definedName>
    <definedName name="obalR2LOB1MileageClinician7">obal!$K$169:$M$169</definedName>
    <definedName name="obalR2LOB1MileageClinician8">obal!$K$170:$M$170</definedName>
    <definedName name="obalR2LOB1MileageClinician9">obal!$K$171:$M$171</definedName>
    <definedName name="obalR2LOB1MileagePVisitClinician1">obal!$K$149:$M$149</definedName>
    <definedName name="obalR2LOB1MileagePVisitClinician10">obal!$K$158:$M$158</definedName>
    <definedName name="obalR2LOB1MileagePVisitClinician11">obal!$K$159:$M$159</definedName>
    <definedName name="obalR2LOB1MileagePVisitClinician12">obal!$K$160:$M$160</definedName>
    <definedName name="obalR2LOB1MileagePVisitClinician2">obal!$K$150:$M$150</definedName>
    <definedName name="obalR2LOB1MileagePVisitClinician3">obal!$K$151:$M$151</definedName>
    <definedName name="obalR2LOB1MileagePVisitClinician4">obal!$K$152:$M$152</definedName>
    <definedName name="obalR2LOB1MileagePVisitClinician5">obal!$K$153:$M$153</definedName>
    <definedName name="obalR2LOB1MileagePVisitClinician6">obal!$K$154:$M$154</definedName>
    <definedName name="obalR2LOB1MileagePVisitClinician7">obal!$K$155:$M$155</definedName>
    <definedName name="obalR2LOB1MileagePVisitClinician8">obal!$K$156:$M$156</definedName>
    <definedName name="obalR2LOB1MileagePVisitClinician9">obal!$K$157:$M$157</definedName>
    <definedName name="obalR2LOB1NameClinician1">obal!$K$107:$M$107</definedName>
    <definedName name="obalR2LOB1NameClinician10">obal!$K$116:$M$116</definedName>
    <definedName name="obalR2LOB1NameClinician11">obal!$K$117:$M$117</definedName>
    <definedName name="obalR2LOB1NameClinician12">obal!$K$118:$M$118</definedName>
    <definedName name="obalR2LOB1NameClinician2">obal!$K$108:$M$108</definedName>
    <definedName name="obalR2LOB1NameClinician3">obal!$K$109:$M$109</definedName>
    <definedName name="obalR2LOB1NameClinician4">obal!$K$110:$M$110</definedName>
    <definedName name="obalR2LOB1NameClinician5">obal!$K$111:$M$111</definedName>
    <definedName name="obalR2LOB1NameClinician6">obal!$K$112:$M$112</definedName>
    <definedName name="obalR2LOB1NameClinician7">obal!$K$113:$M$113</definedName>
    <definedName name="obalR2LOB1NameClinician8">obal!$K$114:$M$114</definedName>
    <definedName name="obalR2LOB1NameClinician9">obal!$K$115:$M$115</definedName>
    <definedName name="obalR2LOB1NumProdClinician13">obal!$K$119:$M$119</definedName>
    <definedName name="obalR2LOB1NumProdClinician14">obal!$K$120:$M$120</definedName>
    <definedName name="obalR2LOB1NumProdClinician15">obal!$K$121:$M$121</definedName>
    <definedName name="obalR2LOB1NumProdClinician16">obal!$K$122:$M$122</definedName>
    <definedName name="obalR2LOB1PartEmpOverhead">obal!$K$45:$M$45</definedName>
    <definedName name="obalR2LOB1Prod2Seg1Perc">obal!$K$40:$M$40</definedName>
    <definedName name="obalR2LOB1Prod2Seg2Perc">obal!$K$41:$M$41</definedName>
    <definedName name="obalR2LOB1Prod2Seg3Perc">obal!$K$42:$M$42</definedName>
    <definedName name="obalR2LOB1Rev">obal!$K$46:$M$46</definedName>
    <definedName name="obalR2LOB1RevGrowth">obal!$K$47:$M$47</definedName>
    <definedName name="obalR2LOB1Seg1Perc">obal!$K$22:$M$22</definedName>
    <definedName name="obalR2LOB1Seg2Perc">obal!$K$23:$M$23</definedName>
    <definedName name="obalR2LOB1Seg3Perc">obal!$K$24:$M$24</definedName>
    <definedName name="obalR2LOB1Stars">obal!$K$48:$M$48</definedName>
    <definedName name="obalR2LOB2AddFullTime">obal!$K$255:$M$255</definedName>
    <definedName name="obalR2LOB2AddPartTime">obal!$K$256:$M$256</definedName>
    <definedName name="obalR2LOB2AdminTimeClinician1">obal!$K$399:$M$399</definedName>
    <definedName name="obalR2LOB2AdminTimeClinician10">obal!$K$408:$M$408</definedName>
    <definedName name="obalR2LOB2AdminTimeClinician11">obal!$K$409:$M$409</definedName>
    <definedName name="obalR2LOB2AdminTimeClinician12">obal!$K$410:$M$410</definedName>
    <definedName name="obalR2LOB2AdminTimeClinician2">obal!$K$400:$M$400</definedName>
    <definedName name="obalR2LOB2AdminTimeClinician3">obal!$K$401:$M$401</definedName>
    <definedName name="obalR2LOB2AdminTimeClinician4">obal!$K$402:$M$402</definedName>
    <definedName name="obalR2LOB2AdminTimeClinician5">obal!$K$403:$M$403</definedName>
    <definedName name="obalR2LOB2AdminTimeClinician6">obal!$K$404:$M$404</definedName>
    <definedName name="obalR2LOB2AdminTimeClinician7">obal!$K$405:$M$405</definedName>
    <definedName name="obalR2LOB2AdminTimeClinician8">obal!$K$406:$M$406</definedName>
    <definedName name="obalR2LOB2AdminTimeClinician9">obal!$K$407:$M$407</definedName>
    <definedName name="obalR2LOB2AvgBaseProdClinician11">obal!$K$348:$M$348</definedName>
    <definedName name="obalR2LOB2AvgBaseProdClinician12">obal!$K$349:$M$349</definedName>
    <definedName name="obalR2LOB2AvgMissPercClinician1">obal!$K$380:$M$380</definedName>
    <definedName name="obalR2LOB2AvgMissPercClinician10">obal!$K$389:$M$389</definedName>
    <definedName name="obalR2LOB2AvgMissPercClinician11">obal!$K$390:$M$390</definedName>
    <definedName name="obalR2LOB2AvgMissPercClinician12">obal!$K$391:$M$391</definedName>
    <definedName name="obalR2LOB2AvgMissPercClinician13">obal!$K$392:$M$392</definedName>
    <definedName name="obalR2LOB2AvgMissPercClinician14">obal!$K$393:$M$393</definedName>
    <definedName name="obalR2LOB2AvgMissPercClinician15">obal!$K$394:$M$394</definedName>
    <definedName name="obalR2LOB2AvgMissPercClinician16">obal!$K$395:$M$395</definedName>
    <definedName name="obalR2LOB2AvgMissPercClinician2">obal!$K$381:$M$381</definedName>
    <definedName name="obalR2LOB2AvgMissPercClinician3">obal!$K$382:$M$382</definedName>
    <definedName name="obalR2LOB2AvgMissPercClinician4">obal!$K$383:$M$383</definedName>
    <definedName name="obalR2LOB2AvgMissPercClinician5">obal!$K$384:$M$384</definedName>
    <definedName name="obalR2LOB2AvgMissPercClinician6">obal!$K$385:$M$385</definedName>
    <definedName name="obalR2LOB2AvgMissPercClinician7">obal!$K$386:$M$386</definedName>
    <definedName name="obalR2LOB2AvgMissPercClinician8">obal!$K$387:$M$387</definedName>
    <definedName name="obalR2LOB2AvgMissPercClinician9">obal!$K$388:$M$388</definedName>
    <definedName name="obalR2LOB2AvgProdClinician1">obal!$K$332:$M$332</definedName>
    <definedName name="obalR2LOB2AvgProdClinician10">obal!$K$341:$M$341</definedName>
    <definedName name="obalR2LOB2AvgProdClinician11">obal!$K$342:$M$342</definedName>
    <definedName name="obalR2LOB2AvgProdClinician12">obal!$K$343:$M$343</definedName>
    <definedName name="obalR2LOB2AvgProdClinician13">obal!$K$344:$M$344</definedName>
    <definedName name="obalR2LOB2AvgProdClinician14">obal!$K$345:$M$345</definedName>
    <definedName name="obalR2LOB2AvgProdClinician15">obal!$K$346:$M$346</definedName>
    <definedName name="obalR2LOB2AvgProdClinician16">obal!$K$347:$M$347</definedName>
    <definedName name="obalR2LOB2AvgProdClinician2">obal!$K$333:$M$333</definedName>
    <definedName name="obalR2LOB2AvgProdClinician3">obal!$K$334:$M$334</definedName>
    <definedName name="obalR2LOB2AvgProdClinician4">obal!$K$335:$M$335</definedName>
    <definedName name="obalR2LOB2AvgProdClinician5">obal!$K$336:$M$336</definedName>
    <definedName name="obalR2LOB2AvgProdClinician6">obal!$K$337:$M$337</definedName>
    <definedName name="obalR2LOB2AvgProdClinician7">obal!$K$338:$M$338</definedName>
    <definedName name="obalR2LOB2AvgProdClinician8">obal!$K$339:$M$339</definedName>
    <definedName name="obalR2LOB2AvgProdClinician9">obal!$K$340:$M$340</definedName>
    <definedName name="obalR2LOB2AvgUtilization">obal!$K$261:$M$261</definedName>
    <definedName name="obalR2LOB2BaseProdClinician13">obal!$K$326:$M$326</definedName>
    <definedName name="obalR2LOB2BaseProdClinician14">obal!$K$327:$M$327</definedName>
    <definedName name="obalR2LOB2BaseProdClinician15">obal!$K$328:$M$328</definedName>
    <definedName name="obalR2LOB2BaseProdClinician16">obal!$K$329:$M$329</definedName>
    <definedName name="obalR2LOB2BDEngage">obal!$K$253:$M$253</definedName>
    <definedName name="obalR2LOB2ClinicianAvgMissPerc">obal!$K$396:$M$396</definedName>
    <definedName name="obalR2LOB2CSAT">obal!$K$252:$M$252</definedName>
    <definedName name="obalR2LOB2Disc1Retention">obal!$K$257:$M$257</definedName>
    <definedName name="obalR2LOB2Disc2Retention">obal!$K$258:$M$258</definedName>
    <definedName name="obalR2LOB2Disc3Retention">obal!$K$259:$M$259</definedName>
    <definedName name="obalR2LOB2Disc4Retention">obal!$K$260:$M$260</definedName>
    <definedName name="obalR2LOB2DiscClinician1">obal!$K$273:$M$273</definedName>
    <definedName name="obalR2LOB2DiscClinician10">obal!$K$282:$M$282</definedName>
    <definedName name="obalR2LOB2DiscClinician11">obal!$K$283:$M$283</definedName>
    <definedName name="obalR2LOB2DiscClinician12">obal!$K$284:$M$284</definedName>
    <definedName name="obalR2LOB2DiscClinician13">obal!$K$285:$M$285</definedName>
    <definedName name="obalR2LOB2DiscClinician14">obal!$K$286:$M$286</definedName>
    <definedName name="obalR2LOB2DiscClinician15">obal!$K$287:$M$287</definedName>
    <definedName name="obalR2LOB2DiscClinician16">obal!$K$288:$M$288</definedName>
    <definedName name="obalR2LOB2DiscClinician2">obal!$K$274:$M$274</definedName>
    <definedName name="obalR2LOB2DiscClinician3">obal!$K$275:$M$275</definedName>
    <definedName name="obalR2LOB2DiscClinician4">obal!$K$276:$M$276</definedName>
    <definedName name="obalR2LOB2DiscClinician5">obal!$K$277:$M$277</definedName>
    <definedName name="obalR2LOB2DiscClinician6">obal!$K$278:$M$278</definedName>
    <definedName name="obalR2LOB2DiscClinician7">obal!$K$279:$M$279</definedName>
    <definedName name="obalR2LOB2DiscClinician8">obal!$K$280:$M$280</definedName>
    <definedName name="obalR2LOB2DiscClinician9">obal!$K$281:$M$281</definedName>
    <definedName name="obalR2LOB2DOOTime1">obal!$K$264:$M$264</definedName>
    <definedName name="obalR2LOB2DOOTime2">obal!$K$265:$M$265</definedName>
    <definedName name="obalR2LOB2DOOTime3">obal!$K$266:$M$266</definedName>
    <definedName name="obalR2LOB2DOOTime4">obal!$K$267:$M$267</definedName>
    <definedName name="obalR2LOB2DOOTime5">obal!$K$268:$M$268</definedName>
    <definedName name="obalR2LOB2DOOTime6">obal!$K$269:$M$269</definedName>
    <definedName name="obalR2LOB2DOOTotalTime">obal!$K$270:$M$270</definedName>
    <definedName name="obalR2LOB2DOOUtilization">obal!$K$254:$M$254</definedName>
    <definedName name="obalR2LOB2Emp1CostPVisit">obal!$K$239:$M$239</definedName>
    <definedName name="obalR2LOB2Emp1Seg1RevPVisit">obal!$K$230:$M$230</definedName>
    <definedName name="obalR2LOB2Emp1Seg2RevPVisit">obal!$K$231:$M$231</definedName>
    <definedName name="obalR2LOB2Emp1Seg3RevPVisit">obal!$K$232:$M$232</definedName>
    <definedName name="obalR2LOB2Emp1VisitPEp">obal!$K$227:$M$227</definedName>
    <definedName name="obalR2LOB2Emp2CostPVisit">obal!$K$240:$M$240</definedName>
    <definedName name="obalR2LOB2Emp2Seg1RevPVisit">obal!$K$233:$M$233</definedName>
    <definedName name="obalR2LOB2Emp2Seg2RevPVisit">obal!$K$234:$M$234</definedName>
    <definedName name="obalR2LOB2Emp2Seg3RevPVisit">obal!$K$235:$M$235</definedName>
    <definedName name="obalR2LOB2Emp2VisitPEp">obal!$K$228:$M$228</definedName>
    <definedName name="obalR2LOB2Emp3CostPVisit">obal!$K$241:$M$241</definedName>
    <definedName name="obalR2LOB2Emp3Seg1RevPVisit">obal!$K$236:$M$236</definedName>
    <definedName name="obalR2LOB2Emp3Seg2RevPVisit">obal!$K$237:$M$237</definedName>
    <definedName name="obalR2LOB2Emp3Seg3RevPVisit">obal!$K$238:$M$238</definedName>
    <definedName name="obalR2LOB2Emp3VisitPEp">obal!$K$229:$M$229</definedName>
    <definedName name="obalR2LOB2EmpStatClinician1">obal!$K$291:$M$291</definedName>
    <definedName name="obalR2LOB2EmpStatClinician10">obal!$K$300:$M$300</definedName>
    <definedName name="obalR2LOB2EmpStatClinician11">obal!$K$301:$M$301</definedName>
    <definedName name="obalR2LOB2EmpStatClinician12">obal!$K$302:$M$302</definedName>
    <definedName name="obalR2LOB2EmpStatClinician13">obal!$K$303:$M$303</definedName>
    <definedName name="obalR2LOB2EmpStatClinician14">obal!$K$304:$M$304</definedName>
    <definedName name="obalR2LOB2EmpStatClinician15">obal!$K$305:$M$305</definedName>
    <definedName name="obalR2LOB2EmpStatClinician16">obal!$K$306:$M$306</definedName>
    <definedName name="obalR2LOB2EmpStatClinician2">obal!$K$292:$M$292</definedName>
    <definedName name="obalR2LOB2EmpStatClinician3">obal!$K$293:$M$293</definedName>
    <definedName name="obalR2LOB2EmpStatClinician4">obal!$K$294:$M$294</definedName>
    <definedName name="obalR2LOB2EmpStatClinician5">obal!$K$295:$M$295</definedName>
    <definedName name="obalR2LOB2EmpStatClinician6">obal!$K$296:$M$296</definedName>
    <definedName name="obalR2LOB2EmpStatClinician7">obal!$K$297:$M$297</definedName>
    <definedName name="obalR2LOB2EmpStatClinician8">obal!$K$298:$M$298</definedName>
    <definedName name="obalR2LOB2EmpStatClinician9">obal!$K$299:$M$299</definedName>
    <definedName name="obalR2LOB2ESAT">obal!$K$251:$M$251</definedName>
    <definedName name="obalR2LOB2FullEmpOverhead">obal!$K$246:$M$246</definedName>
    <definedName name="obalR2LOB2MarketShare">obal!$K$245:$M$245</definedName>
    <definedName name="obalR2LOB2MileageClinician1">obal!$K$366:$M$366</definedName>
    <definedName name="obalR2LOB2MileageClinician10">obal!$K$375:$M$375</definedName>
    <definedName name="obalR2LOB2MileageClinician11">obal!$K$376:$M$376</definedName>
    <definedName name="obalR2LOB2MileageClinician12">obal!$K$377:$M$377</definedName>
    <definedName name="obalR2LOB2MileageClinician2">obal!$K$367:$M$367</definedName>
    <definedName name="obalR2LOB2MileageClinician3">obal!$K$368:$M$368</definedName>
    <definedName name="obalR2LOB2MileageClinician4">obal!$K$369:$M$369</definedName>
    <definedName name="obalR2LOB2MileageClinician5">obal!$K$370:$M$370</definedName>
    <definedName name="obalR2LOB2MileageClinician6">obal!$K$371:$M$371</definedName>
    <definedName name="obalR2LOB2MileageClinician7">obal!$K$372:$M$372</definedName>
    <definedName name="obalR2LOB2MileageClinician8">obal!$K$373:$M$373</definedName>
    <definedName name="obalR2LOB2MileageClinician9">obal!$K$374:$M$374</definedName>
    <definedName name="obalR2LOB2MileagePVisitClinician1">obal!$K$352:$M$352</definedName>
    <definedName name="obalR2LOB2MileagePVisitClinician10">obal!$K$361:$M$361</definedName>
    <definedName name="obalR2LOB2MileagePVisitClinician11">obal!$K$362:$M$362</definedName>
    <definedName name="obalR2LOB2MileagePVisitClinician12">obal!$K$363:$M$363</definedName>
    <definedName name="obalR2LOB2MileagePVisitClinician2">obal!$K$353:$M$353</definedName>
    <definedName name="obalR2LOB2MileagePVisitClinician3">obal!$K$354:$M$354</definedName>
    <definedName name="obalR2LOB2MileagePVisitClinician4">obal!$K$355:$M$355</definedName>
    <definedName name="obalR2LOB2MileagePVisitClinician5">obal!$K$356:$M$356</definedName>
    <definedName name="obalR2LOB2MileagePVisitClinician6">obal!$K$357:$M$357</definedName>
    <definedName name="obalR2LOB2MileagePVisitClinician7">obal!$K$358:$M$358</definedName>
    <definedName name="obalR2LOB2MileagePVisitClinician8">obal!$K$359:$M$359</definedName>
    <definedName name="obalR2LOB2MileagePVisitClinician9">obal!$K$360:$M$360</definedName>
    <definedName name="obalR2LOB2NameClinician1">obal!$K$310:$M$310</definedName>
    <definedName name="obalR2LOB2NameClinician10">obal!$K$319:$M$319</definedName>
    <definedName name="obalR2LOB2NameClinician11">obal!$K$320:$M$320</definedName>
    <definedName name="obalR2LOB2NameClinician12">obal!$K$321:$M$321</definedName>
    <definedName name="obalR2LOB2NameClinician2">obal!$K$311:$M$311</definedName>
    <definedName name="obalR2LOB2NameClinician3">obal!$K$312:$M$312</definedName>
    <definedName name="obalR2LOB2NameClinician4">obal!$K$313:$M$313</definedName>
    <definedName name="obalR2LOB2NameClinician5">obal!$K$314:$M$314</definedName>
    <definedName name="obalR2LOB2NameClinician6">obal!$K$315:$M$315</definedName>
    <definedName name="obalR2LOB2NameClinician7">obal!$K$316:$M$316</definedName>
    <definedName name="obalR2LOB2NameClinician8">obal!$K$317:$M$317</definedName>
    <definedName name="obalR2LOB2NameClinician9">obal!$K$318:$M$318</definedName>
    <definedName name="obalR2LOB2NumProdClinician13">obal!$K$322:$M$322</definedName>
    <definedName name="obalR2LOB2NumProdClinician14">obal!$K$323:$M$323</definedName>
    <definedName name="obalR2LOB2NumProdClinician15">obal!$K$324:$M$324</definedName>
    <definedName name="obalR2LOB2NumProdClinician16">obal!$K$325:$M$325</definedName>
    <definedName name="obalR2LOB2PartEmpOverhead">obal!$K$247:$M$247</definedName>
    <definedName name="obalR2LOB2Prod2Seg1Perc">obal!$K$242:$M$242</definedName>
    <definedName name="obalR2LOB2Prod2Seg2Perc">obal!$K$243:$M$243</definedName>
    <definedName name="obalR2LOB2Prod2Seg3Perc">obal!$K$244:$M$244</definedName>
    <definedName name="obalR2LOB2Rev">obal!$K$248:$M$248</definedName>
    <definedName name="obalR2LOB2RevGrowth">obal!$K$249:$M$249</definedName>
    <definedName name="obalR2LOB2Seg1Perc">obal!$K$224:$M$224</definedName>
    <definedName name="obalR2LOB2Seg2Perc">obal!$K$225:$M$225</definedName>
    <definedName name="obalR2LOB2Seg3Perc">obal!$K$226:$M$226</definedName>
    <definedName name="obalR2LOB2Stars">obal!$K$250:$M$250</definedName>
    <definedName name="obalR2Rev">obal!$K$15:$M$15</definedName>
    <definedName name="obalR2RevGrowth">obal!$K$16:$M$16</definedName>
    <definedName name="obalR2SI1CodeR1">obal!$K$413:$M$413</definedName>
    <definedName name="obalR2SI1CodeR2">obal!$K$419:$M$419</definedName>
    <definedName name="obalR2SI1CodeR3">obal!$K$425:$M$425</definedName>
    <definedName name="obalR2SI2CodeR1">obal!$K$414:$M$414</definedName>
    <definedName name="obalR2SI2CodeR2">obal!$K$420:$M$420</definedName>
    <definedName name="obalR2SI2CodeR3">obal!$K$426:$M$426</definedName>
    <definedName name="obalR2SI3CodeR1">obal!$K$415:$M$415</definedName>
    <definedName name="obalR2SI3CodeR2">obal!$K$421:$M$421</definedName>
    <definedName name="obalR2SI3CodeR3">obal!$K$427:$M$427</definedName>
    <definedName name="obalR2SI4CodeR1">obal!$K$416:$M$416</definedName>
    <definedName name="obalR2SI4CodeR2">obal!$K$422:$M$422</definedName>
    <definedName name="obalR2SI4CodeR3">obal!$K$428:$M$428</definedName>
    <definedName name="obalR2SI5CodeR1">obal!$K$417:$M$417</definedName>
    <definedName name="obalR2SI5CodeR2">obal!$K$423:$M$423</definedName>
    <definedName name="obalR2SI5CodeR3">obal!$K$429:$M$429</definedName>
    <definedName name="obalR2Stars">obal!$K$17:$M$17</definedName>
    <definedName name="obalRev">obal!$E$15:$G$15</definedName>
    <definedName name="obalRevGrowth">obal!$E$16:$G$16</definedName>
    <definedName name="obalSI1CodeR1">obal!$E$413:$G$413</definedName>
    <definedName name="obalSI1CodeR2">obal!$E$419:$G$419</definedName>
    <definedName name="obalSI1CodeR3">obal!$E$425:$G$425</definedName>
    <definedName name="obalSI2CodeR1">obal!$E$414:$G$414</definedName>
    <definedName name="obalSI2CodeR2">obal!$E$420:$G$420</definedName>
    <definedName name="obalSI2CodeR3">obal!$E$426:$G$426</definedName>
    <definedName name="obalSI3CodeR1">obal!$E$415:$G$415</definedName>
    <definedName name="obalSI3CodeR2">obal!$E$421:$G$421</definedName>
    <definedName name="obalSI3CodeR3">obal!$E$427:$G$427</definedName>
    <definedName name="obalSI4CodeR1">obal!$E$416:$G$416</definedName>
    <definedName name="obalSI4CodeR2">obal!$E$422:$G$422</definedName>
    <definedName name="obalSI4CodeR3">obal!$E$428:$G$428</definedName>
    <definedName name="obalSI5CodeR1">obal!$E$417:$G$417</definedName>
    <definedName name="obalSI5CodeR2">obal!$E$423:$G$423</definedName>
    <definedName name="obalSI5CodeR3">obal!$E$429:$G$429</definedName>
    <definedName name="obalStars">obal!$E$17:$G$17</definedName>
    <definedName name="paramLOB1BDEngagement">param!$E$26:$G$26</definedName>
    <definedName name="paramLOB1BDProductivity">param!$E$28:$G$28</definedName>
    <definedName name="paramLOB1Clinician10Admin">param!$E$113:$G$113</definedName>
    <definedName name="paramLOB1Clinician10Meetings">param!$E$51:$G$51</definedName>
    <definedName name="paramLOB1Clinician10Mileage">param!$E$101:$G$101</definedName>
    <definedName name="paramLOB1Clinician10Missed">param!$E$63:$G$63</definedName>
    <definedName name="paramLOB1Clinician11Admin">param!$E$114:$G$114</definedName>
    <definedName name="paramLOB1Clinician11Meetings">param!$E$52:$G$52</definedName>
    <definedName name="paramLOB1Clinician11Mileage">param!$E$102:$G$102</definedName>
    <definedName name="paramLOB1Clinician11Missed">param!$E$64:$G$64</definedName>
    <definedName name="paramLOB1Clinician12Admin">param!$E$115:$G$115</definedName>
    <definedName name="paramLOB1Clinician12Meetings">param!$E$53:$G$53</definedName>
    <definedName name="paramLOB1Clinician12Mileage">param!$E$103:$G$103</definedName>
    <definedName name="paramLOB1Clinician12Missed">param!$E$65:$G$65</definedName>
    <definedName name="paramLOB1Clinician1Admin">param!$E$104:$G$104</definedName>
    <definedName name="paramLOB1Clinician1Meetings">param!$E$42:$G$42</definedName>
    <definedName name="paramLOB1Clinician1Mileage">param!$E$92:$G$92</definedName>
    <definedName name="paramLOB1Clinician1Missed">param!$E$54:$G$54</definedName>
    <definedName name="paramLOB1Clinician2Admin">param!$E$105:$G$105</definedName>
    <definedName name="paramLOB1Clinician2Meetings">param!$E$43:$G$43</definedName>
    <definedName name="paramLOB1Clinician2Mileage">param!$E$93:$G$93</definedName>
    <definedName name="paramLOB1Clinician2Missed">param!$E$55:$G$55</definedName>
    <definedName name="paramLOB1Clinician3Admin">param!$E$106:$G$106</definedName>
    <definedName name="paramLOB1Clinician3Meetings">param!$E$44:$G$44</definedName>
    <definedName name="paramLOB1Clinician3Mileage">param!$E$94:$G$94</definedName>
    <definedName name="paramLOB1Clinician3Missed">param!$E$56:$G$56</definedName>
    <definedName name="paramLOB1Clinician4Admin">param!$E$107:$G$107</definedName>
    <definedName name="paramLOB1Clinician4Meetings">param!$E$45:$G$45</definedName>
    <definedName name="paramLOB1Clinician4Mileage">param!$E$95:$G$95</definedName>
    <definedName name="paramLOB1Clinician4Missed">param!$E$57:$G$57</definedName>
    <definedName name="paramLOB1Clinician5Admin">param!$E$108:$G$108</definedName>
    <definedName name="paramLOB1Clinician5Meetings">param!$E$46:$G$46</definedName>
    <definedName name="paramLOB1Clinician5Mileage">param!$E$96:$G$96</definedName>
    <definedName name="paramLOB1Clinician5Missed">param!$E$58:$G$58</definedName>
    <definedName name="paramLOB1Clinician6Admin">param!$E$109:$G$109</definedName>
    <definedName name="paramLOB1Clinician6Meetings">param!$E$47:$G$47</definedName>
    <definedName name="paramLOB1Clinician6Mileage">param!$E$97:$G$97</definedName>
    <definedName name="paramLOB1Clinician6Missed">param!$E$59:$G$59</definedName>
    <definedName name="paramLOB1Clinician7Admin">param!$E$110:$G$110</definedName>
    <definedName name="paramLOB1Clinician7Meetings">param!$E$48:$G$48</definedName>
    <definedName name="paramLOB1Clinician7Mileage">param!$E$98:$G$98</definedName>
    <definedName name="paramLOB1Clinician7Missed">param!$E$60:$G$60</definedName>
    <definedName name="paramLOB1Clinician8Admin">param!$E$111:$G$111</definedName>
    <definedName name="paramLOB1Clinician8Meetings">param!$E$49:$G$49</definedName>
    <definedName name="paramLOB1Clinician8Mileage">param!$E$99:$G$99</definedName>
    <definedName name="paramLOB1Clinician8Missed">param!$E$61:$G$61</definedName>
    <definedName name="paramLOB1Clinician9Admin">param!$E$112:$G$112</definedName>
    <definedName name="paramLOB1Clinician9Meetings">param!$E$50:$G$50</definedName>
    <definedName name="paramLOB1Clinician9Mileage">param!$E$100:$G$100</definedName>
    <definedName name="paramLOB1Clinician9Missed">param!$E$62:$G$62</definedName>
    <definedName name="paramLOB1ClinicianRecruitment">param!$E$66:$G$66</definedName>
    <definedName name="paramLOB1ClnAdminTime">param!$E$30:$G$30</definedName>
    <definedName name="paramLOB1Disc1Meetings">param!$E$33:$G$33</definedName>
    <definedName name="paramLOB1Disc1Missed">param!$E$37:$G$37</definedName>
    <definedName name="paramLOB1Disc1Productivity">param!$E$88:$G$88</definedName>
    <definedName name="paramLOB1Disc2Meetings">param!$E$34:$G$34</definedName>
    <definedName name="paramLOB1Disc2Missed">param!$E$38:$G$38</definedName>
    <definedName name="paramLOB1Disc2Productivity">param!$E$89:$G$89</definedName>
    <definedName name="paramLOB1Disc3Meetings">param!$E$35:$G$35</definedName>
    <definedName name="paramLOB1Disc3Missed">param!$E$39:$G$39</definedName>
    <definedName name="paramLOB1Disc3Productivity">param!$E$90:$G$90</definedName>
    <definedName name="paramLOB1Disc4Meetings">param!$E$36:$G$36</definedName>
    <definedName name="paramLOB1Disc4Missed">param!$E$40:$G$40</definedName>
    <definedName name="paramLOB1Disc4Productivity">param!$E$91:$G$91</definedName>
    <definedName name="paramLOB1DOOProductivity">param!$E$41:$G$41</definedName>
    <definedName name="paramLOB1DOOTime1">param!$E$18:$G$18</definedName>
    <definedName name="paramLOB1DOOTime2">param!$E$19:$G$19</definedName>
    <definedName name="paramLOB1DOOTime3">param!$E$20:$G$20</definedName>
    <definedName name="paramLOB1DOOTime4">param!$E$21:$G$21</definedName>
    <definedName name="paramLOB1DOOTime5">param!$E$22:$G$22</definedName>
    <definedName name="paramLOB1DOOTime6">param!$E$23:$G$23</definedName>
    <definedName name="paramLOB1Emp1VisitsPEmp">param!$E$85:$G$85</definedName>
    <definedName name="paramLOB1Emp2VisitsPEmp">param!$E$86:$G$86</definedName>
    <definedName name="paramLOB1Emp3VisitsPEmp">param!$E$87:$G$87</definedName>
    <definedName name="paramLOB1EmployeeEngagement">param!$E$27:$G$27</definedName>
    <definedName name="paramLOB1EmployeeProductivity">param!$E$29:$G$29</definedName>
    <definedName name="paramLOB1Meetings">param!$E$31:$G$31</definedName>
    <definedName name="paramLOB1Overhead">param!$E$116:$G$116</definedName>
    <definedName name="paramLOB1Prod1Seg1RRM1">param!$E$79:$G$79</definedName>
    <definedName name="paramLOB1Prod1Seg1RRM2">param!$E$73:$G$73</definedName>
    <definedName name="paramLOB1Prod1Seg1RRM3">param!$E$67:$G$67</definedName>
    <definedName name="paramLOB1Prod1Seg2RRM1">param!$E$80:$G$80</definedName>
    <definedName name="paramLOB1Prod1Seg2RRM2">param!$E$74:$G$74</definedName>
    <definedName name="paramLOB1Prod1Seg2RRM3">param!$E$68:$G$68</definedName>
    <definedName name="paramLOB1Prod1Seg3RRM1">param!$E$81:$G$81</definedName>
    <definedName name="paramLOB1Prod1Seg3RRM2">param!$E$75:$G$75</definedName>
    <definedName name="paramLOB1Prod1Seg3RRM3">param!$E$69:$G$69</definedName>
    <definedName name="paramLOB1Prod2Seg1RRM1">param!$E$82:$G$82</definedName>
    <definedName name="paramLOB1Prod2Seg1RRM2">param!$E$76:$G$76</definedName>
    <definedName name="paramLOB1Prod2Seg1RRM3">param!$E$70:$G$70</definedName>
    <definedName name="paramLOB1Prod2Seg2RRM1">param!$E$83:$G$83</definedName>
    <definedName name="paramLOB1Prod2Seg2RRM2">param!$E$77:$G$77</definedName>
    <definedName name="paramLOB1Prod2Seg2RRM3">param!$E$71:$G$71</definedName>
    <definedName name="paramLOB1Prod2Seg3RRM1">param!$E$84:$G$84</definedName>
    <definedName name="paramLOB1Prod2Seg3RRM2">param!$E$78:$G$78</definedName>
    <definedName name="paramLOB1Prod2Seg3RRM3">param!$E$72:$G$72</definedName>
    <definedName name="paramLOB1ReferralSatisfaction">param!$E$25:$G$25</definedName>
    <definedName name="paramLOB1ReferralVolume">param!$E$24:$G$24</definedName>
    <definedName name="paramLOB1Stars">param!$E$32:$G$32</definedName>
    <definedName name="paramLOB2BDEngagement">param!$E$126:$G$126</definedName>
    <definedName name="paramLOB2BDProductivity">param!$E$128:$G$128</definedName>
    <definedName name="paramLOB2Clinician10Admin">param!$E$213:$G$213</definedName>
    <definedName name="paramLOB2Clinician10Meetings">param!$E$151:$G$151</definedName>
    <definedName name="paramLOB2Clinician10Mileage">param!$E$201:$G$201</definedName>
    <definedName name="paramLOB2Clinician10Missed">param!$E$163:$G$163</definedName>
    <definedName name="paramLOB2Clinician11Admin">param!$E$214:$G$214</definedName>
    <definedName name="paramLOB2Clinician11Meetings">param!$E$152:$G$152</definedName>
    <definedName name="paramLOB2Clinician11Mileage">param!$E$202:$G$202</definedName>
    <definedName name="paramLOB2Clinician11Missed">param!$E$164:$G$164</definedName>
    <definedName name="paramLOB2Clinician12Admin">param!$E$215:$G$215</definedName>
    <definedName name="paramLOB2Clinician12Meetings">param!$E$153:$G$153</definedName>
    <definedName name="paramLOB2Clinician12Mileage">param!$E$203:$G$203</definedName>
    <definedName name="paramLOB2Clinician12Missed">param!$E$165:$G$165</definedName>
    <definedName name="paramLOB2Clinician1Admin">param!$E$204:$G$204</definedName>
    <definedName name="paramLOB2Clinician1Meetings">param!$E$142:$G$142</definedName>
    <definedName name="paramLOB2Clinician1Mileage">param!$E$192:$G$192</definedName>
    <definedName name="paramLOB2Clinician1Missed">param!$E$154:$G$154</definedName>
    <definedName name="paramLOB2Clinician2Admin">param!$E$205:$G$205</definedName>
    <definedName name="paramLOB2Clinician2Meetings">param!$E$143:$G$143</definedName>
    <definedName name="paramLOB2Clinician2Mileage">param!$E$193:$G$193</definedName>
    <definedName name="paramLOB2Clinician2Missed">param!$E$155:$G$155</definedName>
    <definedName name="paramLOB2Clinician3Admin">param!$E$206:$G$206</definedName>
    <definedName name="paramLOB2Clinician3Meetings">param!$E$144:$G$144</definedName>
    <definedName name="paramLOB2Clinician3Mileage">param!$E$194:$G$194</definedName>
    <definedName name="paramLOB2Clinician3Missed">param!$E$156:$G$156</definedName>
    <definedName name="paramLOB2Clinician4Admin">param!$E$207:$G$207</definedName>
    <definedName name="paramLOB2Clinician4Meetings">param!$E$145:$G$145</definedName>
    <definedName name="paramLOB2Clinician4Mileage">param!$E$195:$G$195</definedName>
    <definedName name="paramLOB2Clinician4Missed">param!$E$157:$G$157</definedName>
    <definedName name="paramLOB2Clinician5Admin">param!$E$208:$G$208</definedName>
    <definedName name="paramLOB2Clinician5Meetings">param!$E$146:$G$146</definedName>
    <definedName name="paramLOB2Clinician5Mileage">param!$E$196:$G$196</definedName>
    <definedName name="paramLOB2Clinician5Missed">param!$E$158:$G$158</definedName>
    <definedName name="paramLOB2Clinician6Admin">param!$E$209:$G$209</definedName>
    <definedName name="paramLOB2Clinician6Meetings">param!$E$147:$G$147</definedName>
    <definedName name="paramLOB2Clinician6Mileage">param!$E$197:$G$197</definedName>
    <definedName name="paramLOB2Clinician6Missed">param!$E$159:$G$159</definedName>
    <definedName name="paramLOB2Clinician7Admin">param!$E$210:$G$210</definedName>
    <definedName name="paramLOB2Clinician7Meetings">param!$E$148:$G$148</definedName>
    <definedName name="paramLOB2Clinician7Mileage">param!$E$198:$G$198</definedName>
    <definedName name="paramLOB2Clinician7Missed">param!$E$160:$G$160</definedName>
    <definedName name="paramLOB2Clinician8Admin">param!$E$211:$G$211</definedName>
    <definedName name="paramLOB2Clinician8Meetings">param!$E$149:$G$149</definedName>
    <definedName name="paramLOB2Clinician8Mileage">param!$E$199:$G$199</definedName>
    <definedName name="paramLOB2Clinician8Missed">param!$E$161:$G$161</definedName>
    <definedName name="paramLOB2Clinician9Admin">param!$E$212:$G$212</definedName>
    <definedName name="paramLOB2Clinician9Meetings">param!$E$150:$G$150</definedName>
    <definedName name="paramLOB2Clinician9Mileage">param!$E$200:$G$200</definedName>
    <definedName name="paramLOB2Clinician9Missed">param!$E$162:$G$162</definedName>
    <definedName name="paramLOB2ClinicianRecruitment">param!$E$166:$G$166</definedName>
    <definedName name="paramLOB2ClnAdminTime">param!$E$130:$G$130</definedName>
    <definedName name="paramLOB2Disc1Meetings">param!$E$133:$G$133</definedName>
    <definedName name="paramLOB2Disc1Missed">param!$E$137:$G$137</definedName>
    <definedName name="paramLOB2Disc1Productivity">param!$E$188:$G$188</definedName>
    <definedName name="paramLOB2Disc2Meetings">param!$E$134:$G$134</definedName>
    <definedName name="paramLOB2Disc2Missed">param!$E$138:$G$138</definedName>
    <definedName name="paramLOB2Disc2Productivity">param!$E$189:$G$189</definedName>
    <definedName name="paramLOB2Disc3Meetings">param!$E$135:$G$135</definedName>
    <definedName name="paramLOB2Disc3Missed">param!$E$139:$G$139</definedName>
    <definedName name="paramLOB2Disc3Productivity">param!$E$190:$G$190</definedName>
    <definedName name="paramLOB2Disc4Meetings">param!$E$136:$G$136</definedName>
    <definedName name="paramLOB2Disc4Missed">param!$E$140:$G$140</definedName>
    <definedName name="paramLOB2Disc4Productivity">param!$E$191:$G$191</definedName>
    <definedName name="paramLOB2DOOProductivity">param!$E$141:$G$141</definedName>
    <definedName name="paramLOB2DOOTime1">param!$E$118:$G$118</definedName>
    <definedName name="paramLOB2DOOTime2">param!$E$119:$G$119</definedName>
    <definedName name="paramLOB2DOOTime3">param!$E$120:$G$120</definedName>
    <definedName name="paramLOB2DOOTime4">param!$E$121:$G$121</definedName>
    <definedName name="paramLOB2DOOTime5">param!$E$122:$G$122</definedName>
    <definedName name="paramLOB2DOOTime6">param!$E$123:$G$123</definedName>
    <definedName name="paramLOB2Emp1VisitsPEmp">param!$E$185:$G$185</definedName>
    <definedName name="paramLOB2Emp2VisitsPEmp">param!$E$186:$G$186</definedName>
    <definedName name="paramLOB2Emp3VisitsPEmp">param!$E$187:$G$187</definedName>
    <definedName name="paramLOB2EmployeeEngagement">param!$E$127:$G$127</definedName>
    <definedName name="paramLOB2EmployeeProductivity">param!$E$129:$G$129</definedName>
    <definedName name="paramLOB2Meetings">param!$E$131:$G$131</definedName>
    <definedName name="paramLOB2Overhead">param!$E$216:$G$216</definedName>
    <definedName name="paramLOB2Prod1Seg1RRM1">param!$E$179:$G$179</definedName>
    <definedName name="paramLOB2Prod1Seg1RRM2">param!$E$173:$G$173</definedName>
    <definedName name="paramLOB2Prod1Seg1RRM3">param!$E$167:$G$167</definedName>
    <definedName name="paramLOB2Prod1Seg2RRM1">param!$E$180:$G$180</definedName>
    <definedName name="paramLOB2Prod1Seg2RRM2">param!$E$174:$G$174</definedName>
    <definedName name="paramLOB2Prod1Seg2RRM3">param!$E$168:$G$168</definedName>
    <definedName name="paramLOB2Prod1Seg3RRM1">param!$E$181:$G$181</definedName>
    <definedName name="paramLOB2Prod1Seg3RRM2">param!$E$175:$G$175</definedName>
    <definedName name="paramLOB2Prod1Seg3RRM3">param!$E$169:$G$169</definedName>
    <definedName name="paramLOB2Prod2Seg1RRM1">param!$E$182:$G$182</definedName>
    <definedName name="paramLOB2Prod2Seg1RRM2">param!$E$176:$G$176</definedName>
    <definedName name="paramLOB2Prod2Seg1RRM3">param!$E$170:$G$170</definedName>
    <definedName name="paramLOB2Prod2Seg2RRM1">param!$E$183:$G$183</definedName>
    <definedName name="paramLOB2Prod2Seg2RRM2">param!$E$177:$G$177</definedName>
    <definedName name="paramLOB2Prod2Seg2RRM3">param!$E$171:$G$171</definedName>
    <definedName name="paramLOB2Prod2Seg3RRM1">param!$E$184:$G$184</definedName>
    <definedName name="paramLOB2Prod2Seg3RRM2">param!$E$178:$G$178</definedName>
    <definedName name="paramLOB2Prod2Seg3RRM3">param!$E$172:$G$172</definedName>
    <definedName name="paramLOB2ReferralSatisfaction">param!$E$125:$G$125</definedName>
    <definedName name="paramLOB2ReferralVolume">param!$E$124:$G$124</definedName>
    <definedName name="paramLOB2Stars">param!$E$132:$G$132</definedName>
    <definedName name="paramR2LOB1BDEngagement">param!$K$26:$M$26</definedName>
    <definedName name="paramR2LOB1BDProductivity">param!$K$28:$M$28</definedName>
    <definedName name="paramR2LOB1Clinician10Admin">param!$K$113:$M$113</definedName>
    <definedName name="paramR2LOB1Clinician10Meetings">param!$K$51:$M$51</definedName>
    <definedName name="paramR2LOB1Clinician10Mileage">param!$K$101:$M$101</definedName>
    <definedName name="paramR2LOB1Clinician10Missed">param!$K$63:$M$63</definedName>
    <definedName name="paramR2LOB1Clinician11Admin">param!$K$114:$M$114</definedName>
    <definedName name="paramR2LOB1Clinician11Meetings">param!$K$52:$M$52</definedName>
    <definedName name="paramR2LOB1Clinician11Mileage">param!$K$102:$M$102</definedName>
    <definedName name="paramR2LOB1Clinician11Missed">param!$K$64:$M$64</definedName>
    <definedName name="paramR2LOB1Clinician12Admin">param!$K$115:$M$115</definedName>
    <definedName name="paramR2LOB1Clinician12Meetings">param!$K$53:$M$53</definedName>
    <definedName name="paramR2LOB1Clinician12Mileage">param!$K$103:$M$103</definedName>
    <definedName name="paramR2LOB1Clinician12Missed">param!$K$65:$M$65</definedName>
    <definedName name="paramR2LOB1Clinician1Admin">param!$K$104:$M$104</definedName>
    <definedName name="paramR2LOB1Clinician1Meetings">param!$K$42:$M$42</definedName>
    <definedName name="paramR2LOB1Clinician1Mileage">param!$K$92:$M$92</definedName>
    <definedName name="paramR2LOB1Clinician1Missed">param!$K$54:$M$54</definedName>
    <definedName name="paramR2LOB1Clinician2Admin">param!$K$105:$M$105</definedName>
    <definedName name="paramR2LOB1Clinician2Meetings">param!$K$43:$M$43</definedName>
    <definedName name="paramR2LOB1Clinician2Mileage">param!$K$93:$M$93</definedName>
    <definedName name="paramR2LOB1Clinician2Missed">param!$K$55:$M$55</definedName>
    <definedName name="paramR2LOB1Clinician3Admin">param!$K$106:$M$106</definedName>
    <definedName name="paramR2LOB1Clinician3Meetings">param!$K$44:$M$44</definedName>
    <definedName name="paramR2LOB1Clinician3Mileage">param!$K$94:$M$94</definedName>
    <definedName name="paramR2LOB1Clinician3Missed">param!$K$56:$M$56</definedName>
    <definedName name="paramR2LOB1Clinician4Admin">param!$K$107:$M$107</definedName>
    <definedName name="paramR2LOB1Clinician4Meetings">param!$K$45:$M$45</definedName>
    <definedName name="paramR2LOB1Clinician4Mileage">param!$K$95:$M$95</definedName>
    <definedName name="paramR2LOB1Clinician4Missed">param!$K$57:$M$57</definedName>
    <definedName name="paramR2LOB1Clinician5Admin">param!$K$108:$M$108</definedName>
    <definedName name="paramR2LOB1Clinician5Meetings">param!$K$46:$M$46</definedName>
    <definedName name="paramR2LOB1Clinician5Mileage">param!$K$96:$M$96</definedName>
    <definedName name="paramR2LOB1Clinician5Missed">param!$K$58:$M$58</definedName>
    <definedName name="paramR2LOB1Clinician6Admin">param!$K$109:$M$109</definedName>
    <definedName name="paramR2LOB1Clinician6Meetings">param!$K$47:$M$47</definedName>
    <definedName name="paramR2LOB1Clinician6Mileage">param!$K$97:$M$97</definedName>
    <definedName name="paramR2LOB1Clinician6Missed">param!$K$59:$M$59</definedName>
    <definedName name="paramR2LOB1Clinician7Admin">param!$K$110:$M$110</definedName>
    <definedName name="paramR2LOB1Clinician7Meetings">param!$K$48:$M$48</definedName>
    <definedName name="paramR2LOB1Clinician7Mileage">param!$K$98:$M$98</definedName>
    <definedName name="paramR2LOB1Clinician7Missed">param!$K$60:$M$60</definedName>
    <definedName name="paramR2LOB1Clinician8Admin">param!$K$111:$M$111</definedName>
    <definedName name="paramR2LOB1Clinician8Meetings">param!$K$49:$M$49</definedName>
    <definedName name="paramR2LOB1Clinician8Mileage">param!$K$99:$M$99</definedName>
    <definedName name="paramR2LOB1Clinician8Missed">param!$K$61:$M$61</definedName>
    <definedName name="paramR2LOB1Clinician9Admin">param!$K$112:$M$112</definedName>
    <definedName name="paramR2LOB1Clinician9Meetings">param!$K$50:$M$50</definedName>
    <definedName name="paramR2LOB1Clinician9Mileage">param!$K$100:$M$100</definedName>
    <definedName name="paramR2LOB1Clinician9Missed">param!$K$62:$M$62</definedName>
    <definedName name="paramR2LOB1ClinicianRecruitment">param!$K$66:$M$66</definedName>
    <definedName name="paramR2LOB1ClnAdminTime">param!$K$30:$M$30</definedName>
    <definedName name="paramR2LOB1Disc1Meetings">param!$K$33:$M$33</definedName>
    <definedName name="paramR2LOB1Disc1Missed">param!$K$37:$M$37</definedName>
    <definedName name="paramR2LOB1Disc1Productivity">param!$K$88:$M$88</definedName>
    <definedName name="paramR2LOB1Disc2Meetings">param!$K$34:$M$34</definedName>
    <definedName name="paramR2LOB1Disc2Missed">param!$K$38:$M$38</definedName>
    <definedName name="paramR2LOB1Disc2Productivity">param!$K$89:$M$89</definedName>
    <definedName name="paramR2LOB1Disc3Meetings">param!$K$35:$M$35</definedName>
    <definedName name="paramR2LOB1Disc3Missed">param!$K$39:$M$39</definedName>
    <definedName name="paramR2LOB1Disc3Productivity">param!$K$90:$M$90</definedName>
    <definedName name="paramR2LOB1Disc4Meetings">param!$K$36:$M$36</definedName>
    <definedName name="paramR2LOB1Disc4Missed">param!$K$40:$M$40</definedName>
    <definedName name="paramR2LOB1Disc4Productivity">param!$K$91:$M$91</definedName>
    <definedName name="paramR2LOB1DOOProductivity">param!$K$41:$M$41</definedName>
    <definedName name="paramR2LOB1DOOTime1">param!$K$18:$M$18</definedName>
    <definedName name="paramR2LOB1DOOTime2">param!$K$19:$M$19</definedName>
    <definedName name="paramR2LOB1DOOTime3">param!$K$20:$M$20</definedName>
    <definedName name="paramR2LOB1DOOTime4">param!$K$21:$M$21</definedName>
    <definedName name="paramR2LOB1DOOTime5">param!$K$22:$M$22</definedName>
    <definedName name="paramR2LOB1DOOTime6">param!$K$23:$M$23</definedName>
    <definedName name="paramR2LOB1Emp1VisitsPEmp">param!$K$85:$M$85</definedName>
    <definedName name="paramR2LOB1Emp2VisitsPEmp">param!$K$86:$M$86</definedName>
    <definedName name="paramR2LOB1Emp3VisitsPEmp">param!$K$87:$M$87</definedName>
    <definedName name="paramR2LOB1EmployeeEngagement">param!$K$27:$M$27</definedName>
    <definedName name="paramR2LOB1EmployeeProductivity">param!$K$29:$M$29</definedName>
    <definedName name="paramR2LOB1Meetings">param!$K$31:$M$31</definedName>
    <definedName name="paramR2LOB1Overhead">param!$K$116:$M$116</definedName>
    <definedName name="paramR2LOB1Prod1Seg1RRM1">param!$K$79:$M$79</definedName>
    <definedName name="paramR2LOB1Prod1Seg1RRM2">param!$K$73:$M$73</definedName>
    <definedName name="paramR2LOB1Prod1Seg1RRM3">param!$K$67:$M$67</definedName>
    <definedName name="paramR2LOB1Prod1Seg2RRM1">param!$K$80:$M$80</definedName>
    <definedName name="paramR2LOB1Prod1Seg2RRM2">param!$K$74:$M$74</definedName>
    <definedName name="paramR2LOB1Prod1Seg2RRM3">param!$K$68:$M$68</definedName>
    <definedName name="paramR2LOB1Prod1Seg3RRM1">param!$K$81:$M$81</definedName>
    <definedName name="paramR2LOB1Prod1Seg3RRM2">param!$K$75:$M$75</definedName>
    <definedName name="paramR2LOB1Prod1Seg3RRM3">param!$K$69:$M$69</definedName>
    <definedName name="paramR2LOB1Prod2Seg1RRM1">param!$K$82:$M$82</definedName>
    <definedName name="paramR2LOB1Prod2Seg1RRM2">param!$K$76:$M$76</definedName>
    <definedName name="paramR2LOB1Prod2Seg1RRM3">param!$K$70:$M$70</definedName>
    <definedName name="paramR2LOB1Prod2Seg2RRM1">param!$K$83:$M$83</definedName>
    <definedName name="paramR2LOB1Prod2Seg2RRM2">param!$K$77:$M$77</definedName>
    <definedName name="paramR2LOB1Prod2Seg2RRM3">param!$K$71:$M$71</definedName>
    <definedName name="paramR2LOB1Prod2Seg3RRM1">param!$K$84:$M$84</definedName>
    <definedName name="paramR2LOB1Prod2Seg3RRM2">param!$K$78:$M$78</definedName>
    <definedName name="paramR2LOB1Prod2Seg3RRM3">param!$K$72:$M$72</definedName>
    <definedName name="paramR2LOB1ReferralSatisfaction">param!$K$25:$M$25</definedName>
    <definedName name="paramR2LOB1ReferralVolume">param!$K$24:$M$24</definedName>
    <definedName name="paramR2LOB1Stars">param!$K$32:$M$32</definedName>
    <definedName name="paramR2LOB2BDEngagement">param!$K$126:$M$126</definedName>
    <definedName name="paramR2LOB2BDProductivity">param!$K$128:$M$128</definedName>
    <definedName name="paramR2LOB2Clinician10Admin">param!$K$213:$M$213</definedName>
    <definedName name="paramR2LOB2Clinician10Meetings">param!$K$151:$M$151</definedName>
    <definedName name="paramR2LOB2Clinician10Mileage">param!$K$201:$M$201</definedName>
    <definedName name="paramR2LOB2Clinician10Missed">param!$K$163:$M$163</definedName>
    <definedName name="paramR2LOB2Clinician11Admin">param!$K$214:$M$214</definedName>
    <definedName name="paramR2LOB2Clinician11Meetings">param!$K$152:$M$152</definedName>
    <definedName name="paramR2LOB2Clinician11Mileage">param!$K$202:$M$202</definedName>
    <definedName name="paramR2LOB2Clinician11Missed">param!$K$164:$M$164</definedName>
    <definedName name="paramR2LOB2Clinician12Admin">param!$K$215:$M$215</definedName>
    <definedName name="paramR2LOB2Clinician12Meetings">param!$K$153:$M$153</definedName>
    <definedName name="paramR2LOB2Clinician12Mileage">param!$K$203:$M$203</definedName>
    <definedName name="paramR2LOB2Clinician12Missed">param!$K$165:$M$165</definedName>
    <definedName name="paramR2LOB2Clinician1Admin">param!$K$204:$M$204</definedName>
    <definedName name="paramR2LOB2Clinician1Meetings">param!$K$142:$M$142</definedName>
    <definedName name="paramR2LOB2Clinician1Mileage">param!$K$192:$M$192</definedName>
    <definedName name="paramR2LOB2Clinician1Missed">param!$K$154:$M$154</definedName>
    <definedName name="paramR2LOB2Clinician2Admin">param!$K$205:$M$205</definedName>
    <definedName name="paramR2LOB2Clinician2Meetings">param!$K$143:$M$143</definedName>
    <definedName name="paramR2LOB2Clinician2Mileage">param!$K$193:$M$193</definedName>
    <definedName name="paramR2LOB2Clinician2Missed">param!$K$155:$M$155</definedName>
    <definedName name="paramR2LOB2Clinician3Admin">param!$K$206:$M$206</definedName>
    <definedName name="paramR2LOB2Clinician3Meetings">param!$K$144:$M$144</definedName>
    <definedName name="paramR2LOB2Clinician3Mileage">param!$K$194:$M$194</definedName>
    <definedName name="paramR2LOB2Clinician3Missed">param!$K$156:$M$156</definedName>
    <definedName name="paramR2LOB2Clinician4Admin">param!$K$207:$M$207</definedName>
    <definedName name="paramR2LOB2Clinician4Meetings">param!$K$145:$M$145</definedName>
    <definedName name="paramR2LOB2Clinician4Mileage">param!$K$195:$M$195</definedName>
    <definedName name="paramR2LOB2Clinician4Missed">param!$K$157:$M$157</definedName>
    <definedName name="paramR2LOB2Clinician5Admin">param!$K$208:$M$208</definedName>
    <definedName name="paramR2LOB2Clinician5Meetings">param!$K$146:$M$146</definedName>
    <definedName name="paramR2LOB2Clinician5Mileage">param!$K$196:$M$196</definedName>
    <definedName name="paramR2LOB2Clinician5Missed">param!$K$158:$M$158</definedName>
    <definedName name="paramR2LOB2Clinician6Admin">param!$K$209:$M$209</definedName>
    <definedName name="paramR2LOB2Clinician6Meetings">param!$K$147:$M$147</definedName>
    <definedName name="paramR2LOB2Clinician6Mileage">param!$K$197:$M$197</definedName>
    <definedName name="paramR2LOB2Clinician6Missed">param!$K$159:$M$159</definedName>
    <definedName name="paramR2LOB2Clinician7Admin">param!$K$210:$M$210</definedName>
    <definedName name="paramR2LOB2Clinician7Meetings">param!$K$148:$M$148</definedName>
    <definedName name="paramR2LOB2Clinician7Mileage">param!$K$198:$M$198</definedName>
    <definedName name="paramR2LOB2Clinician7Missed">param!$K$160:$M$160</definedName>
    <definedName name="paramR2LOB2Clinician8Admin">param!$K$211:$M$211</definedName>
    <definedName name="paramR2LOB2Clinician8Meetings">param!$K$149:$M$149</definedName>
    <definedName name="paramR2LOB2Clinician8Mileage">param!$K$199:$M$199</definedName>
    <definedName name="paramR2LOB2Clinician8Missed">param!$K$161:$M$161</definedName>
    <definedName name="paramR2LOB2Clinician9Admin">param!$K$212:$M$212</definedName>
    <definedName name="paramR2LOB2Clinician9Meetings">param!$K$150:$M$150</definedName>
    <definedName name="paramR2LOB2Clinician9Mileage">param!$K$200:$M$200</definedName>
    <definedName name="paramR2LOB2Clinician9Missed">param!$K$162:$M$162</definedName>
    <definedName name="paramR2LOB2ClinicianRecruitment">param!$K$166:$M$166</definedName>
    <definedName name="paramR2LOB2ClnAdminTime">param!$K$130:$M$130</definedName>
    <definedName name="paramR2LOB2Disc1Meetings">param!$K$133:$M$133</definedName>
    <definedName name="paramR2LOB2Disc1Missed">param!$K$137:$M$137</definedName>
    <definedName name="paramR2LOB2Disc1Productivity">param!$K$188:$M$188</definedName>
    <definedName name="paramR2LOB2Disc2Meetings">param!$K$134:$M$134</definedName>
    <definedName name="paramR2LOB2Disc2Missed">param!$K$138:$M$138</definedName>
    <definedName name="paramR2LOB2Disc2Productivity">param!$K$189:$M$189</definedName>
    <definedName name="paramR2LOB2Disc3Meetings">param!$K$135:$M$135</definedName>
    <definedName name="paramR2LOB2Disc3Missed">param!$K$139:$M$139</definedName>
    <definedName name="paramR2LOB2Disc3Productivity">param!$K$190:$M$190</definedName>
    <definedName name="paramR2LOB2Disc4Meetings">param!$K$136:$M$136</definedName>
    <definedName name="paramR2LOB2Disc4Missed">param!$K$140:$M$140</definedName>
    <definedName name="paramR2LOB2Disc4Productivity">param!$K$191:$M$191</definedName>
    <definedName name="paramR2LOB2DOOProductivity">param!$K$141:$M$141</definedName>
    <definedName name="paramR2LOB2DOOTime1">param!$K$118:$M$118</definedName>
    <definedName name="paramR2LOB2DOOTime2">param!$K$119:$M$119</definedName>
    <definedName name="paramR2LOB2DOOTime3">param!$K$120:$M$120</definedName>
    <definedName name="paramR2LOB2DOOTime4">param!$K$121:$M$121</definedName>
    <definedName name="paramR2LOB2DOOTime5">param!$K$122:$M$122</definedName>
    <definedName name="paramR2LOB2DOOTime6">param!$K$123:$M$123</definedName>
    <definedName name="paramR2LOB2Emp1VisitsPEmp">param!$K$185:$M$185</definedName>
    <definedName name="paramR2LOB2Emp2VisitsPEmp">param!$K$186:$M$186</definedName>
    <definedName name="paramR2LOB2Emp3VisitsPEmp">param!$K$187:$M$187</definedName>
    <definedName name="paramR2LOB2EmployeeEngagement">param!$K$127:$M$127</definedName>
    <definedName name="paramR2LOB2EmployeeProductivity">param!$K$129:$M$129</definedName>
    <definedName name="paramR2LOB2Meetings">param!$K$131:$M$131</definedName>
    <definedName name="paramR2LOB2Overhead">param!$K$216:$M$216</definedName>
    <definedName name="paramR2LOB2Prod1Seg1RRM1">param!$K$179:$M$179</definedName>
    <definedName name="paramR2LOB2Prod1Seg1RRM2">param!$K$173:$M$173</definedName>
    <definedName name="paramR2LOB2Prod1Seg1RRM3">param!$K$167:$M$167</definedName>
    <definedName name="paramR2LOB2Prod1Seg2RRM1">param!$K$180:$M$180</definedName>
    <definedName name="paramR2LOB2Prod1Seg2RRM2">param!$K$174:$M$174</definedName>
    <definedName name="paramR2LOB2Prod1Seg2RRM3">param!$K$168:$M$168</definedName>
    <definedName name="paramR2LOB2Prod1Seg3RRM1">param!$K$181:$M$181</definedName>
    <definedName name="paramR2LOB2Prod1Seg3RRM2">param!$K$175:$M$175</definedName>
    <definedName name="paramR2LOB2Prod1Seg3RRM3">param!$K$169:$M$169</definedName>
    <definedName name="paramR2LOB2Prod2Seg1RRM1">param!$K$182:$M$182</definedName>
    <definedName name="paramR2LOB2Prod2Seg1RRM2">param!$K$176:$M$176</definedName>
    <definedName name="paramR2LOB2Prod2Seg1RRM3">param!$K$170:$M$170</definedName>
    <definedName name="paramR2LOB2Prod2Seg2RRM1">param!$K$183:$M$183</definedName>
    <definedName name="paramR2LOB2Prod2Seg2RRM2">param!$K$177:$M$177</definedName>
    <definedName name="paramR2LOB2Prod2Seg2RRM3">param!$K$171:$M$171</definedName>
    <definedName name="paramR2LOB2Prod2Seg3RRM1">param!$K$184:$M$184</definedName>
    <definedName name="paramR2LOB2Prod2Seg3RRM2">param!$K$178:$M$178</definedName>
    <definedName name="paramR2LOB2Prod2Seg3RRM3">param!$K$172:$M$172</definedName>
    <definedName name="paramR2LOB2ReferralSatisfaction">param!$K$125:$M$125</definedName>
    <definedName name="paramR2LOB2ReferralVolume">param!$K$124:$M$124</definedName>
    <definedName name="paramR2LOB2Stars">param!$K$132:$M$132</definedName>
    <definedName name="paramR2TimeConversion">param!$K$15:$M$15</definedName>
    <definedName name="paramR2WorkWeeksPYear">param!$K$16:$M$16</definedName>
    <definedName name="paramTimeConversion">param!$E$15:$G$15</definedName>
    <definedName name="paramWorkWeeksPYear">param!$E$16:$G$16</definedName>
    <definedName name="_xlnm.Print_Area" localSheetId="13">CasePnL!$D$6:$J$19</definedName>
    <definedName name="Screen" localSheetId="5">tlIntro!$T$2</definedName>
    <definedName name="sim_OnResetGoTo">Controls!$D$25</definedName>
    <definedName name="simulation_Type">Controls!$D$9</definedName>
    <definedName name="tblMMLOB1Drivers">data!$C$92:$G$101</definedName>
    <definedName name="tblMMLOB2Drivers">data!$C$119:$G$128</definedName>
    <definedName name="tlInputLOB1Cln10Mtng_R1">tlProd1Staff!$C$19</definedName>
    <definedName name="tlInputLOB1Cln10Mtng_R2">tlProd1Staff!$AF$19</definedName>
    <definedName name="tlInputLOB1Cln10Text_R1">tlProd1Staff!$E$19</definedName>
    <definedName name="tlInputLOB1Cln10Text_R2">tlProd1Staff!$AH$19</definedName>
    <definedName name="tlInputLOB1Cln10WeekProdMod_R1">tlProd1Staff!$S$19</definedName>
    <definedName name="tlInputLOB1Cln10WeekProdMod_R2">tlProd1Staff!$AV$19</definedName>
    <definedName name="tlInputLOB1Cln11Dis_R1">tlProd1Staff!$G$20</definedName>
    <definedName name="tlInputLOB1Cln11Dis_R2">tlProd1Staff!$AJ$20</definedName>
    <definedName name="tlInputLOB1Cln11Mtng_R1">tlProd1Staff!$C$20</definedName>
    <definedName name="tlInputLOB1Cln11Mtng_R2">tlProd1Staff!$AF$20</definedName>
    <definedName name="tlInputLOB1Cln11Status_R1">tlProd1Staff!$I$20</definedName>
    <definedName name="tlInputLOB1Cln11Status_R2">tlProd1Staff!$AL$20</definedName>
    <definedName name="tlInputLOB1Cln11Text_R1">tlProd1Staff!$E$20</definedName>
    <definedName name="tlInputLOB1Cln11Text_R2">tlProd1Staff!$AH$20</definedName>
    <definedName name="tlInputLOB1Cln11WeekProdMod_R1">tlProd1Staff!$S$20</definedName>
    <definedName name="tlInputLOB1Cln11WeekProdMod_R2">tlProd1Staff!$AV$20</definedName>
    <definedName name="tlInputLOB1Cln12Dis_R1">tlProd1Staff!$G$21</definedName>
    <definedName name="tlInputLOB1Cln12Dis_R2">tlProd1Staff!$AJ$21</definedName>
    <definedName name="tlInputLOB1Cln12Mtng_R1">tlProd1Staff!$C$21</definedName>
    <definedName name="tlInputLOB1Cln12Mtng_R2">tlProd1Staff!$AF$21</definedName>
    <definedName name="tlInputLOB1Cln12Status_R1">tlProd1Staff!$I$21</definedName>
    <definedName name="tlInputLOB1Cln12Status_R2">tlProd1Staff!$AL$21</definedName>
    <definedName name="tlInputLOB1Cln12Text_R1">tlProd1Staff!$E$21</definedName>
    <definedName name="tlInputLOB1Cln12Text_R2">tlProd1Staff!$AH$21</definedName>
    <definedName name="tlInputLOB1Cln12WeekProdMod_R1">tlProd1Staff!$S$21</definedName>
    <definedName name="tlInputLOB1Cln12WeekProdMod_R2">tlProd1Staff!$AV$21</definedName>
    <definedName name="tlInputLOB1Cln1Mtng_R1">tlProd1Staff!$C$10</definedName>
    <definedName name="tlInputLOB1Cln1Mtng_R2">tlProd1Staff!$AF$10</definedName>
    <definedName name="tlInputLOB1Cln1Text_R1">tlProd1Staff!$E$10</definedName>
    <definedName name="tlInputLOB1Cln1Text_R2">tlProd1Staff!$AH$10</definedName>
    <definedName name="tlInputLOB1Cln1WeekProdMod_R1">tlProd1Staff!$S$10</definedName>
    <definedName name="tlInputLOB1Cln1WeekProdMod_R2">tlProd1Staff!$AV$10</definedName>
    <definedName name="tlInputLOB1Cln2Mtng_R1">tlProd1Staff!$C$11</definedName>
    <definedName name="tlInputLOB1Cln2Mtng_R2">tlProd1Staff!$AF$11</definedName>
    <definedName name="tlInputLOB1Cln2Text_R1">tlProd1Staff!$E$11</definedName>
    <definedName name="tlInputLOB1Cln2Text_R2">tlProd1Staff!$AH$11</definedName>
    <definedName name="tlInputLOB1Cln2WeekProdMod_R1">tlProd1Staff!$S$11</definedName>
    <definedName name="tlInputLOB1Cln2WeekProdMod_R2">tlProd1Staff!$AV$11</definedName>
    <definedName name="tlInputLOB1Cln3Mtng_R1">tlProd1Staff!$C$12</definedName>
    <definedName name="tlInputLOB1Cln3Mtng_R2">tlProd1Staff!$AF$12</definedName>
    <definedName name="tlInputLOB1Cln3Text_R1">tlProd1Staff!$E$12</definedName>
    <definedName name="tlInputLOB1Cln3Text_R2">tlProd1Staff!$AH$12</definedName>
    <definedName name="tlInputLOB1Cln3WeekProdMod_R1">tlProd1Staff!$S$12</definedName>
    <definedName name="tlInputLOB1Cln3WeekProdMod_R2">tlProd1Staff!$AV$12</definedName>
    <definedName name="tlInputLOB1Cln4Mtng_R1">tlProd1Staff!$C$13</definedName>
    <definedName name="tlInputLOB1Cln4Mtng_R2">tlProd1Staff!$AF$13</definedName>
    <definedName name="tlInputLOB1Cln4Text_R1">tlProd1Staff!$E$13</definedName>
    <definedName name="tlInputLOB1Cln4Text_R2">tlProd1Staff!$AH$13</definedName>
    <definedName name="tlInputLOB1Cln4WeekProdMod_R1">tlProd1Staff!$S$13</definedName>
    <definedName name="tlInputLOB1Cln4WeekProdMod_R2">tlProd1Staff!$AV$13</definedName>
    <definedName name="tlInputLOB1Cln5Mtng_R1">tlProd1Staff!$C$14</definedName>
    <definedName name="tlInputLOB1Cln5Mtng_R2">tlProd1Staff!$AF$14</definedName>
    <definedName name="tlInputLOB1Cln5Text_R1">tlProd1Staff!$E$14</definedName>
    <definedName name="tlInputLOB1Cln5Text_R2">tlProd1Staff!$AH$14</definedName>
    <definedName name="tlInputLOB1Cln5WeekProdMod_R1">tlProd1Staff!$S$14</definedName>
    <definedName name="tlInputLOB1Cln5WeekProdMod_R2">tlProd1Staff!$AV$14</definedName>
    <definedName name="tlInputLOB1Cln6Mtng_R1">tlProd1Staff!$C$15</definedName>
    <definedName name="tlInputLOB1Cln6Mtng_R2">tlProd1Staff!$AF$15</definedName>
    <definedName name="tlInputLOB1Cln6Text_R1">tlProd1Staff!$E$15</definedName>
    <definedName name="tlInputLOB1Cln6Text_R2">tlProd1Staff!$AH$15</definedName>
    <definedName name="tlInputLOB1Cln6WeekProdMod_R1">tlProd1Staff!$S$15</definedName>
    <definedName name="tlInputLOB1Cln6WeekProdMod_R2">tlProd1Staff!$AV$15</definedName>
    <definedName name="tlInputLOB1Cln7Mtng_R1">tlProd1Staff!$C$16</definedName>
    <definedName name="tlInputLOB1Cln7Mtng_R2">tlProd1Staff!$AF$16</definedName>
    <definedName name="tlInputLOB1Cln7Text_R1">tlProd1Staff!$E$16</definedName>
    <definedName name="tlInputLOB1Cln7Text_R2">tlProd1Staff!$AH$16</definedName>
    <definedName name="tlInputLOB1Cln7WeekProdMod_R1">tlProd1Staff!$S$16</definedName>
    <definedName name="tlInputLOB1Cln7WeekProdMod_R2">tlProd1Staff!$AV$16</definedName>
    <definedName name="tlInputLOB1Cln8Mtng_R1">tlProd1Staff!$C$17</definedName>
    <definedName name="tlInputLOB1Cln8Mtng_R2">tlProd1Staff!$AF$17</definedName>
    <definedName name="tlInputLOB1Cln8Text_R1">tlProd1Staff!$E$17</definedName>
    <definedName name="tlInputLOB1Cln8Text_R2">tlProd1Staff!$AH$17</definedName>
    <definedName name="tlInputLOB1Cln8WeekProdMod_R1">tlProd1Staff!$S$17</definedName>
    <definedName name="tlInputLOB1Cln8WeekProdMod_R2">tlProd1Staff!$AV$17</definedName>
    <definedName name="tlInputLOB1Cln9Mtng_R1">tlProd1Staff!$C$18</definedName>
    <definedName name="tlInputLOB1Cln9Mtng_R2">tlProd1Staff!$AF$18</definedName>
    <definedName name="tlInputLOB1Cln9Text_R1">tlProd1Staff!$E$18</definedName>
    <definedName name="tlInputLOB1Cln9Text_R2">tlProd1Staff!$AH$18</definedName>
    <definedName name="tlInputLOB1Cln9WeekProdMod_R1">tlProd1Staff!$S$18</definedName>
    <definedName name="tlInputLOB1Cln9WeekProdMod_R2">tlProd1Staff!$AV$18</definedName>
    <definedName name="tlInputLOB1DOOAdjTime1_R1">tlProd1DOO!$G$20</definedName>
    <definedName name="tlInputLOB1DOOAdjTime1_R2">tlProd1DOO!$Q$20</definedName>
    <definedName name="tlInputLOB1DOOAdjTime2_R1">tlProd1DOO!$G$21</definedName>
    <definedName name="tlInputLOB1DOOAdjTime2_R2">tlProd1DOO!$Q$21</definedName>
    <definedName name="tlInputLOB1DOOAdjTime3_R1">tlProd1DOO!$G$22</definedName>
    <definedName name="tlInputLOB1DOOAdjTime3_R2">tlProd1DOO!$Q$22</definedName>
    <definedName name="tlInputLOB1DOOAdjTime4_R1">tlProd1DOO!$G$23</definedName>
    <definedName name="tlInputLOB1DOOAdjTime4_R2">tlProd1DOO!$Q$23</definedName>
    <definedName name="tlInputLOB1DOOAdjTime5_R1">tlProd1DOO!$G$24</definedName>
    <definedName name="tlInputLOB1DOOAdjTime5_R2">tlProd1DOO!$Q$24</definedName>
    <definedName name="tlInputLOB1DOOAdjTime6_R1">tlProd1DOO!$G$25</definedName>
    <definedName name="tlInputLOB1DOOAdjTime6_R2">tlProd1DOO!$Q$25</definedName>
    <definedName name="tlInputLOB1DOOFocusDecisionMade_R1">tlProd1DOO!$E$34</definedName>
    <definedName name="tlInputLOB1DOOFocusDecisionMade_R2">tlProd1DOO!$O$34</definedName>
    <definedName name="tlInputLOB1ForecastDecisionMade_R1">tlProd1Fcst!$D$34</definedName>
    <definedName name="tlInputLOB1ForecastDecisionMade_R2">tlProd1Fcst!$T$34</definedName>
    <definedName name="tlInputLOB1MaxSpecProg_R1">tlProd1DOO!$G$32</definedName>
    <definedName name="tlInputLOB1MaxSpecProg_R2">tlProd1DOO!$Q$32</definedName>
    <definedName name="tlInputLOB1Prod1Seg1Adj_R1">tlProd1Fcst!$L$11</definedName>
    <definedName name="tlInputLOB1Prod1Seg1Adj_R2">tlProd1Fcst!$AB$11</definedName>
    <definedName name="tlInputLOB1Prod1Seg2Adj_R1">tlProd1Fcst!$L$12</definedName>
    <definedName name="tlInputLOB1Prod1Seg2Adj_R2">tlProd1Fcst!$AB$12</definedName>
    <definedName name="tlInputLOB1Prod1Seg3Adj_R1">tlProd1Fcst!$L$13</definedName>
    <definedName name="tlInputLOB1Prod1Seg3Adj_R2">tlProd1Fcst!$AB$13</definedName>
    <definedName name="tlInputLOB1Prod2Seg1Adj_R1">tlProd1Fcst!$L$14</definedName>
    <definedName name="tlInputLOB1Prod2Seg1Adj_R2">tlProd1Fcst!$AB$14</definedName>
    <definedName name="tlInputLOB1Prod2Seg2Adj_R1">tlProd1Fcst!$L$15</definedName>
    <definedName name="tlInputLOB1Prod2Seg2Adj_R2">tlProd1Fcst!$AB$15</definedName>
    <definedName name="tlInputLOB1Prod2Seg3Adj_R1">tlProd1Fcst!$L$16</definedName>
    <definedName name="tlInputLOB1Prod2Seg3Adj_R2">tlProd1Fcst!$AB$16</definedName>
    <definedName name="tlInputLOB1SpecProg1_R1">tlProd1DOO!$E$9</definedName>
    <definedName name="tlInputLOB1SpecProg1_R2">tlProd1DOO!$O$9</definedName>
    <definedName name="tlInputLOB1SpecProg2_R1">tlProd1DOO!$E$11</definedName>
    <definedName name="tlInputLOB1SpecProg2_R2">tlProd1DOO!$O$11</definedName>
    <definedName name="tlInputLOB1SpecProg3_R1">tlProd1DOO!$E$13</definedName>
    <definedName name="tlInputLOB1SpecProg3_R2">tlProd1DOO!$O$13</definedName>
    <definedName name="tlInputLOB1SpecProg4_R1">tlProd1DOO!$E$15</definedName>
    <definedName name="tlInputLOB1SpecProg4_R2">tlProd1DOO!$O$15</definedName>
    <definedName name="tlInputLOB1StaffDecisionMade_R1">tlProd1Staff!$F$37</definedName>
    <definedName name="tlInputLOB1StaffDecisionMade_R2">tlProd1Staff!$AI$37</definedName>
    <definedName name="tlInputLOB2Cln10Mtng_R1">tlProd2Staff!$C$19</definedName>
    <definedName name="tlInputLOB2Cln10Mtng_R2">tlProd2Staff!$AF$19</definedName>
    <definedName name="tlInputLOB2Cln10Text_R1">tlProd2Staff!$E$19</definedName>
    <definedName name="tlInputLOB2Cln10Text_R2">tlProd2Staff!$AH$19</definedName>
    <definedName name="tlInputLOB2Cln10WeekProdMod_R1">tlProd2Staff!$S$19</definedName>
    <definedName name="tlInputLOB2Cln10WeekProdMod_R2">tlProd2Staff!$AV$19</definedName>
    <definedName name="tlInputLOB2Cln11Dis_R1">tlProd2Staff!$G$20</definedName>
    <definedName name="tlInputLOB2Cln11Dis_R2">tlProd2Staff!$AJ$20</definedName>
    <definedName name="tlInputLOB2Cln11Mtng_R1">tlProd2Staff!$C$20</definedName>
    <definedName name="tlInputLOB2Cln11Mtng_R2">tlProd2Staff!$AF$20</definedName>
    <definedName name="tlInputLOB2Cln11Status_R1">tlProd2Staff!$I$20</definedName>
    <definedName name="tlInputLOB2Cln11Status_R2">tlProd2Staff!$AL$20</definedName>
    <definedName name="tlInputLOB2Cln11Text_R1">tlProd2Staff!$E$20</definedName>
    <definedName name="tlInputLOB2Cln11Text_R2">tlProd2Staff!$AH$20</definedName>
    <definedName name="tlInputLOB2Cln11WeekProdMod_R1">tlProd2Staff!$S$20</definedName>
    <definedName name="tlInputLOB2Cln11WeekProdMod_R2">tlProd2Staff!$AV$20</definedName>
    <definedName name="tlInputLOB2Cln12Dis_R1">tlProd2Staff!$G$21</definedName>
    <definedName name="tlInputLOB2Cln12Dis_R2">tlProd2Staff!$AJ$21</definedName>
    <definedName name="tlInputLOB2Cln12Mtng_R1">tlProd2Staff!$C$21</definedName>
    <definedName name="tlInputLOB2Cln12Mtng_R2">tlProd2Staff!$AF$21</definedName>
    <definedName name="tlInputLOB2Cln12Status_R1">tlProd2Staff!$I$21</definedName>
    <definedName name="tlInputLOB2Cln12Status_R2">tlProd2Staff!$AL$21</definedName>
    <definedName name="tlInputLOB2Cln12Text_R1">tlProd2Staff!$E$21</definedName>
    <definedName name="tlInputLOB2Cln12Text_R2">tlProd2Staff!$AH$21</definedName>
    <definedName name="tlInputLOB2Cln12WeekProdMod_R1">tlProd2Staff!$S$21</definedName>
    <definedName name="tlInputLOB2Cln12WeekProdMod_R2">tlProd2Staff!$AV$21</definedName>
    <definedName name="tlInputLOB2Cln1Mtng_R1">tlProd2Staff!$C$10</definedName>
    <definedName name="tlInputLOB2Cln1Mtng_R2">tlProd2Staff!$AF$10</definedName>
    <definedName name="tlInputLOB2Cln1Text_R1">tlProd2Staff!$E$10</definedName>
    <definedName name="tlInputLOB2Cln1Text_R2">tlProd2Staff!$AH$10</definedName>
    <definedName name="tlInputLOB2Cln1WeekProdMod_R1">tlProd2Staff!$S$10</definedName>
    <definedName name="tlInputLOB2Cln1WeekProdMod_R2">tlProd2Staff!$AV$10</definedName>
    <definedName name="tlInputLOB2Cln2Mtng_R1">tlProd2Staff!$C$11</definedName>
    <definedName name="tlInputLOB2Cln2Mtng_R2">tlProd2Staff!$AF$11</definedName>
    <definedName name="tlInputLOB2Cln2Text_R1">tlProd2Staff!$E$11</definedName>
    <definedName name="tlInputLOB2Cln2Text_R2">tlProd2Staff!$AH$11</definedName>
    <definedName name="tlInputLOB2Cln2WeekProdMod_R1">tlProd2Staff!$S$11</definedName>
    <definedName name="tlInputLOB2Cln2WeekProdMod_R2">tlProd2Staff!$AV$11</definedName>
    <definedName name="tlInputLOB2Cln3Mtng_R1">tlProd2Staff!$C$12</definedName>
    <definedName name="tlInputLOB2Cln3Mtng_R2">tlProd2Staff!$AF$12</definedName>
    <definedName name="tlInputLOB2Cln3Text_R1">tlProd2Staff!$E$12</definedName>
    <definedName name="tlInputLOB2Cln3Text_R2">tlProd2Staff!$AH$12</definedName>
    <definedName name="tlInputLOB2Cln3WeekProdMod_R1">tlProd2Staff!$S$12</definedName>
    <definedName name="tlInputLOB2Cln3WeekProdMod_R2">tlProd2Staff!$AV$12</definedName>
    <definedName name="tlInputLOB2Cln4Mtng_R1">tlProd2Staff!$C$13</definedName>
    <definedName name="tlInputLOB2Cln4Mtng_R2">tlProd2Staff!$AF$13</definedName>
    <definedName name="tlInputLOB2Cln4Text_R1">tlProd2Staff!$E$13</definedName>
    <definedName name="tlInputLOB2Cln4Text_R2">tlProd2Staff!$AH$13</definedName>
    <definedName name="tlInputLOB2Cln4WeekProdMod_R1">tlProd2Staff!$S$13</definedName>
    <definedName name="tlInputLOB2Cln4WeekProdMod_R2">tlProd2Staff!$AV$13</definedName>
    <definedName name="tlInputLOB2Cln5Mtng_R1">tlProd2Staff!$C$14</definedName>
    <definedName name="tlInputLOB2Cln5Mtng_R2">tlProd2Staff!$AF$14</definedName>
    <definedName name="tlInputLOB2Cln5Text_R1">tlProd2Staff!$E$14</definedName>
    <definedName name="tlInputLOB2Cln5Text_R2">tlProd2Staff!$AH$14</definedName>
    <definedName name="tlInputLOB2Cln5WeekProdMod_R1">tlProd2Staff!$S$14</definedName>
    <definedName name="tlInputLOB2Cln5WeekProdMod_R2">tlProd2Staff!$AV$14</definedName>
    <definedName name="tlInputLOB2Cln6Mtng_R1">tlProd2Staff!$C$15</definedName>
    <definedName name="tlInputLOB2Cln6Mtng_R2">tlProd2Staff!$AF$15</definedName>
    <definedName name="tlInputLOB2Cln6Text_R1">tlProd2Staff!$E$15</definedName>
    <definedName name="tlInputLOB2Cln6Text_R2">tlProd2Staff!$AH$15</definedName>
    <definedName name="tlInputLOB2Cln6WeekProdMod_R1">tlProd2Staff!$S$15</definedName>
    <definedName name="tlInputLOB2Cln6WeekProdMod_R2">tlProd2Staff!$AV$15</definedName>
    <definedName name="tlInputLOB2Cln7Mtng_R1">tlProd2Staff!$C$16</definedName>
    <definedName name="tlInputLOB2Cln7Mtng_R2">tlProd2Staff!$AF$16</definedName>
    <definedName name="tlInputLOB2Cln7Text_R1">tlProd2Staff!$E$16</definedName>
    <definedName name="tlInputLOB2Cln7Text_R2">tlProd2Staff!$AH$16</definedName>
    <definedName name="tlInputLOB2Cln7WeekProdMod_R1">tlProd2Staff!$S$16</definedName>
    <definedName name="tlInputLOB2Cln7WeekProdMod_R2">tlProd2Staff!$AV$16</definedName>
    <definedName name="tlInputLOB2Cln8Mtng_R1">tlProd2Staff!$C$17</definedName>
    <definedName name="tlInputLOB2Cln8Mtng_R2">tlProd2Staff!$AF$17</definedName>
    <definedName name="tlInputLOB2Cln8Text_R1">tlProd2Staff!$E$17</definedName>
    <definedName name="tlInputLOB2Cln8Text_R2">tlProd2Staff!$AH$17</definedName>
    <definedName name="tlInputLOB2Cln8WeekProdMod_R1">tlProd2Staff!$S$17</definedName>
    <definedName name="tlInputLOB2Cln8WeekProdMod_R2">tlProd2Staff!$AV$17</definedName>
    <definedName name="tlInputLOB2Cln9Mtng_R1">tlProd2Staff!$C$18</definedName>
    <definedName name="tlInputLOB2Cln9Mtng_R2">tlProd2Staff!$AF$18</definedName>
    <definedName name="tlInputLOB2Cln9Text_R1">tlProd2Staff!$E$18</definedName>
    <definedName name="tlInputLOB2Cln9Text_R2">tlProd2Staff!$AH$18</definedName>
    <definedName name="tlInputLOB2Cln9WeekProdMod_R1">tlProd2Staff!$S$18</definedName>
    <definedName name="tlInputLOB2Cln9WeekProdMod_R2">tlProd2Staff!$AV$18</definedName>
    <definedName name="tlInputLOB2DOOAdjTime1_R1">tlProd2DOO!$G$20</definedName>
    <definedName name="tlInputLOB2DOOAdjTime1_R2">tlProd2DOO!$Q$20</definedName>
    <definedName name="tlInputLOB2DOOAdjTime2_R1">tlProd2DOO!$G$21</definedName>
    <definedName name="tlInputLOB2DOOAdjTime2_R2">tlProd2DOO!$Q$21</definedName>
    <definedName name="tlInputLOB2DOOAdjTime3_R1">tlProd2DOO!$G$22</definedName>
    <definedName name="tlInputLOB2DOOAdjTime3_R2">tlProd2DOO!$Q$22</definedName>
    <definedName name="tlInputLOB2DOOAdjTime4_R1">tlProd2DOO!$G$23</definedName>
    <definedName name="tlInputLOB2DOOAdjTime4_R2">tlProd2DOO!$Q$23</definedName>
    <definedName name="tlInputLOB2DOOAdjTime5_R1">tlProd2DOO!$G$24</definedName>
    <definedName name="tlInputLOB2DOOAdjTime5_R2">tlProd2DOO!$Q$24</definedName>
    <definedName name="tlInputLOB2DOOAdjTime6_R1">tlProd2DOO!$G$25</definedName>
    <definedName name="tlInputLOB2DOOAdjTime6_R2">tlProd2DOO!$Q$25</definedName>
    <definedName name="tlInputLOB2DOOFocusDecisionMade_R1">tlProd2DOO!$E$34</definedName>
    <definedName name="tlInputLOB2DOOFocusDecisionMade_R2">tlProd2DOO!$O$34</definedName>
    <definedName name="tlInputLOB2ForecastDecisionMade_R1">tlProd2Fcst!$D$33</definedName>
    <definedName name="tlInputLOB2ForecastDecisionMade_R2">tlProd2Fcst!$T$33</definedName>
    <definedName name="tlInputLOB2MaxSpecProg_R1">tlProd2DOO!$G$32</definedName>
    <definedName name="tlInputLOB2MaxSpecProg_R2">tlProd2DOO!$Q$32</definedName>
    <definedName name="tlInputLOB2Prod1Seg1Adj_R1">tlProd2Fcst!$L$11</definedName>
    <definedName name="tlInputLOB2Prod1Seg1Adj_R2">tlProd2Fcst!$AB$11</definedName>
    <definedName name="tlInputLOB2Prod1Seg2Adj_R1">tlProd2Fcst!$L$12</definedName>
    <definedName name="tlInputLOB2Prod1Seg2Adj_R2">tlProd2Fcst!$AB$12</definedName>
    <definedName name="tlInputLOB2Prod1Seg3Adj_R1">tlProd2Fcst!$L$13</definedName>
    <definedName name="tlInputLOB2Prod1Seg3Adj_R2">tlProd2Fcst!$AB$13</definedName>
    <definedName name="tlInputLOB2Prod2Seg1Adj_R1">tlProd2Fcst!$L$14</definedName>
    <definedName name="tlInputLOB2Prod2Seg1Adj_R2">tlProd2Fcst!$AB$14</definedName>
    <definedName name="tlInputLOB2Prod2Seg2Adj_R1">tlProd2Fcst!$L$15</definedName>
    <definedName name="tlInputLOB2Prod2Seg2Adj_R2">tlProd2Fcst!$AB$15</definedName>
    <definedName name="tlInputLOB2Prod2Seg3Adj_R1">tlProd2Fcst!$L$16</definedName>
    <definedName name="tlInputLOB2Prod2Seg3Adj_R2">tlProd2Fcst!$AB$16</definedName>
    <definedName name="tlInputLOB2SpecProg1_R1">tlProd2DOO!$E$9</definedName>
    <definedName name="tlInputLOB2SpecProg1_R2">tlProd2DOO!$O$9</definedName>
    <definedName name="tlInputLOB2SpecProg2_R1">tlProd2DOO!$E$11</definedName>
    <definedName name="tlInputLOB2SpecProg2_R2">tlProd2DOO!$O$11</definedName>
    <definedName name="tlInputLOB2SpecProg3_R1">tlProd2DOO!$E$13</definedName>
    <definedName name="tlInputLOB2SpecProg3_R2">tlProd2DOO!$O$13</definedName>
    <definedName name="tlInputLOB2SpecProg4_R1">tlProd2DOO!$E$15</definedName>
    <definedName name="tlInputLOB2SpecProg4_R2">tlProd2DOO!$O$15</definedName>
    <definedName name="tlInputLOB2StaffDecisionMade_R1">tlProd2Staff!$F$38</definedName>
    <definedName name="tlInputLOB2StaffDecisionMade_R2">tlProd2Staff!$AI$38</definedName>
    <definedName name="tlInputOpportunities">tlEvents!$E$9</definedName>
    <definedName name="tlInputR1Event1">tlEvents!$E$15</definedName>
    <definedName name="tlInputR1Event1Status">tlEvents!$E$20</definedName>
    <definedName name="tlInputR1Event2">tlEvents!$E$16</definedName>
    <definedName name="tlInputR1Event2Status">tlEvents!$E$21</definedName>
    <definedName name="tlInputR1Event3">tlEvents!$E$17</definedName>
    <definedName name="tlInputR1Event3Status">tlEvents!$E$22</definedName>
    <definedName name="tlInputR1Event4">tlEvents!$E$18</definedName>
    <definedName name="tlInputR1Event4Status">tlEvents!$E$23</definedName>
    <definedName name="tlInputR2Event1">tlEvents!$E$27</definedName>
    <definedName name="tlInputR2Event1Status">tlEvents!$E$33</definedName>
    <definedName name="tlInputR2Event2">tlEvents!$E$28</definedName>
    <definedName name="tlInputR2Event2Status">tlEvents!$E$34</definedName>
    <definedName name="tlInputR2Event3">tlEvents!$E$29</definedName>
    <definedName name="tlInputR2Event3Status">tlEvents!$E$35</definedName>
    <definedName name="tlInputR2Event4">tlEvents!$E$30</definedName>
    <definedName name="tlInputR2Event4Status">tlEvents!$E$36</definedName>
    <definedName name="tlInputR2Event5">tlEvents!$E$31</definedName>
    <definedName name="tlInputR2Event5Status">tlEvents!$E$37</definedName>
    <definedName name="tlInputReadR1Event1">tlEvents!$Z$15</definedName>
    <definedName name="tlInputReadR1Event2">tlEvents!$Z$16</definedName>
    <definedName name="tlInputReadR1Event3">tlEvents!$Z$17</definedName>
    <definedName name="tlInputReadR1Event4">tlEvents!$Z$18</definedName>
    <definedName name="tlInputReadR1Message1">tlEvents!$Z$19</definedName>
    <definedName name="tlInputReadR2Event1">tlEvents!$Z$27</definedName>
    <definedName name="tlInputReadR2Event2">tlEvents!$Z$28</definedName>
    <definedName name="tlInputReadR2Event3">tlEvents!$Z$29</definedName>
    <definedName name="tlInputReadR2Event4">tlEvents!$Z$30</definedName>
    <definedName name="tlInputReadR2Event5">tlEvents!$Z$31</definedName>
    <definedName name="tlInputReadR2Message1">tlEvents!$Z$32</definedName>
    <definedName name="tlInputStrategyVision">tlEvents!$E$11</definedName>
    <definedName name="tlInputStrengths">tlEvents!$E$7</definedName>
    <definedName name="tlInputSubmitted_R1">tlEvents!$S$22</definedName>
    <definedName name="tlInputSubmitted_R2">tlEvents!$S$36</definedName>
    <definedName name="tlInputTeamName">tlIntro!$C$15</definedName>
    <definedName name="tlInputTeamNumber">tlIntro!$C$18</definedName>
    <definedName name="tlInputTeamYear">Controls!$D$17</definedName>
    <definedName name="tlInputThreats">tlEvents!$E$10</definedName>
    <definedName name="tlInputWeaknesses">tlEvents!$E$8</definedName>
    <definedName name="tlOutputComp1FBAdmintPerc_R1">Feedback!$E$269</definedName>
    <definedName name="tlOutputComp1FBAdmintPerc_R2">Feedback!$K$269</definedName>
    <definedName name="tlOutputComp1FBCapacityPerc_R1">Feedback!$E$377</definedName>
    <definedName name="tlOutputComp1FBCapacityPerc_R2">Feedback!$K$377</definedName>
    <definedName name="tlOutputComp1FBCSAT_R1">Feedback!$E$297</definedName>
    <definedName name="tlOutputComp1FBCSAT_R2">Feedback!$K$297</definedName>
    <definedName name="tlOutputComp1FBCSATImpact1_R1">Feedback!$E$293</definedName>
    <definedName name="tlOutputComp1FBCSATImpact1_R2">Feedback!$K$293</definedName>
    <definedName name="tlOutputComp1FBCSATImpact2_R1">Feedback!$E$294</definedName>
    <definedName name="tlOutputComp1FBCSATImpact2_R2">Feedback!$K$294</definedName>
    <definedName name="tlOutputComp1FBCSATImpact3_R1">Feedback!$E$295</definedName>
    <definedName name="tlOutputComp1FBCSATImpact3_R2">Feedback!$K$295</definedName>
    <definedName name="tlOutputComp1FBCSATImpact4_R1">Feedback!$E$296</definedName>
    <definedName name="tlOutputComp1FBCSATImpact4_R2">Feedback!$K$296</definedName>
    <definedName name="tlOutputComp1FBEmp1Capacity_R1">Feedback!$E$371</definedName>
    <definedName name="tlOutputComp1FBEmp1Capacity_R2">Feedback!$K$371</definedName>
    <definedName name="tlOutputComp1FBEmp1Cost_R1">Feedback!$E$363</definedName>
    <definedName name="tlOutputComp1FBEmp1Cost_R2">Feedback!$K$363</definedName>
    <definedName name="tlOutputComp1FBEmp1Visits_R1">Feedback!$E$372</definedName>
    <definedName name="tlOutputComp1FBEmp1Visits_R2">Feedback!$K$372</definedName>
    <definedName name="tlOutputComp1FBEmp2Capacity_R1">Feedback!$E$373</definedName>
    <definedName name="tlOutputComp1FBEmp2Capacity_R2">Feedback!$K$373</definedName>
    <definedName name="tlOutputComp1FBEmp2Cost_R1">Feedback!$E$364</definedName>
    <definedName name="tlOutputComp1FBEmp2Cost_R2">Feedback!$K$364</definedName>
    <definedName name="tlOutputComp1FBEmp2Visits_R1">Feedback!$E$374</definedName>
    <definedName name="tlOutputComp1FBEmp2Visits_R2">Feedback!$K$374</definedName>
    <definedName name="tlOutputComp1FBEmp3Capacity_R1">Feedback!$E$375</definedName>
    <definedName name="tlOutputComp1FBEmp3Capacity_R2">Feedback!$K$375</definedName>
    <definedName name="tlOutputComp1FBEmp3Cost_R1">Feedback!$E$365</definedName>
    <definedName name="tlOutputComp1FBEmp3Cost_R2">Feedback!$K$365</definedName>
    <definedName name="tlOutputComp1FBEmp3Visits_R1">Feedback!$E$376</definedName>
    <definedName name="tlOutputComp1FBEmp3Visits_R2">Feedback!$K$376</definedName>
    <definedName name="tlOutputComp1FBEmpOverhead_R1">Feedback!$E$382</definedName>
    <definedName name="tlOutputComp1FBEmpOverhead_R2">Feedback!$K$382</definedName>
    <definedName name="tlOutputComp1FBESAT_R1">Feedback!$E$356</definedName>
    <definedName name="tlOutputComp1FBESAT_R2">Feedback!$K$356</definedName>
    <definedName name="tlOutputComp1FBESATImpact1_R1">Feedback!$E$352</definedName>
    <definedName name="tlOutputComp1FBESATImpact1_R2">Feedback!$K$352</definedName>
    <definedName name="tlOutputComp1FBESATImpact2_R1">Feedback!$E$353</definedName>
    <definedName name="tlOutputComp1FBESATImpact2_R2">Feedback!$K$353</definedName>
    <definedName name="tlOutputComp1FBESATImpact3_R1">Feedback!$E$354</definedName>
    <definedName name="tlOutputComp1FBESATImpact3_R2">Feedback!$K$354</definedName>
    <definedName name="tlOutputComp1FBESATImpact4_R1">Feedback!$E$355</definedName>
    <definedName name="tlOutputComp1FBESATImpact4_R2">Feedback!$K$355</definedName>
    <definedName name="tlOutputComp1FBGrossMargin_R1">Feedback!$E$367</definedName>
    <definedName name="tlOutputComp1FBGrossMargin_R2">Feedback!$K$367</definedName>
    <definedName name="tlOutputComp1FBGrossProfit_R1">Feedback!$E$366</definedName>
    <definedName name="tlOutputComp1FBGrossProfit_R2">Feedback!$K$366</definedName>
    <definedName name="tlOutputComp1FBLOB1CSAT_R2">Feedback!$K$279</definedName>
    <definedName name="tlOutputComp1FBLOB1CSATImpact1_R2">Feedback!$K$275</definedName>
    <definedName name="tlOutputComp1FBLOB1CSATImpact2_R2">Feedback!$K$276</definedName>
    <definedName name="tlOutputComp1FBLOB1CSATImpact3_R2">Feedback!$K$277</definedName>
    <definedName name="tlOutputComp1FBLOB1CSATImpact4_R2">Feedback!$K$278</definedName>
    <definedName name="tlOutputComp1FBLOB1ESAT_R2">Feedback!$K$336</definedName>
    <definedName name="tlOutputComp1FBLOB1ESATImpact1_R2">Feedback!$K$332</definedName>
    <definedName name="tlOutputComp1FBLOB1ESATImpact2_R2">Feedback!$K$333</definedName>
    <definedName name="tlOutputComp1FBLOB1ESATImpact3_R2">Feedback!$K$334</definedName>
    <definedName name="tlOutputComp1FBLOB1Stars_R2">Feedback!$K$308</definedName>
    <definedName name="tlOutputComp1FBLOB1StarsImpact1_R2">Feedback!$K$303</definedName>
    <definedName name="tlOutputComp1FBLOB1StarsImpact2_R2">Feedback!$K$304</definedName>
    <definedName name="tlOutputComp1FBLOB1StarsImpact3_R2">Feedback!$K$305</definedName>
    <definedName name="tlOutputComp1FBLOB1StarsImpact4_R2">Feedback!$K$306</definedName>
    <definedName name="tlOutputComp1FBLOB1StarsImpact5_R2">Feedback!$K$307</definedName>
    <definedName name="tlOutputComp1FBLOB2CSAT_R2">Feedback!$K$288</definedName>
    <definedName name="tlOutputComp1FBLOB2CSATImpact1_R2">Feedback!$K$284</definedName>
    <definedName name="tlOutputComp1FBLOB2CSATImpact2_R2">Feedback!$K$285</definedName>
    <definedName name="tlOutputComp1FBLOB2CSATImpact3_R2">Feedback!$K$286</definedName>
    <definedName name="tlOutputComp1FBLOB2CSATImpact4_R2">Feedback!$K$287</definedName>
    <definedName name="tlOutputComp1FBLOB2ESAT_R2">Feedback!$K$346</definedName>
    <definedName name="tlOutputComp1FBLOB2ESATImpact1_R2">Feedback!$K$342</definedName>
    <definedName name="tlOutputComp1FBLOB2ESATImpact2_R2">Feedback!$K$343</definedName>
    <definedName name="tlOutputComp1FBLOB2ESATImpact3_R2">Feedback!$K$344</definedName>
    <definedName name="tlOutputComp1FBLOB2Stars_R2">Feedback!$K$317</definedName>
    <definedName name="tlOutputComp1FBLOB2StarsImpact1_R2">Feedback!$K$312</definedName>
    <definedName name="tlOutputComp1FBLOB2StarsImpact2_R2">Feedback!$K$313</definedName>
    <definedName name="tlOutputComp1FBLOB2StarsImpact3_R2">Feedback!$K$314</definedName>
    <definedName name="tlOutputComp1FBLOB2StarsImpact4_R2">Feedback!$K$315</definedName>
    <definedName name="tlOutputComp1FBLOB2StarsImpact5_R2">Feedback!$K$316</definedName>
    <definedName name="tlOutputComp1FBOpMargin_R1">Feedback!$E$384</definedName>
    <definedName name="tlOutputComp1FBOpMargin_R2">Feedback!$K$384</definedName>
    <definedName name="tlOutputComp1FBOpProfit_R1">Feedback!$E$383</definedName>
    <definedName name="tlOutputComp1FBOpProfit_R2">Feedback!$K$383</definedName>
    <definedName name="tlOutputComp1FBProd1Seg1Patients_R1">Feedback!$E$263</definedName>
    <definedName name="tlOutputComp1FBProd1Seg1Patients_R2">Feedback!$K$263</definedName>
    <definedName name="tlOutputComp1FBProd1Seg2Patients_R1">Feedback!$E$265</definedName>
    <definedName name="tlOutputComp1FBProd1Seg2Patients_R2">Feedback!$K$265</definedName>
    <definedName name="tlOutputComp1FBProd1Seg3Patients_R1">Feedback!$E$267</definedName>
    <definedName name="tlOutputComp1FBProd1Seg3Patients_R2">Feedback!$K$267</definedName>
    <definedName name="tlOutputComp1FBProd2Seg1Patients_R1">Feedback!$E$264</definedName>
    <definedName name="tlOutputComp1FBProd2Seg1Patients_R2">Feedback!$K$264</definedName>
    <definedName name="tlOutputComp1FBProd2Seg2Patients_R1">Feedback!$E$266</definedName>
    <definedName name="tlOutputComp1FBProd2Seg2Patients_R2">Feedback!$K$266</definedName>
    <definedName name="tlOutputComp1FBProd2Seg3Patients_R1">Feedback!$E$268</definedName>
    <definedName name="tlOutputComp1FBProd2Seg3Patients_R2">Feedback!$K$268</definedName>
    <definedName name="tlOutputComp1FBRevGrowth_R1">Feedback!$E$258</definedName>
    <definedName name="tlOutputComp1FBRevGrowth_R2">Feedback!$K$258</definedName>
    <definedName name="tlOutputComp1FBSeg1Rev_R1">Feedback!$E$255</definedName>
    <definedName name="tlOutputComp1FBSeg1Rev_R2">Feedback!$K$255</definedName>
    <definedName name="tlOutputComp1FBSeg2Rev_R1">Feedback!$E$256</definedName>
    <definedName name="tlOutputComp1FBSeg2Rev_R2">Feedback!$K$256</definedName>
    <definedName name="tlOutputComp1FBSeg3Rev_R1">Feedback!$E$257</definedName>
    <definedName name="tlOutputComp1FBSeg3Rev_R2">Feedback!$K$257</definedName>
    <definedName name="tlOutputComp1FBServiceCost_R1">Feedback!$E$381</definedName>
    <definedName name="tlOutputComp1FBServiceCost_R2">Feedback!$K$381</definedName>
    <definedName name="tlOutputComp1FBStars_R1">Feedback!$E$327</definedName>
    <definedName name="tlOutputComp1FBStars_R2">Feedback!$K$327</definedName>
    <definedName name="tlOutputComp1FBStarsImpact1_R1">Feedback!$E$322</definedName>
    <definedName name="tlOutputComp1FBStarsImpact1_R2">Feedback!$K$322</definedName>
    <definedName name="tlOutputComp1FBStarsImpact2_R1">Feedback!$E$323</definedName>
    <definedName name="tlOutputComp1FBStarsImpact2_R2">Feedback!$K$323</definedName>
    <definedName name="tlOutputComp1FBStarsImpact3_R1">Feedback!$E$324</definedName>
    <definedName name="tlOutputComp1FBStarsImpact3_R2">Feedback!$K$324</definedName>
    <definedName name="tlOutputComp1FBStarsImpact4_R1">Feedback!$E$325</definedName>
    <definedName name="tlOutputComp1FBStarsImpact4_R2">Feedback!$K$325</definedName>
    <definedName name="tlOutputComp1FBStarsImpact5_R1">Feedback!$E$326</definedName>
    <definedName name="tlOutputComp1FBStarsImpact5_R2">Feedback!$K$326</definedName>
    <definedName name="tlOutputComp1FBTeamName_R1">Feedback!$E$254</definedName>
    <definedName name="tlOutputComp1FBTeamName_R2">Feedback!$K$254</definedName>
    <definedName name="tlOutputComp1LOB1MSR_1">AutoCompetitors!$D$10</definedName>
    <definedName name="tlOutputComp1LOB1MSR_2">AutoCompetitors!$C$10</definedName>
    <definedName name="tlOutputComp1LOB1MSR0">AutoCompetitors!$E$10</definedName>
    <definedName name="tlOutputComp1LOB2MSR_1">AutoCompetitors!$D$12</definedName>
    <definedName name="tlOutputComp1LOB2MSR_2">AutoCompetitors!$C$12</definedName>
    <definedName name="tlOutputComp1LOB2MSR0">AutoCompetitors!$E$12</definedName>
    <definedName name="tlOutputComp2FBAdmintPerc_R1">Feedback!$E$403</definedName>
    <definedName name="tlOutputComp2FBAdmintPerc_R2">Feedback!$K$403</definedName>
    <definedName name="tlOutputComp2FBCapacityPerc_R1">Feedback!$E$511</definedName>
    <definedName name="tlOutputComp2FBCapacityPerc_R2">Feedback!$K$511</definedName>
    <definedName name="tlOutputComp2FBCSAT_R1">Feedback!$E$431</definedName>
    <definedName name="tlOutputComp2FBCSAT_R2">Feedback!$K$431</definedName>
    <definedName name="tlOutputComp2FBCSATImpact1_R1">Feedback!$E$427</definedName>
    <definedName name="tlOutputComp2FBCSATImpact1_R2">Feedback!$K$427</definedName>
    <definedName name="tlOutputComp2FBCSATImpact2_R1">Feedback!$E$428</definedName>
    <definedName name="tlOutputComp2FBCSATImpact2_R2">Feedback!$K$428</definedName>
    <definedName name="tlOutputComp2FBCSATImpact3_R1">Feedback!$E$429</definedName>
    <definedName name="tlOutputComp2FBCSATImpact3_R2">Feedback!$K$429</definedName>
    <definedName name="tlOutputComp2FBCSATImpact4_R1">Feedback!$E$430</definedName>
    <definedName name="tlOutputComp2FBCSATImpact4_R2">Feedback!$K$430</definedName>
    <definedName name="tlOutputComp2FBEmp1Capacity_R1">Feedback!$E$505</definedName>
    <definedName name="tlOutputComp2FBEmp1Capacity_R2">Feedback!$K$505</definedName>
    <definedName name="tlOutputComp2FBEmp1Cost_R1">Feedback!$E$497</definedName>
    <definedName name="tlOutputComp2FBEmp1Cost_R2">Feedback!$K$497</definedName>
    <definedName name="tlOutputComp2FBEmp1Visits_R1">Feedback!$E$506</definedName>
    <definedName name="tlOutputComp2FBEmp1Visits_R2">Feedback!$K$506</definedName>
    <definedName name="tlOutputComp2FBEmp2Capacity_R1">Feedback!$E$507</definedName>
    <definedName name="tlOutputComp2FBEmp2Capacity_R2">Feedback!$K$507</definedName>
    <definedName name="tlOutputComp2FBEmp2Cost_R1">Feedback!$E$498</definedName>
    <definedName name="tlOutputComp2FBEmp2Cost_R2">Feedback!$K$498</definedName>
    <definedName name="tlOutputComp2FBEmp2Visits_R1">Feedback!$E$508</definedName>
    <definedName name="tlOutputComp2FBEmp2Visits_R2">Feedback!$K$508</definedName>
    <definedName name="tlOutputComp2FBEmp3Capacity_R1">Feedback!$E$509</definedName>
    <definedName name="tlOutputComp2FBEmp3Capacity_R2">Feedback!$K$509</definedName>
    <definedName name="tlOutputComp2FBEmp3Cost_R1">Feedback!$E$499</definedName>
    <definedName name="tlOutputComp2FBEmp3Cost_R2">Feedback!$K$499</definedName>
    <definedName name="tlOutputComp2FBEmp3Visits_R1">Feedback!$E$510</definedName>
    <definedName name="tlOutputComp2FBEmp3Visits_R2">Feedback!$K$510</definedName>
    <definedName name="tlOutputComp2FBEmpOverhead_R1">Feedback!$E$516</definedName>
    <definedName name="tlOutputComp2FBEmpOverhead_R2">Feedback!$K$516</definedName>
    <definedName name="tlOutputComp2FBESAT_R1">Feedback!$E$490</definedName>
    <definedName name="tlOutputComp2FBESAT_R2">Feedback!$K$490</definedName>
    <definedName name="tlOutputComp2FBESATImpact1_R1">Feedback!$E$486</definedName>
    <definedName name="tlOutputComp2FBESATImpact1_R2">Feedback!$K$486</definedName>
    <definedName name="tlOutputComp2FBESATImpact2_R1">Feedback!$E$487</definedName>
    <definedName name="tlOutputComp2FBESATImpact2_R2">Feedback!$K$487</definedName>
    <definedName name="tlOutputComp2FBESATImpact3_R1">Feedback!$E$488</definedName>
    <definedName name="tlOutputComp2FBESATImpact3_R2">Feedback!$K$488</definedName>
    <definedName name="tlOutputComp2FBESATImpact4_R1">Feedback!$E$489</definedName>
    <definedName name="tlOutputComp2FBESATImpact4_R2">Feedback!$K$489</definedName>
    <definedName name="tlOutputComp2FBGrossMargin_R1">Feedback!$E$501</definedName>
    <definedName name="tlOutputComp2FBGrossMargin_R2">Feedback!$K$501</definedName>
    <definedName name="tlOutputComp2FBGrossProfit_R1">Feedback!$E$500</definedName>
    <definedName name="tlOutputComp2FBGrossProfit_R2">Feedback!$K$500</definedName>
    <definedName name="tlOutputComp2FBLOB1CSAT_R2">Feedback!$K$413</definedName>
    <definedName name="tlOutputComp2FBLOB1CSATImpact1_R2">Feedback!$K$409</definedName>
    <definedName name="tlOutputComp2FBLOB1CSATImpact2_R2">Feedback!$K$410</definedName>
    <definedName name="tlOutputComp2FBLOB1CSATImpact3_R2">Feedback!$K$411</definedName>
    <definedName name="tlOutputComp2FBLOB1CSATImpact4_R2">Feedback!$K$412</definedName>
    <definedName name="tlOutputComp2FBLOB1ESAT_R2">Feedback!$K$470</definedName>
    <definedName name="tlOutputComp2FBLOB1ESATImpact1_R2">Feedback!$K$466</definedName>
    <definedName name="tlOutputComp2FBLOB1ESATImpact2_R2">Feedback!$K$467</definedName>
    <definedName name="tlOutputComp2FBLOB1ESATImpact3_R2">Feedback!$K$468</definedName>
    <definedName name="tlOutputComp2FBLOB1Stars_R2">Feedback!$K$442</definedName>
    <definedName name="tlOutputComp2FBLOB1StarsImpact1_R2">Feedback!$K$437</definedName>
    <definedName name="tlOutputComp2FBLOB1StarsImpact2_R2">Feedback!$K$438</definedName>
    <definedName name="tlOutputComp2FBLOB1StarsImpact3_R2">Feedback!$K$439</definedName>
    <definedName name="tlOutputComp2FBLOB1StarsImpact4_R2">Feedback!$K$440</definedName>
    <definedName name="tlOutputComp2FBLOB1StarsImpact5_R2">Feedback!$K$441</definedName>
    <definedName name="tlOutputComp2FBLOB2CSAT_R2">Feedback!$K$422</definedName>
    <definedName name="tlOutputComp2FBLOB2CSATImpact1_R2">Feedback!$K$418</definedName>
    <definedName name="tlOutputComp2FBLOB2CSATImpact2_R2">Feedback!$K$419</definedName>
    <definedName name="tlOutputComp2FBLOB2CSATImpact3_R2">Feedback!$K$420</definedName>
    <definedName name="tlOutputComp2FBLOB2CSATImpact4_R2">Feedback!$K$421</definedName>
    <definedName name="tlOutputComp2FBLOB2ESAT_R2">Feedback!$K$480</definedName>
    <definedName name="tlOutputComp2FBLOB2ESATImpact1_R2">Feedback!$K$476</definedName>
    <definedName name="tlOutputComp2FBLOB2ESATImpact2_R2">Feedback!$K$477</definedName>
    <definedName name="tlOutputComp2FBLOB2ESATImpact3_R2">Feedback!$K$478</definedName>
    <definedName name="tlOutputComp2FBLOB2Stars_R2">Feedback!$K$451</definedName>
    <definedName name="tlOutputComp2FBLOB2StarsImpact1_R2">Feedback!$K$446</definedName>
    <definedName name="tlOutputComp2FBLOB2StarsImpact2_R2">Feedback!$K$447</definedName>
    <definedName name="tlOutputComp2FBLOB2StarsImpact3_R2">Feedback!$K$448</definedName>
    <definedName name="tlOutputComp2FBLOB2StarsImpact4_R2">Feedback!$K$449</definedName>
    <definedName name="tlOutputComp2FBLOB2StarsImpact5_R2">Feedback!$K$450</definedName>
    <definedName name="tlOutputComp2FBOpMargin_R1">Feedback!$E$518</definedName>
    <definedName name="tlOutputComp2FBOpMargin_R2">Feedback!$K$518</definedName>
    <definedName name="tlOutputComp2FBOpProfit_R1">Feedback!$E$517</definedName>
    <definedName name="tlOutputComp2FBOpProfit_R2">Feedback!$K$517</definedName>
    <definedName name="tlOutputComp2FBProd1Seg1Patients_R1">Feedback!$E$397</definedName>
    <definedName name="tlOutputComp2FBProd1Seg1Patients_R2">Feedback!$K$397</definedName>
    <definedName name="tlOutputComp2FBProd1Seg2Patients_R1">Feedback!$E$399</definedName>
    <definedName name="tlOutputComp2FBProd1Seg2Patients_R2">Feedback!$K$399</definedName>
    <definedName name="tlOutputComp2FBProd1Seg3Patients_R1">Feedback!$E$401</definedName>
    <definedName name="tlOutputComp2FBProd1Seg3Patients_R2">Feedback!$K$401</definedName>
    <definedName name="tlOutputComp2FBProd2Seg1Patients_R1">Feedback!$E$398</definedName>
    <definedName name="tlOutputComp2FBProd2Seg1Patients_R2">Feedback!$K$398</definedName>
    <definedName name="tlOutputComp2FBProd2Seg2Patients_R1">Feedback!$E$400</definedName>
    <definedName name="tlOutputComp2FBProd2Seg2Patients_R2">Feedback!$K$400</definedName>
    <definedName name="tlOutputComp2FBProd2Seg3Patients_R1">Feedback!$E$402</definedName>
    <definedName name="tlOutputComp2FBProd2Seg3Patients_R2">Feedback!$K$402</definedName>
    <definedName name="tlOutputComp2FBRevGrowth_R1">Feedback!$E$392</definedName>
    <definedName name="tlOutputComp2FBRevGrowth_R2">Feedback!$K$392</definedName>
    <definedName name="tlOutputComp2FBSeg1Rev_R1">Feedback!$E$389</definedName>
    <definedName name="tlOutputComp2FBSeg1Rev_R2">Feedback!$K$389</definedName>
    <definedName name="tlOutputComp2FBSeg2Rev_R1">Feedback!$E$390</definedName>
    <definedName name="tlOutputComp2FBSeg2Rev_R2">Feedback!$K$390</definedName>
    <definedName name="tlOutputComp2FBSeg3Rev_R1">Feedback!$E$391</definedName>
    <definedName name="tlOutputComp2FBSeg3Rev_R2">Feedback!$K$391</definedName>
    <definedName name="tlOutputComp2FBServiceCost_R1">Feedback!$E$515</definedName>
    <definedName name="tlOutputComp2FBServiceCost_R2">Feedback!$K$515</definedName>
    <definedName name="tlOutputComp2FBStars_R1">Feedback!$E$461</definedName>
    <definedName name="tlOutputComp2FBStars_R2">Feedback!$K$461</definedName>
    <definedName name="tlOutputComp2FBStarsImpact1_R1">Feedback!$E$456</definedName>
    <definedName name="tlOutputComp2FBStarsImpact1_R2">Feedback!$K$456</definedName>
    <definedName name="tlOutputComp2FBStarsImpact2_R1">Feedback!$E$457</definedName>
    <definedName name="tlOutputComp2FBStarsImpact2_R2">Feedback!$K$457</definedName>
    <definedName name="tlOutputComp2FBStarsImpact3_R1">Feedback!$E$458</definedName>
    <definedName name="tlOutputComp2FBStarsImpact3_R2">Feedback!$K$458</definedName>
    <definedName name="tlOutputComp2FBStarsImpact4_R1">Feedback!$E$459</definedName>
    <definedName name="tlOutputComp2FBStarsImpact4_R2">Feedback!$K$459</definedName>
    <definedName name="tlOutputComp2FBStarsImpact5_R1">Feedback!$E$460</definedName>
    <definedName name="tlOutputComp2FBStarsImpact5_R2">Feedback!$K$460</definedName>
    <definedName name="tlOutputComp2FBTeamName_R1">Feedback!$E$388</definedName>
    <definedName name="tlOutputComp2FBTeamName_R2">Feedback!$K$388</definedName>
    <definedName name="tlOutputComp2LOB1MSR_1">AutoCompetitors!$D$29</definedName>
    <definedName name="tlOutputComp2LOB1MSR_2">AutoCompetitors!$C$29</definedName>
    <definedName name="tlOutputComp2LOB1MSR0">AutoCompetitors!$E$29</definedName>
    <definedName name="tlOutputComp2LOB2MSR_1">AutoCompetitors!$D$31</definedName>
    <definedName name="tlOutputComp2LOB2MSR_2">AutoCompetitors!$C$31</definedName>
    <definedName name="tlOutputComp2LOB2MSR0">AutoCompetitors!$E$31</definedName>
    <definedName name="tlOutputDBCSAT_R0">Controls!$F$109</definedName>
    <definedName name="tlOutputDBCSAT_R1">Controls!$F$82</definedName>
    <definedName name="tlOutputDBCSAT_R2">Controls!$K$82</definedName>
    <definedName name="tlOutputDBESAT_R0">Controls!$F$108</definedName>
    <definedName name="tlOutputDBESAT_R1">Controls!$F$81</definedName>
    <definedName name="tlOutputDBESAT_R2">Controls!$K$81</definedName>
    <definedName name="tlOutputDBLOB1CSAT_R0">Controls!$F$91</definedName>
    <definedName name="tlOutputDBLOB1CSAT_R1">Controls!$F$62</definedName>
    <definedName name="tlOutputDBLOB1CSAT_R2">Controls!$K$62</definedName>
    <definedName name="tlOutputDBLOB1Emp1Util_R0">Controls!$F$92</definedName>
    <definedName name="tlOutputDBLOB1Emp1Util_R1">Controls!$F$63</definedName>
    <definedName name="tlOutputDBLOB1Emp1Util_R2">Controls!$K$63</definedName>
    <definedName name="tlOutputDBLOB1ESAT_R0">Controls!$F$90</definedName>
    <definedName name="tlOutputDBLOB1ESAT_R1">Controls!$F$61</definedName>
    <definedName name="tlOutputDBLOB1ESAT_R2">Controls!$K$61</definedName>
    <definedName name="tlOutputDBLOB1NIFO_R0">Controls!$F$88</definedName>
    <definedName name="tlOutputDBLOB1NIFO_R1">Controls!$F$59</definedName>
    <definedName name="tlOutputDBLOB1NIFO_R2">Controls!$K$59</definedName>
    <definedName name="tlOutputDBLOB1OpMargin_R0">Controls!$F$93</definedName>
    <definedName name="tlOutputDBLOB1OpMargin_R1">Controls!$F$64</definedName>
    <definedName name="tlOutputDBLOB1OpMargin_R2">Controls!$K$64</definedName>
    <definedName name="tlOutputDBLOB1RevGrowth_R0">Controls!$F$87</definedName>
    <definedName name="tlOutputDBLOB1RevGrowth_R1">Controls!$F$58</definedName>
    <definedName name="tlOutputDBLOB1RevGrowth_R2">Controls!$K$58</definedName>
    <definedName name="tlOutputDBLOB1Stars_R0">Controls!$F$89</definedName>
    <definedName name="tlOutputDBLOB1Stars_R1">Controls!$F$60</definedName>
    <definedName name="tlOutputDBLOB1Stars_R2">Controls!$K$60</definedName>
    <definedName name="tlOutputDBLOB2CSAT_R0">Controls!$F$100</definedName>
    <definedName name="tlOutputDBLOB2CSAT_R1">Controls!$F$72</definedName>
    <definedName name="tlOutputDBLOB2CSAT_R2">Controls!$K$72</definedName>
    <definedName name="tlOutputDBLOB2Emp1Util_R0">Controls!$F$101</definedName>
    <definedName name="tlOutputDBLOB2Emp1Util_R1">Controls!$F$73</definedName>
    <definedName name="tlOutputDBLOB2Emp1Util_R2">Controls!$K$73</definedName>
    <definedName name="tlOutputDBLOB2ESAT_R0">Controls!$F$99</definedName>
    <definedName name="tlOutputDBLOB2ESAT_R1">Controls!$F$71</definedName>
    <definedName name="tlOutputDBLOB2ESAT_R2">Controls!$K$71</definedName>
    <definedName name="tlOutputDBLOB2NIFO_R0">Controls!$F$97</definedName>
    <definedName name="tlOutputDBLOB2NIFO_R1">Controls!$F$69</definedName>
    <definedName name="tlOutputDBLOB2NIFO_R2">Controls!$K$69</definedName>
    <definedName name="tlOutputDBLOB2OpMargin_R0">Controls!$F$102</definedName>
    <definedName name="tlOutputDBLOB2OpMargin_R1">Controls!$F$74</definedName>
    <definedName name="tlOutputDBLOB2OpMargin_R2">Controls!$K$74</definedName>
    <definedName name="tlOutputDBLOB2RevGrowth_R0">Controls!$F$96</definedName>
    <definedName name="tlOutputDBLOB2RevGrowth_R1">Controls!$F$68</definedName>
    <definedName name="tlOutputDBLOB2RevGrowth_R2">Controls!$K$68</definedName>
    <definedName name="tlOutputDBLOB2Stars_R0">Controls!$F$98</definedName>
    <definedName name="tlOutputDBLOB2Stars_R1">Controls!$F$70</definedName>
    <definedName name="tlOutputDBLOB2Stars_R2">Controls!$K$70</definedName>
    <definedName name="tlOutputDBNIFO_R0">Controls!$F$106</definedName>
    <definedName name="tlOutputDBNIFO_R1">Controls!$F$79</definedName>
    <definedName name="tlOutputDBNIFO_R2">Controls!$K$79</definedName>
    <definedName name="tlOutputDBOpMargin_R0">Controls!$F$110</definedName>
    <definedName name="tlOutputDBOpMargin_R1">Controls!$F$83</definedName>
    <definedName name="tlOutputDBOpMargin_R2">Controls!$K$83</definedName>
    <definedName name="tlOutputDBRevGrowth_R0">Controls!$F$105</definedName>
    <definedName name="tlOutputDBRevGrowth_R1">Controls!$F$78</definedName>
    <definedName name="tlOutputDBRevGrowth_R2">Controls!$K$78</definedName>
    <definedName name="tlOutputDBStars_R0">Controls!$F$107</definedName>
    <definedName name="tlOutputDBStars_R1">Controls!$F$80</definedName>
    <definedName name="tlOutputDBStars_R2">Controls!$K$80</definedName>
    <definedName name="tlOutputFBAdmintPerc_R1">Feedback!$E$192</definedName>
    <definedName name="tlOutputFBAdmintPerc_R2">Feedback!$K$192</definedName>
    <definedName name="tlOutputFBCapacityPerc_R1">Feedback!$E$243</definedName>
    <definedName name="tlOutputFBCapacityPerc_R2">Feedback!$K$243</definedName>
    <definedName name="tlOutputFBCSAT_R1">Feedback!$E$200</definedName>
    <definedName name="tlOutputFBCSAT_R2">Feedback!$K$200</definedName>
    <definedName name="tlOutputFBCSATImpact1_R1">Feedback!$E$196</definedName>
    <definedName name="tlOutputFBCSATImpact1_R2">Feedback!$K$196</definedName>
    <definedName name="tlOutputFBCSATImpact2_R1">Feedback!$E$197</definedName>
    <definedName name="tlOutputFBCSATImpact2_R2">Feedback!$K$197</definedName>
    <definedName name="tlOutputFBCSATImpact3_R1">Feedback!$E$198</definedName>
    <definedName name="tlOutputFBCSATImpact3_R2">Feedback!$K$198</definedName>
    <definedName name="tlOutputFBCSATImpact4_R1">Feedback!$E$199</definedName>
    <definedName name="tlOutputFBCSATImpact4_R2">Feedback!$K$199</definedName>
    <definedName name="tlOutputFBEmp1Capacity_R1">Feedback!$E$237</definedName>
    <definedName name="tlOutputFBEmp1Capacity_R2">Feedback!$K$237</definedName>
    <definedName name="tlOutputFBEmp1Cost_R1">Feedback!$E$229</definedName>
    <definedName name="tlOutputFBEmp1Cost_R2">Feedback!$K$229</definedName>
    <definedName name="tlOutputFBEmp1Visits_R1">Feedback!$E$238</definedName>
    <definedName name="tlOutputFBEmp1Visits_R2">Feedback!$K$238</definedName>
    <definedName name="tlOutputFBEmp2Capacity_R1">Feedback!$E$239</definedName>
    <definedName name="tlOutputFBEmp2Capacity_R2">Feedback!$K$239</definedName>
    <definedName name="tlOutputFBEmp2Cost_R1">Feedback!$E$230</definedName>
    <definedName name="tlOutputFBEmp2Cost_R2">Feedback!$K$230</definedName>
    <definedName name="tlOutputFBEmp2Visits_R1">Feedback!$E$240</definedName>
    <definedName name="tlOutputFBEmp2Visits_R2">Feedback!$K$240</definedName>
    <definedName name="tlOutputFBEmp3Capacity_R1">Feedback!$E$241</definedName>
    <definedName name="tlOutputFBEmp3Capacity_R2">Feedback!$K$241</definedName>
    <definedName name="tlOutputFBEmp3Cost_R1">Feedback!$E$231</definedName>
    <definedName name="tlOutputFBEmp3Cost_R2">Feedback!$K$231</definedName>
    <definedName name="tlOutputFBEmp3Visits_R1">Feedback!$E$242</definedName>
    <definedName name="tlOutputFBEmp3Visits_R2">Feedback!$K$242</definedName>
    <definedName name="tlOutputFBEmpOverhead_R1">Feedback!$E$248</definedName>
    <definedName name="tlOutputFBEmpOverhead_R2">Feedback!$K$248</definedName>
    <definedName name="tlOutputFBESAT_R1">Feedback!$E$222</definedName>
    <definedName name="tlOutputFBESAT_R2">Feedback!$K$222</definedName>
    <definedName name="tlOutputFBESATImpact1_R1">Feedback!$E$218</definedName>
    <definedName name="tlOutputFBESATImpact1_R2">Feedback!$K$218</definedName>
    <definedName name="tlOutputFBESATImpact2_R1">Feedback!$E$219</definedName>
    <definedName name="tlOutputFBESATImpact2_R2">Feedback!$K$219</definedName>
    <definedName name="tlOutputFBESATImpact3_R1">Feedback!$E$220</definedName>
    <definedName name="tlOutputFBESATImpact3_R2">Feedback!$K$220</definedName>
    <definedName name="tlOutputFBESATImpact4_R1">Feedback!$E$221</definedName>
    <definedName name="tlOutputFBESATImpact4_R2">Feedback!$K$221</definedName>
    <definedName name="tlOutputFBGrossMargin_R1">Feedback!$E$233</definedName>
    <definedName name="tlOutputFBGrossMargin_R2">Feedback!$K$233</definedName>
    <definedName name="tlOutputFBGrossProfit_R1">Feedback!$E$232</definedName>
    <definedName name="tlOutputFBGrossProfit_R2">Feedback!$K$232</definedName>
    <definedName name="tlOutputFBLOB1AdmintPerc_R1">Feedback!$E$40</definedName>
    <definedName name="tlOutputFBLOB1AdmintPerc_R2">Feedback!$K$40</definedName>
    <definedName name="tlOutputFBLOB1CapacityPerc_R1">Feedback!$E$91</definedName>
    <definedName name="tlOutputFBLOB1CapacityPerc_R2">Feedback!$K$91</definedName>
    <definedName name="tlOutputFBLOB1CSAT_R1">Feedback!$E$48</definedName>
    <definedName name="tlOutputFBLOB1CSAT_R2">Feedback!$K$48</definedName>
    <definedName name="tlOutputFBLOB1CSATImpact1_R1">Feedback!$E$44</definedName>
    <definedName name="tlOutputFBLOB1CSATImpact1_R2">Feedback!$K$44</definedName>
    <definedName name="tlOutputFBLOB1CSATImpact2_R1">Feedback!$E$45</definedName>
    <definedName name="tlOutputFBLOB1CSATImpact2_R2">Feedback!$K$45</definedName>
    <definedName name="tlOutputFBLOB1CSATImpact3_R1">Feedback!$E$46</definedName>
    <definedName name="tlOutputFBLOB1CSATImpact3_R2">Feedback!$K$46</definedName>
    <definedName name="tlOutputFBLOB1CSATImpact4_R1">Feedback!$E$47</definedName>
    <definedName name="tlOutputFBLOB1CSATImpact4_R2">Feedback!$K$47</definedName>
    <definedName name="tlOutputFBLOB1Emp1Capacity_R1">Feedback!$E$85</definedName>
    <definedName name="tlOutputFBLOB1Emp1Capacity_R2">Feedback!$K$85</definedName>
    <definedName name="tlOutputFBLOB1Emp1Cost_R1">Feedback!$E$77</definedName>
    <definedName name="tlOutputFBLOB1Emp1Cost_R2">Feedback!$K$77</definedName>
    <definedName name="tlOutputFBLOB1Emp1Visits_R1">Feedback!$E$86</definedName>
    <definedName name="tlOutputFBLOB1Emp1Visits_R2">Feedback!$K$86</definedName>
    <definedName name="tlOutputFBLOB1Emp2Capacity_R1">Feedback!$E$87</definedName>
    <definedName name="tlOutputFBLOB1Emp2Capacity_R2">Feedback!$K$87</definedName>
    <definedName name="tlOutputFBLOB1Emp2Cost_R1">Feedback!$E$78</definedName>
    <definedName name="tlOutputFBLOB1Emp2Cost_R2">Feedback!$K$78</definedName>
    <definedName name="tlOutputFBLOB1Emp2Visits_R1">Feedback!$E$88</definedName>
    <definedName name="tlOutputFBLOB1Emp2Visits_R2">Feedback!$K$88</definedName>
    <definedName name="tlOutputFBLOB1Emp3Capacity_R1">Feedback!$E$89</definedName>
    <definedName name="tlOutputFBLOB1Emp3Capacity_R2">Feedback!$K$89</definedName>
    <definedName name="tlOutputFBLOB1Emp3Cost_R1">Feedback!$E$79</definedName>
    <definedName name="tlOutputFBLOB1Emp3Cost_R2">Feedback!$K$79</definedName>
    <definedName name="tlOutputFBLOB1Emp3Visits_R1">Feedback!$E$90</definedName>
    <definedName name="tlOutputFBLOB1Emp3Visits_R2">Feedback!$K$90</definedName>
    <definedName name="tlOutputFBLOB1EmpOverhead_R1">Feedback!$E$96</definedName>
    <definedName name="tlOutputFBLOB1EmpOverhead_R2">Feedback!$K$96</definedName>
    <definedName name="tlOutputFBLOB1ESAT_R1">Feedback!$E$70</definedName>
    <definedName name="tlOutputFBLOB1ESAT_R2">Feedback!$K$70</definedName>
    <definedName name="tlOutputFBLOB1ESATImpact1_R1">Feedback!$E$66</definedName>
    <definedName name="tlOutputFBLOB1ESATImpact1_R2">Feedback!$K$66</definedName>
    <definedName name="tlOutputFBLOB1ESATImpact2_R1">Feedback!$E$67</definedName>
    <definedName name="tlOutputFBLOB1ESATImpact2_R2">Feedback!$K$67</definedName>
    <definedName name="tlOutputFBLOB1ESATImpact3_R1">Feedback!$E$68</definedName>
    <definedName name="tlOutputFBLOB1ESATImpact3_R2">Feedback!$K$68</definedName>
    <definedName name="tlOutputFBLOB1ESATImpact4_R1">Feedback!$E$69</definedName>
    <definedName name="tlOutputFBLOB1ESATImpact4_R2">Feedback!$K$69</definedName>
    <definedName name="tlOutputFBLOB1GrossMargin_R1">Feedback!$E$81</definedName>
    <definedName name="tlOutputFBLOB1GrossMargin_R2">Feedback!$K$81</definedName>
    <definedName name="tlOutputFBLOB1GrossProfit_R1">Feedback!$E$80</definedName>
    <definedName name="tlOutputFBLOB1GrossProfit_R2">Feedback!$K$80</definedName>
    <definedName name="tlOutputFBLOB1OpMargin_R1">Feedback!$E$98</definedName>
    <definedName name="tlOutputFBLOB1OpMargin_R2">Feedback!$K$98</definedName>
    <definedName name="tlOutputFBLOB1OpProfit_R1">Feedback!$E$97</definedName>
    <definedName name="tlOutputFBLOB1OpProfit_R2">Feedback!$K$97</definedName>
    <definedName name="tlOutputFBLOB1Prod1Seg1Patients_R1">Feedback!$E$34</definedName>
    <definedName name="tlOutputFBLOB1Prod1Seg1Patients_R2">Feedback!$K$34</definedName>
    <definedName name="tlOutputFBLOB1Prod1Seg2Patients_R1">Feedback!$E$36</definedName>
    <definedName name="tlOutputFBLOB1Prod1Seg2Patients_R2">Feedback!$K$36</definedName>
    <definedName name="tlOutputFBLOB1Prod1Seg3Patients_R1">Feedback!$E$38</definedName>
    <definedName name="tlOutputFBLOB1Prod1Seg3Patients_R2">Feedback!$K$38</definedName>
    <definedName name="tlOutputFBLOB1Prod2Seg1Patients_R1">Feedback!$E$35</definedName>
    <definedName name="tlOutputFBLOB1Prod2Seg1Patients_R2">Feedback!$K$35</definedName>
    <definedName name="tlOutputFBLOB1Prod2Seg2Patients_R1">Feedback!$E$37</definedName>
    <definedName name="tlOutputFBLOB1Prod2Seg2Patients_R2">Feedback!$K$37</definedName>
    <definedName name="tlOutputFBLOB1Prod2Seg3Patients_R1">Feedback!$E$39</definedName>
    <definedName name="tlOutputFBLOB1Prod2Seg3Patients_R2">Feedback!$K$39</definedName>
    <definedName name="tlOutputFBLOB1RevGrowth_R1">Feedback!$E$29</definedName>
    <definedName name="tlOutputFBLOB1RevGrowth_R2">Feedback!$K$29</definedName>
    <definedName name="tlOutputFBLOB1Seg1Rev_R1">Feedback!$E$26</definedName>
    <definedName name="tlOutputFBLOB1Seg1Rev_R2">Feedback!$K$26</definedName>
    <definedName name="tlOutputFBLOB1Seg2Rev_R1">Feedback!$E$27</definedName>
    <definedName name="tlOutputFBLOB1Seg2Rev_R2">Feedback!$K$27</definedName>
    <definedName name="tlOutputFBLOB1Seg3Rev_R1">Feedback!$E$28</definedName>
    <definedName name="tlOutputFBLOB1Seg3Rev_R2">Feedback!$K$28</definedName>
    <definedName name="tlOutputFBLOB1ServiceCost_R1">Feedback!$E$95</definedName>
    <definedName name="tlOutputFBLOB1ServiceCost_R2">Feedback!$K$95</definedName>
    <definedName name="tlOutputFBLOB1Stars_R1">Feedback!$E$60</definedName>
    <definedName name="tlOutputFBLOB1Stars_R2">Feedback!$K$60</definedName>
    <definedName name="tlOutputFBLOB1StarsImpact1_R1">Feedback!$E$55</definedName>
    <definedName name="tlOutputFBLOB1StarsImpact1_R2">Feedback!$K$55</definedName>
    <definedName name="tlOutputFBLOB1StarsImpact2_R1">Feedback!$E$56</definedName>
    <definedName name="tlOutputFBLOB1StarsImpact2_R2">Feedback!$K$56</definedName>
    <definedName name="tlOutputFBLOB1StarsImpact3_R1">Feedback!$E$57</definedName>
    <definedName name="tlOutputFBLOB1StarsImpact3_R2">Feedback!$K$57</definedName>
    <definedName name="tlOutputFBLOB1StarsImpact4_R1">Feedback!$E$58</definedName>
    <definedName name="tlOutputFBLOB1StarsImpact4_R2">Feedback!$K$58</definedName>
    <definedName name="tlOutputFBLOB1StarsImpact5_R1">Feedback!$E$59</definedName>
    <definedName name="tlOutputFBLOB1StarsImpact5_R2">Feedback!$K$59</definedName>
    <definedName name="tlOutputFBLOB2AdmintPerc_R1">Feedback!$E$116</definedName>
    <definedName name="tlOutputFBLOB2AdmintPerc_R2">Feedback!$K$116</definedName>
    <definedName name="tlOutputFBLOB2CapacityPerc_R1">Feedback!$E$167</definedName>
    <definedName name="tlOutputFBLOB2CapacityPerc_R2">Feedback!$K$167</definedName>
    <definedName name="tlOutputFBLOB2CSAT_R1">Feedback!$E$124</definedName>
    <definedName name="tlOutputFBLOB2CSAT_R2">Feedback!$K$124</definedName>
    <definedName name="tlOutputFBLOB2CSATImpact1_R1">Feedback!$E$120</definedName>
    <definedName name="tlOutputFBLOB2CSATImpact1_R2">Feedback!$K$120</definedName>
    <definedName name="tlOutputFBLOB2CSATImpact2_R1">Feedback!$E$121</definedName>
    <definedName name="tlOutputFBLOB2CSATImpact2_R2">Feedback!$K$121</definedName>
    <definedName name="tlOutputFBLOB2CSATImpact3_R1">Feedback!$E$122</definedName>
    <definedName name="tlOutputFBLOB2CSATImpact3_R2">Feedback!$K$122</definedName>
    <definedName name="tlOutputFBLOB2CSATImpact4_R1">Feedback!$E$123</definedName>
    <definedName name="tlOutputFBLOB2CSATImpact4_R2">Feedback!$K$123</definedName>
    <definedName name="tlOutputFBLOB2Emp1Capacity_R1">Feedback!$E$161</definedName>
    <definedName name="tlOutputFBLOB2Emp1Capacity_R2">Feedback!$K$161</definedName>
    <definedName name="tlOutputFBLOB2Emp1Cost_R1">Feedback!$E$153</definedName>
    <definedName name="tlOutputFBLOB2Emp1Cost_R2">Feedback!$K$153</definedName>
    <definedName name="tlOutputFBLOB2Emp1Visits_R1">Feedback!$E$162</definedName>
    <definedName name="tlOutputFBLOB2Emp1Visits_R2">Feedback!$K$162</definedName>
    <definedName name="tlOutputFBLOB2Emp2Capacity_R1">Feedback!$E$163</definedName>
    <definedName name="tlOutputFBLOB2Emp2Capacity_R2">Feedback!$K$163</definedName>
    <definedName name="tlOutputFBLOB2Emp2Cost_R1">Feedback!$E$154</definedName>
    <definedName name="tlOutputFBLOB2Emp2Cost_R2">Feedback!$K$154</definedName>
    <definedName name="tlOutputFBLOB2Emp2Visits_R1">Feedback!$E$164</definedName>
    <definedName name="tlOutputFBLOB2Emp2Visits_R2">Feedback!$K$164</definedName>
    <definedName name="tlOutputFBLOB2Emp3Capacity_R1">Feedback!$E$165</definedName>
    <definedName name="tlOutputFBLOB2Emp3Capacity_R2">Feedback!$K$165</definedName>
    <definedName name="tlOutputFBLOB2Emp3Cost_R1">Feedback!$E$155</definedName>
    <definedName name="tlOutputFBLOB2Emp3Cost_R2">Feedback!$K$155</definedName>
    <definedName name="tlOutputFBLOB2Emp3Visits_R1">Feedback!$E$166</definedName>
    <definedName name="tlOutputFBLOB2Emp3Visits_R2">Feedback!$K$166</definedName>
    <definedName name="tlOutputFBLOB2EmpOverhead_R1">Feedback!$E$172</definedName>
    <definedName name="tlOutputFBLOB2EmpOverhead_R2">Feedback!$K$172</definedName>
    <definedName name="tlOutputFBLOB2ESAT_R1">Feedback!$E$146</definedName>
    <definedName name="tlOutputFBLOB2ESAT_R2">Feedback!$K$146</definedName>
    <definedName name="tlOutputFBLOB2ESATImpact1_R1">Feedback!$E$142</definedName>
    <definedName name="tlOutputFBLOB2ESATImpact1_R2">Feedback!$K$142</definedName>
    <definedName name="tlOutputFBLOB2ESATImpact2_R1">Feedback!$E$143</definedName>
    <definedName name="tlOutputFBLOB2ESATImpact2_R2">Feedback!$K$143</definedName>
    <definedName name="tlOutputFBLOB2ESATImpact3_R1">Feedback!$E$144</definedName>
    <definedName name="tlOutputFBLOB2ESATImpact3_R2">Feedback!$K$144</definedName>
    <definedName name="tlOutputFBLOB2ESATImpact4_R1">Feedback!$E$145</definedName>
    <definedName name="tlOutputFBLOB2ESATImpact4_R2">Feedback!$K$145</definedName>
    <definedName name="tlOutputFBLOB2GrossMargin_R1">Feedback!$E$157</definedName>
    <definedName name="tlOutputFBLOB2GrossMargin_R2">Feedback!$K$157</definedName>
    <definedName name="tlOutputFBLOB2GrossProfit_R1">Feedback!$E$156</definedName>
    <definedName name="tlOutputFBLOB2GrossProfit_R2">Feedback!$K$156</definedName>
    <definedName name="tlOutputFBLOB2OpMargin_R1">Feedback!$E$174</definedName>
    <definedName name="tlOutputFBLOB2OpMargin_R2">Feedback!$K$174</definedName>
    <definedName name="tlOutputFBLOB2OpProfit_R1">Feedback!$E$173</definedName>
    <definedName name="tlOutputFBLOB2OpProfit_R2">Feedback!$K$173</definedName>
    <definedName name="tlOutputFBLOB2Prod1Seg1Patients_R1">Feedback!$E$110</definedName>
    <definedName name="tlOutputFBLOB2Prod1Seg1Patients_R2">Feedback!$K$110</definedName>
    <definedName name="tlOutputFBLOB2Prod1Seg2Patients_R1">Feedback!$E$112</definedName>
    <definedName name="tlOutputFBLOB2Prod1Seg2Patients_R2">Feedback!$K$112</definedName>
    <definedName name="tlOutputFBLOB2Prod1Seg3Patients_R1">Feedback!$E$114</definedName>
    <definedName name="tlOutputFBLOB2Prod1Seg3Patients_R2">Feedback!$K$114</definedName>
    <definedName name="tlOutputFBLOB2Prod2Seg1Patients_R1">Feedback!$E$111</definedName>
    <definedName name="tlOutputFBLOB2Prod2Seg1Patients_R2">Feedback!$K$111</definedName>
    <definedName name="tlOutputFBLOB2Prod2Seg2Patients_R1">Feedback!$E$113</definedName>
    <definedName name="tlOutputFBLOB2Prod2Seg2Patients_R2">Feedback!$K$113</definedName>
    <definedName name="tlOutputFBLOB2Prod2Seg3Patients_R1">Feedback!$E$115</definedName>
    <definedName name="tlOutputFBLOB2Prod2Seg3Patients_R2">Feedback!$K$115</definedName>
    <definedName name="tlOutputFBLOB2RevGrowth_R1">Feedback!$E$105</definedName>
    <definedName name="tlOutputFBLOB2RevGrowth_R2">Feedback!$K$105</definedName>
    <definedName name="tlOutputFBLOB2Seg1Rev_R1">Feedback!$E$102</definedName>
    <definedName name="tlOutputFBLOB2Seg1Rev_R2">Feedback!$K$102</definedName>
    <definedName name="tlOutputFBLOB2Seg2Rev_R1">Feedback!$E$103</definedName>
    <definedName name="tlOutputFBLOB2Seg2Rev_R2">Feedback!$K$103</definedName>
    <definedName name="tlOutputFBLOB2Seg3Rev_R1">Feedback!$E$104</definedName>
    <definedName name="tlOutputFBLOB2Seg3Rev_R2">Feedback!$K$104</definedName>
    <definedName name="tlOutputFBLOB2ServiceCost_R1">Feedback!$E$171</definedName>
    <definedName name="tlOutputFBLOB2ServiceCost_R2">Feedback!$K$171</definedName>
    <definedName name="tlOutputFBLOB2Stars_R1">Feedback!$E$136</definedName>
    <definedName name="tlOutputFBLOB2Stars_R2">Feedback!$K$136</definedName>
    <definedName name="tlOutputFBLOB2StarsImpact1_R1">Feedback!$E$131</definedName>
    <definedName name="tlOutputFBLOB2StarsImpact1_R2">Feedback!$K$131</definedName>
    <definedName name="tlOutputFBLOB2StarsImpact2_R1">Feedback!$E$132</definedName>
    <definedName name="tlOutputFBLOB2StarsImpact2_R2">Feedback!$K$132</definedName>
    <definedName name="tlOutputFBLOB2StarsImpact3_R1">Feedback!$E$133</definedName>
    <definedName name="tlOutputFBLOB2StarsImpact3_R2">Feedback!$K$133</definedName>
    <definedName name="tlOutputFBLOB2StarsImpact4_R1">Feedback!$E$134</definedName>
    <definedName name="tlOutputFBLOB2StarsImpact4_R2">Feedback!$K$134</definedName>
    <definedName name="tlOutputFBLOB2StarsImpact5_R1">Feedback!$E$135</definedName>
    <definedName name="tlOutputFBLOB2StarsImpact5_R2">Feedback!$K$135</definedName>
    <definedName name="tlOutputFBOpMargin_R1">Feedback!$E$250</definedName>
    <definedName name="tlOutputFBOpMargin_R2">Feedback!$K$250</definedName>
    <definedName name="tlOutputFBOpProfit_R1">Feedback!$E$249</definedName>
    <definedName name="tlOutputFBOpProfit_R2">Feedback!$K$249</definedName>
    <definedName name="tlOutputFBProd1Seg1Patients_R1">Feedback!$E$186</definedName>
    <definedName name="tlOutputFBProd1Seg1Patients_R2">Feedback!$K$186</definedName>
    <definedName name="tlOutputFBProd1Seg2Patients_R1">Feedback!$E$188</definedName>
    <definedName name="tlOutputFBProd1Seg2Patients_R2">Feedback!$K$188</definedName>
    <definedName name="tlOutputFBProd1Seg3Patients_R1">Feedback!$E$190</definedName>
    <definedName name="tlOutputFBProd1Seg3Patients_R2">Feedback!$K$190</definedName>
    <definedName name="tlOutputFBProd2Seg1Patients_R1">Feedback!$E$187</definedName>
    <definedName name="tlOutputFBProd2Seg1Patients_R2">Feedback!$K$187</definedName>
    <definedName name="tlOutputFBProd2Seg2Patients_R1">Feedback!$E$189</definedName>
    <definedName name="tlOutputFBProd2Seg2Patients_R2">Feedback!$K$189</definedName>
    <definedName name="tlOutputFBProd2Seg3Patients_R1">Feedback!$E$191</definedName>
    <definedName name="tlOutputFBProd2Seg3Patients_R2">Feedback!$K$191</definedName>
    <definedName name="tlOutputFBRevGrowth_R1">Feedback!$E$181</definedName>
    <definedName name="tlOutputFBRevGrowth_R2">Feedback!$K$181</definedName>
    <definedName name="tlOutputFBSeg1Rev_R1">Feedback!$E$178</definedName>
    <definedName name="tlOutputFBSeg1Rev_R2">Feedback!$K$178</definedName>
    <definedName name="tlOutputFBSeg2Rev_R1">Feedback!$E$179</definedName>
    <definedName name="tlOutputFBSeg2Rev_R2">Feedback!$K$179</definedName>
    <definedName name="tlOutputFBSeg3Rev_R1">Feedback!$E$180</definedName>
    <definedName name="tlOutputFBSeg3Rev_R2">Feedback!$K$180</definedName>
    <definedName name="tlOutputFBServiceCost_R1">Feedback!$E$247</definedName>
    <definedName name="tlOutputFBServiceCost_R2">Feedback!$K$247</definedName>
    <definedName name="tlOutputFBStars_R1">Feedback!$E$212</definedName>
    <definedName name="tlOutputFBStars_R2">Feedback!$K$212</definedName>
    <definedName name="tlOutputFBStarsImpact1_R1">Feedback!$E$207</definedName>
    <definedName name="tlOutputFBStarsImpact1_R2">Feedback!$K$207</definedName>
    <definedName name="tlOutputFBStarsImpact2_R1">Feedback!$E$208</definedName>
    <definedName name="tlOutputFBStarsImpact2_R2">Feedback!$K$208</definedName>
    <definedName name="tlOutputFBStarsImpact3_R1">Feedback!$E$209</definedName>
    <definedName name="tlOutputFBStarsImpact3_R2">Feedback!$K$209</definedName>
    <definedName name="tlOutputFBStarsImpact4_R1">Feedback!$E$210</definedName>
    <definedName name="tlOutputFBStarsImpact4_R2">Feedback!$K$210</definedName>
    <definedName name="tlOutputFBStarsImpact5_R1">Feedback!$E$211</definedName>
    <definedName name="tlOutputFBStarsImpact5_R2">Feedback!$K$211</definedName>
    <definedName name="tlOutputFBTeamName_R1">Feedback!$E$22</definedName>
    <definedName name="tlOutputFBTeamName_R2">Feedback!$K$22</definedName>
    <definedName name="tlOutputfinEmpOverhead_R0">tlPnL!$AI$18</definedName>
    <definedName name="tlOutputfinEmpOverhead_R1">tlPnL!$K$18</definedName>
    <definedName name="tlOutputfinEmpOverhead_R2">tlPnL!$W$18</definedName>
    <definedName name="tlOutputfinGrossMargin_R0">tlPnL!$AI$15</definedName>
    <definedName name="tlOutputfinGrossMargin_R1">tlPnL!$K$15</definedName>
    <definedName name="tlOutputfinGrossMargin_R2">tlPnL!$W$15</definedName>
    <definedName name="tlOutputfinLOB1EmpOverhead_R0">tlPnL!$AE$18</definedName>
    <definedName name="tlOutputfinLOB1EmpOverhead_R1">tlPnL!$G$18</definedName>
    <definedName name="tlOutputfinLOB1EmpOverhead_R2">tlPnL!$S$18</definedName>
    <definedName name="tlOutputfinLOB1GrossMargin_R0">tlPnL!$AE$15</definedName>
    <definedName name="tlOutputfinLOB1GrossMargin_R1">tlPnL!$G$15</definedName>
    <definedName name="tlOutputfinLOB1GrossMargin_R2">tlPnL!$S$15</definedName>
    <definedName name="tlOutputfinLOB1OpMargin_R0">tlPnL!$AE$21</definedName>
    <definedName name="tlOutputfinLOB1OpMargin_R1">tlPnL!$G$21</definedName>
    <definedName name="tlOutputfinLOB1OpMargin_R2">tlPnL!$S$21</definedName>
    <definedName name="tlOutputfinLOB1OpProfit_R0">tlPnL!$AE$20</definedName>
    <definedName name="tlOutputfinLOB1OpProfit_R1">tlPnL!$G$20</definedName>
    <definedName name="tlOutputfinLOB1OpProfit_R2">tlPnL!$S$20</definedName>
    <definedName name="tlOutputfinLOB1Rev_R0">tlPnL!$AE$12</definedName>
    <definedName name="tlOutputfinLOB1Rev_R1">tlPnL!$G$12</definedName>
    <definedName name="tlOutputfinLOB1Rev_R2">tlPnL!$S$12</definedName>
    <definedName name="tlOutputfinLOB1Seg1Rev_R0">tlPnL!$AE$9</definedName>
    <definedName name="tlOutputfinLOB1Seg1Rev_R1">tlPnL!$G$9</definedName>
    <definedName name="tlOutputfinLOB1Seg1Rev_R2">tlPnL!$S$9</definedName>
    <definedName name="tlOutputfinLOB1Seg2Rev_R0">tlPnL!$AE$10</definedName>
    <definedName name="tlOutputfinLOB1Seg2Rev_R1">tlPnL!$G$10</definedName>
    <definedName name="tlOutputfinLOB1Seg2Rev_R2">tlPnL!$S$10</definedName>
    <definedName name="tlOutputfinLOB1Seg3Rev_R0">tlPnL!$AE$11</definedName>
    <definedName name="tlOutputfinLOB1Seg3Rev_R1">tlPnL!$G$11</definedName>
    <definedName name="tlOutputfinLOB1Seg3Rev_R2">tlPnL!$S$11</definedName>
    <definedName name="tlOutputfinLOB1ServiceCost_R0">tlPnL!$AE$14</definedName>
    <definedName name="tlOutputfinLOB1ServiceCost_R1">tlPnL!$G$14</definedName>
    <definedName name="tlOutputfinLOB1ServiceCost_R2">tlPnL!$S$14</definedName>
    <definedName name="tlOutputfinLOB1TotalExp_R0">tlPnL!$AE$19</definedName>
    <definedName name="tlOutputfinLOB1TotalExp_R1">tlPnL!$G$19</definedName>
    <definedName name="tlOutputfinLOB1TotalExp_R2">tlPnL!$S$19</definedName>
    <definedName name="tlOutputfinLOB2EmpOverhead_R0">tlPnL!$AG$18</definedName>
    <definedName name="tlOutputfinLOB2EmpOverhead_R1">tlPnL!$I$18</definedName>
    <definedName name="tlOutputfinLOB2EmpOverhead_R2">tlPnL!$U$18</definedName>
    <definedName name="tlOutputfinLOB2GrossMargin_R0">tlPnL!$AG$15</definedName>
    <definedName name="tlOutputfinLOB2GrossMargin_R1">tlPnL!$I$15</definedName>
    <definedName name="tlOutputfinLOB2GrossMargin_R2">tlPnL!$U$15</definedName>
    <definedName name="tlOutputfinLOB2OpMargin_R0">tlPnL!$AG$21</definedName>
    <definedName name="tlOutputfinLOB2OpMargin_R1">tlPnL!$I$21</definedName>
    <definedName name="tlOutputfinLOB2OpMargin_R2">tlPnL!$U$21</definedName>
    <definedName name="tlOutputfinLOB2OpProfit_R0">tlPnL!$AG$20</definedName>
    <definedName name="tlOutputfinLOB2OpProfit_R1">tlPnL!$I$20</definedName>
    <definedName name="tlOutputfinLOB2OpProfit_R2">tlPnL!$U$20</definedName>
    <definedName name="tlOutputfinLOB2Rev_R0">tlPnL!$AG$12</definedName>
    <definedName name="tlOutputfinLOB2Rev_R1">tlPnL!$I$12</definedName>
    <definedName name="tlOutputfinLOB2Rev_R2">tlPnL!$U$12</definedName>
    <definedName name="tlOutputfinLOB2Seg1Rev_R0">tlPnL!$AG$9</definedName>
    <definedName name="tlOutputfinLOB2Seg1Rev_R1">tlPnL!$I$9</definedName>
    <definedName name="tlOutputfinLOB2Seg1Rev_R2">tlPnL!$U$9</definedName>
    <definedName name="tlOutputfinLOB2Seg2Rev_R0">tlPnL!$AG$10</definedName>
    <definedName name="tlOutputfinLOB2Seg2Rev_R1">tlPnL!$I$10</definedName>
    <definedName name="tlOutputfinLOB2Seg2Rev_R2">tlPnL!$U$10</definedName>
    <definedName name="tlOutputfinLOB2Seg3Rev_R0">tlPnL!$AG$11</definedName>
    <definedName name="tlOutputfinLOB2Seg3Rev_R1">tlPnL!$I$11</definedName>
    <definedName name="tlOutputfinLOB2Seg3Rev_R2">tlPnL!$U$11</definedName>
    <definedName name="tlOutputfinLOB2ServiceCost_R0">tlPnL!$AG$14</definedName>
    <definedName name="tlOutputfinLOB2ServiceCost_R1">tlPnL!$I$14</definedName>
    <definedName name="tlOutputfinLOB2ServiceCost_R2">tlPnL!$U$14</definedName>
    <definedName name="tlOutputfinLOB2TotalExp_R0">tlPnL!$AG$19</definedName>
    <definedName name="tlOutputfinLOB2TotalExp_R1">tlPnL!$I$19</definedName>
    <definedName name="tlOutputfinLOB2TotalExp_R2">tlPnL!$U$19</definedName>
    <definedName name="tlOutputfinOpMargin_R0">tlPnL!$AI$21</definedName>
    <definedName name="tlOutputfinOpMargin_R1">tlPnL!$K$21</definedName>
    <definedName name="tlOutputfinOpMargin_R2">tlPnL!$W$21</definedName>
    <definedName name="tlOutputfinOpProfit_R0">tlPnL!$AI$20</definedName>
    <definedName name="tlOutputfinOpProfit_R1">tlPnL!$K$20</definedName>
    <definedName name="tlOutputfinOpProfit_R2">tlPnL!$W$20</definedName>
    <definedName name="tlOutputfinRev_R0">tlPnL!$AI$12</definedName>
    <definedName name="tlOutputfinRev_R1">tlPnL!$K$12</definedName>
    <definedName name="tlOutputfinRev_R2">tlPnL!$W$12</definedName>
    <definedName name="tlOutputfinSeg1Rev_R0">tlPnL!$AI$9</definedName>
    <definedName name="tlOutputfinSeg1Rev_R1">tlPnL!$K$9</definedName>
    <definedName name="tlOutputfinSeg1Rev_R2">tlPnL!$W$9</definedName>
    <definedName name="tlOutputfinSeg2Rev_R0">tlPnL!$AI$10</definedName>
    <definedName name="tlOutputfinSeg2Rev_R1">tlPnL!$K$10</definedName>
    <definedName name="tlOutputfinSeg2Rev_R2">tlPnL!$W$10</definedName>
    <definedName name="tlOutputfinSeg3Rev_R0">tlPnL!$AI$11</definedName>
    <definedName name="tlOutputfinSeg3Rev_R1">tlPnL!$K$11</definedName>
    <definedName name="tlOutputfinSeg3Rev_R2">tlPnL!$W$11</definedName>
    <definedName name="tlOutputfinServiceCost_R0">tlPnL!$AI$14</definedName>
    <definedName name="tlOutputfinServiceCost_R1">tlPnL!$K$14</definedName>
    <definedName name="tlOutputfinServiceCost_R2">tlPnL!$W$14</definedName>
    <definedName name="tlOutputfinTotalExp_R0">tlPnL!$AI$19</definedName>
    <definedName name="tlOutputfinTotalExp_R1">tlPnL!$K$19</definedName>
    <definedName name="tlOutputfinTotalExp_R2">tlPnL!$W$19</definedName>
    <definedName name="tlOutputLOB1Cln10AlloWeekProd_R1">tlProd1Staff!$Q$19</definedName>
    <definedName name="tlOutputLOB1Cln10AlloWeekProd_R2">tlProd1Staff!$AT$19</definedName>
    <definedName name="tlOutputLOB1Cln10Dis_R1">tlProd1Staff!$G$19</definedName>
    <definedName name="tlOutputLOB1Cln10Dis_R2">tlProd1Staff!$AJ$19</definedName>
    <definedName name="tlOutputLOB1Cln10Name_R1">tlProd1Staff!$K$19</definedName>
    <definedName name="tlOutputLOB1Cln10Name_R2">tlProd1Staff!$AN$19</definedName>
    <definedName name="tlOutputLOB1Cln10PayMethod_R1">tlProd1Staff!$M$19</definedName>
    <definedName name="tlOutputLOB1Cln10PayMethod_R2">tlProd1Staff!$AP$19</definedName>
    <definedName name="tlOutputLOB1Cln10Status_R1">tlProd1Staff!$I$19</definedName>
    <definedName name="tlOutputLOB1Cln10Status_R2">tlProd1Staff!$AL$19</definedName>
    <definedName name="tlOutputLOB1Cln10WeekAdmin_R1">tlProd1Staff!$AA$19</definedName>
    <definedName name="tlOutputLOB1Cln10WeekAdmin_R2">tlProd1Staff!$BD$19</definedName>
    <definedName name="tlOutputLOB1Cln10WeekMile_R1">tlProd1Staff!$Y$19</definedName>
    <definedName name="tlOutputLOB1Cln10WeekMile_R2">tlProd1Staff!$BB$19</definedName>
    <definedName name="tlOutputLOB1Cln10WeekMiss_R1">tlProd1Staff!$W$19</definedName>
    <definedName name="tlOutputLOB1Cln10WeekMiss_R2">tlProd1Staff!$AZ$19</definedName>
    <definedName name="tlOutputLOB1Cln10WeekOT_R1">tlProd1Staff!$AC$19</definedName>
    <definedName name="tlOutputLOB1Cln10WeekOT_R2">tlProd1Staff!$BF$19</definedName>
    <definedName name="tlOutputLOB1Cln10WeekProd_R1">tlProd1Staff!$O$19</definedName>
    <definedName name="tlOutputLOB1Cln10WeekProd_R2">tlProd1Staff!$AR$19</definedName>
    <definedName name="tlOutputLOB1Cln10WeekProdProj_R1">tlProd1Staff!$U$19</definedName>
    <definedName name="tlOutputLOB1Cln10WeekProdProj_R2">tlProd1Staff!$AX$19</definedName>
    <definedName name="tlOutputLOB1Cln11AlloWeekProd_R1">tlProd1Staff!$Q$20</definedName>
    <definedName name="tlOutputLOB1Cln11AlloWeekProd_R2">tlProd1Staff!$AT$20</definedName>
    <definedName name="tlOutputLOB1Cln11Experienced_R1">tlProd1Staff!$F$34</definedName>
    <definedName name="tlOutputLOB1Cln11Experienced_R2">tlProd1Staff!$AI$34</definedName>
    <definedName name="tlOutputLOB1Cln11Name_R1">tlProd1Staff!$K$20</definedName>
    <definedName name="tlOutputLOB1Cln11Name_R2">tlProd1Staff!$AN$20</definedName>
    <definedName name="tlOutputLOB1Cln11NonExperienced_R1">tlProd1Staff!$F$33</definedName>
    <definedName name="tlOutputLOB1Cln11NonExperienced_R2">tlProd1Staff!$AI$33</definedName>
    <definedName name="tlOutputLOB1Cln11PayMethod_R1">tlProd1Staff!$M$20</definedName>
    <definedName name="tlOutputLOB1Cln11PayMethod_R2">tlProd1Staff!$AP$20</definedName>
    <definedName name="tlOutputLOB1Cln11WeekAdmin_R1">tlProd1Staff!$AA$20</definedName>
    <definedName name="tlOutputLOB1Cln11WeekAdmin_R2">tlProd1Staff!$BD$20</definedName>
    <definedName name="tlOutputLOB1Cln11WeekMile_R1">tlProd1Staff!$Y$20</definedName>
    <definedName name="tlOutputLOB1Cln11WeekMile_R2">tlProd1Staff!$BB$20</definedName>
    <definedName name="tlOutputLOB1Cln11WeekMiss_R1">tlProd1Staff!$W$20</definedName>
    <definedName name="tlOutputLOB1Cln11WeekMiss_R2">tlProd1Staff!$AZ$20</definedName>
    <definedName name="tlOutputLOB1Cln11WeekOT_R1">tlProd1Staff!$AC$20</definedName>
    <definedName name="tlOutputLOB1Cln11WeekOT_R2">tlProd1Staff!$BF$20</definedName>
    <definedName name="tlOutputLOB1Cln11WeekProd_R1">tlProd1Staff!$O$20</definedName>
    <definedName name="tlOutputLOB1Cln11WeekProd_R2">tlProd1Staff!$AR$20</definedName>
    <definedName name="tlOutputLOB1Cln11WeekProdProj_R1">tlProd1Staff!$U$20</definedName>
    <definedName name="tlOutputLOB1Cln11WeekProdProj_R2">tlProd1Staff!$AX$20</definedName>
    <definedName name="tlOutputLOB1Cln12AlloWeekProd_R1">tlProd1Staff!$Q$21</definedName>
    <definedName name="tlOutputLOB1Cln12AlloWeekProd_R2">tlProd1Staff!$AT$21</definedName>
    <definedName name="tlOutputLOB1Cln12Name_R1">tlProd1Staff!$K$21</definedName>
    <definedName name="tlOutputLOB1Cln12Name_R2">tlProd1Staff!$AN$21</definedName>
    <definedName name="tlOutputLOB1Cln12PayMethod_R1">tlProd1Staff!$M$21</definedName>
    <definedName name="tlOutputLOB1Cln12PayMethod_R2">tlProd1Staff!$AP$21</definedName>
    <definedName name="tlOutputLOB1Cln12WeekAdmin_R1">tlProd1Staff!$AA$21</definedName>
    <definedName name="tlOutputLOB1Cln12WeekAdmin_R2">tlProd1Staff!$BD$21</definedName>
    <definedName name="tlOutputLOB1Cln12WeekMile_R1">tlProd1Staff!$Y$21</definedName>
    <definedName name="tlOutputLOB1Cln12WeekMile_R2">tlProd1Staff!$BB$21</definedName>
    <definedName name="tlOutputLOB1Cln12WeekMiss_R1">tlProd1Staff!$W$21</definedName>
    <definedName name="tlOutputLOB1Cln12WeekMiss_R2">tlProd1Staff!$AZ$21</definedName>
    <definedName name="tlOutputLOB1Cln12WeekOT_R1">tlProd1Staff!$AC$21</definedName>
    <definedName name="tlOutputLOB1Cln12WeekOT_R2">tlProd1Staff!$BF$21</definedName>
    <definedName name="tlOutputLOB1Cln12WeekProd_R1">tlProd1Staff!$O$21</definedName>
    <definedName name="tlOutputLOB1Cln12WeekProd_R2">tlProd1Staff!$AR$21</definedName>
    <definedName name="tlOutputLOB1Cln12WeekProdProj_R1">tlProd1Staff!$U$21</definedName>
    <definedName name="tlOutputLOB1Cln12WeekProdProj_R2">tlProd1Staff!$AX$21</definedName>
    <definedName name="tlOutputLOB1Cln1AlloWeekProd_R1">tlProd1Staff!$Q$10</definedName>
    <definedName name="tlOutputLOB1Cln1AlloWeekProd_R2">tlProd1Staff!$AT$10</definedName>
    <definedName name="tlOutputLOB1Cln1Dis_R1">tlProd1Staff!$G$10</definedName>
    <definedName name="tlOutputLOB1Cln1Dis_R2">tlProd1Staff!$AJ$10</definedName>
    <definedName name="tlOutputLOB1Cln1Name_R1">tlProd1Staff!$K$10</definedName>
    <definedName name="tlOutputLOB1Cln1Name_R2">tlProd1Staff!$AN$10</definedName>
    <definedName name="tlOutputLOB1Cln1PayMethod_R1">tlProd1Staff!$M$10</definedName>
    <definedName name="tlOutputLOB1Cln1PayMethod_R2">tlProd1Staff!$AP$10</definedName>
    <definedName name="tlOutputLOB1Cln1Status_R1">tlProd1Staff!$I$10</definedName>
    <definedName name="tlOutputLOB1Cln1Status_R2">tlProd1Staff!$AL$10</definedName>
    <definedName name="tlOutputLOB1Cln1WeekAdmin_R1">tlProd1Staff!$AA$10</definedName>
    <definedName name="tlOutputLOB1Cln1WeekAdmin_R2">tlProd1Staff!$BD$10</definedName>
    <definedName name="tlOutputLOB1Cln1WeekMile_R1">tlProd1Staff!$Y$10</definedName>
    <definedName name="tlOutputLOB1Cln1WeekMile_R2">tlProd1Staff!$BB$10</definedName>
    <definedName name="tlOutputLOB1Cln1WeekMiss_R1">tlProd1Staff!$W$10</definedName>
    <definedName name="tlOutputLOB1Cln1WeekMiss_R2">tlProd1Staff!$AZ$10</definedName>
    <definedName name="tlOutputLOB1Cln1WeekOT_R1">tlProd1Staff!$AC$10</definedName>
    <definedName name="tlOutputLOB1Cln1WeekOT_R2">tlProd1Staff!$BF$10</definedName>
    <definedName name="tlOutputLOB1Cln1WeekProd_R1">tlProd1Staff!$O$10</definedName>
    <definedName name="tlOutputLOB1Cln1WeekProd_R2">tlProd1Staff!$AR$10</definedName>
    <definedName name="tlOutputLOB1Cln1WeekProdProj_R1">tlProd1Staff!$U$10</definedName>
    <definedName name="tlOutputLOB1Cln1WeekProdProj_R2">tlProd1Staff!$AX$10</definedName>
    <definedName name="tlOutputLOB1Cln2AlloWeekProd_R1">tlProd1Staff!$Q$11</definedName>
    <definedName name="tlOutputLOB1Cln2AlloWeekProd_R2">tlProd1Staff!$AT$11</definedName>
    <definedName name="tlOutputLOB1Cln2Dis_R1">tlProd1Staff!$G$11</definedName>
    <definedName name="tlOutputLOB1Cln2Dis_R2">tlProd1Staff!$AJ$11</definedName>
    <definedName name="tlOutputLOB1Cln2Name_R1">tlProd1Staff!$K$11</definedName>
    <definedName name="tlOutputLOB1Cln2Name_R2">tlProd1Staff!$AN$11</definedName>
    <definedName name="tlOutputLOB1Cln2PayMethod_R1">tlProd1Staff!$M$11</definedName>
    <definedName name="tlOutputLOB1Cln2PayMethod_R2">tlProd1Staff!$AP$11</definedName>
    <definedName name="tlOutputLOB1Cln2Status_R1">tlProd1Staff!$I$11</definedName>
    <definedName name="tlOutputLOB1Cln2Status_R2">tlProd1Staff!$AL$11</definedName>
    <definedName name="tlOutputLOB1Cln2WeekAdmin_R1">tlProd1Staff!$AA$11</definedName>
    <definedName name="tlOutputLOB1Cln2WeekAdmin_R2">tlProd1Staff!$BD$11</definedName>
    <definedName name="tlOutputLOB1Cln2WeekMile_R1">tlProd1Staff!$Y$11</definedName>
    <definedName name="tlOutputLOB1Cln2WeekMile_R2">tlProd1Staff!$BB$11</definedName>
    <definedName name="tlOutputLOB1Cln2WeekMiss_R1">tlProd1Staff!$W$11</definedName>
    <definedName name="tlOutputLOB1Cln2WeekMiss_R2">tlProd1Staff!$AZ$11</definedName>
    <definedName name="tlOutputLOB1Cln2WeekOT_R1">tlProd1Staff!$AC$11</definedName>
    <definedName name="tlOutputLOB1Cln2WeekOT_R2">tlProd1Staff!$BF$11</definedName>
    <definedName name="tlOutputLOB1Cln2WeekProd_R1">tlProd1Staff!$O$11</definedName>
    <definedName name="tlOutputLOB1Cln2WeekProd_R2">tlProd1Staff!$AR$11</definedName>
    <definedName name="tlOutputLOB1Cln2WeekProdProj_R1">tlProd1Staff!$U$11</definedName>
    <definedName name="tlOutputLOB1Cln2WeekProdProj_R2">tlProd1Staff!$AX$11</definedName>
    <definedName name="tlOutputLOB1Cln3AlloWeekProd_R1">tlProd1Staff!$Q$12</definedName>
    <definedName name="tlOutputLOB1Cln3AlloWeekProd_R2">tlProd1Staff!$AT$12</definedName>
    <definedName name="tlOutputLOB1Cln3Dis_R1">tlProd1Staff!$G$12</definedName>
    <definedName name="tlOutputLOB1Cln3Dis_R2">tlProd1Staff!$AJ$12</definedName>
    <definedName name="tlOutputLOB1Cln3Name_R1">tlProd1Staff!$K$12</definedName>
    <definedName name="tlOutputLOB1Cln3Name_R2">tlProd1Staff!$AN$12</definedName>
    <definedName name="tlOutputLOB1Cln3PayMethod_R1">tlProd1Staff!$M$12</definedName>
    <definedName name="tlOutputLOB1Cln3PayMethod_R2">tlProd1Staff!$AP$12</definedName>
    <definedName name="tlOutputLOB1Cln3Status_R1">tlProd1Staff!$I$12</definedName>
    <definedName name="tlOutputLOB1Cln3Status_R2">tlProd1Staff!$AL$12</definedName>
    <definedName name="tlOutputLOB1Cln3WeekAdmin_R1">tlProd1Staff!$AA$12</definedName>
    <definedName name="tlOutputLOB1Cln3WeekAdmin_R2">tlProd1Staff!$BD$12</definedName>
    <definedName name="tlOutputLOB1Cln3WeekMile_R1">tlProd1Staff!$Y$12</definedName>
    <definedName name="tlOutputLOB1Cln3WeekMile_R2">tlProd1Staff!$BB$12</definedName>
    <definedName name="tlOutputLOB1Cln3WeekMiss_R1">tlProd1Staff!$W$12</definedName>
    <definedName name="tlOutputLOB1Cln3WeekMiss_R2">tlProd1Staff!$AZ$12</definedName>
    <definedName name="tlOutputLOB1Cln3WeekOT_R1">tlProd1Staff!$AC$12</definedName>
    <definedName name="tlOutputLOB1Cln3WeekOT_R2">tlProd1Staff!$BF$12</definedName>
    <definedName name="tlOutputLOB1Cln3WeekProd_R1">tlProd1Staff!$O$12</definedName>
    <definedName name="tlOutputLOB1Cln3WeekProd_R2">tlProd1Staff!$AR$12</definedName>
    <definedName name="tlOutputLOB1Cln3WeekProdProj_R1">tlProd1Staff!$U$12</definedName>
    <definedName name="tlOutputLOB1Cln3WeekProdProj_R2">tlProd1Staff!$AX$12</definedName>
    <definedName name="tlOutputLOB1Cln4AlloWeekProd_R1">tlProd1Staff!$Q$13</definedName>
    <definedName name="tlOutputLOB1Cln4AlloWeekProd_R2">tlProd1Staff!$AT$13</definedName>
    <definedName name="tlOutputLOB1Cln4Dis_R1">tlProd1Staff!$G$13</definedName>
    <definedName name="tlOutputLOB1Cln4Dis_R2">tlProd1Staff!$AJ$13</definedName>
    <definedName name="tlOutputLOB1Cln4Name_R1">tlProd1Staff!$K$13</definedName>
    <definedName name="tlOutputLOB1Cln4Name_R2">tlProd1Staff!$AN$13</definedName>
    <definedName name="tlOutputLOB1Cln4PayMethod_R1">tlProd1Staff!$M$13</definedName>
    <definedName name="tlOutputLOB1Cln4PayMethod_R2">tlProd1Staff!$AP$13</definedName>
    <definedName name="tlOutputLOB1Cln4Status_R1">tlProd1Staff!$I$13</definedName>
    <definedName name="tlOutputLOB1Cln4Status_R2">tlProd1Staff!$AL$13</definedName>
    <definedName name="tlOutputLOB1Cln4WeekAdmin_R1">tlProd1Staff!$AA$13</definedName>
    <definedName name="tlOutputLOB1Cln4WeekAdmin_R2">tlProd1Staff!$BD$13</definedName>
    <definedName name="tlOutputLOB1Cln4WeekMile_R1">tlProd1Staff!$Y$13</definedName>
    <definedName name="tlOutputLOB1Cln4WeekMile_R2">tlProd1Staff!$BB$13</definedName>
    <definedName name="tlOutputLOB1Cln4WeekMiss_R1">tlProd1Staff!$W$13</definedName>
    <definedName name="tlOutputLOB1Cln4WeekMiss_R2">tlProd1Staff!$AZ$13</definedName>
    <definedName name="tlOutputLOB1Cln4WeekOT_R1">tlProd1Staff!$AC$13</definedName>
    <definedName name="tlOutputLOB1Cln4WeekOT_R2">tlProd1Staff!$BF$13</definedName>
    <definedName name="tlOutputLOB1Cln4WeekProd_R1">tlProd1Staff!$O$13</definedName>
    <definedName name="tlOutputLOB1Cln4WeekProd_R2">tlProd1Staff!$AR$13</definedName>
    <definedName name="tlOutputLOB1Cln4WeekProdProj_R1">tlProd1Staff!$U$13</definedName>
    <definedName name="tlOutputLOB1Cln4WeekProdProj_R2">tlProd1Staff!$AX$13</definedName>
    <definedName name="tlOutputLOB1Cln5AlloWeekProd_R1">tlProd1Staff!$Q$14</definedName>
    <definedName name="tlOutputLOB1Cln5AlloWeekProd_R2">tlProd1Staff!$AT$14</definedName>
    <definedName name="tlOutputLOB1Cln5Dis_R1">tlProd1Staff!$G$14</definedName>
    <definedName name="tlOutputLOB1Cln5Dis_R2">tlProd1Staff!$AJ$14</definedName>
    <definedName name="tlOutputLOB1Cln5Name_R1">tlProd1Staff!$K$14</definedName>
    <definedName name="tlOutputLOB1Cln5Name_R2">tlProd1Staff!$AN$14</definedName>
    <definedName name="tlOutputLOB1Cln5PayMethod_R1">tlProd1Staff!$M$14</definedName>
    <definedName name="tlOutputLOB1Cln5PayMethod_R2">tlProd1Staff!$AP$14</definedName>
    <definedName name="tlOutputLOB1Cln5Status_R1">tlProd1Staff!$I$14</definedName>
    <definedName name="tlOutputLOB1Cln5Status_R2">tlProd1Staff!$AL$14</definedName>
    <definedName name="tlOutputLOB1Cln5WeekAdmin_R1">tlProd1Staff!$AA$14</definedName>
    <definedName name="tlOutputLOB1Cln5WeekAdmin_R2">tlProd1Staff!$BD$14</definedName>
    <definedName name="tlOutputLOB1Cln5WeekMile_R1">tlProd1Staff!$Y$14</definedName>
    <definedName name="tlOutputLOB1Cln5WeekMile_R2">tlProd1Staff!$BB$14</definedName>
    <definedName name="tlOutputLOB1Cln5WeekMiss_R1">tlProd1Staff!$W$14</definedName>
    <definedName name="tlOutputLOB1Cln5WeekMiss_R2">tlProd1Staff!$AZ$14</definedName>
    <definedName name="tlOutputLOB1Cln5WeekOT_R1">tlProd1Staff!$AC$14</definedName>
    <definedName name="tlOutputLOB1Cln5WeekOT_R2">tlProd1Staff!$BF$14</definedName>
    <definedName name="tlOutputLOB1Cln5WeekProd_R1">tlProd1Staff!$O$14</definedName>
    <definedName name="tlOutputLOB1Cln5WeekProd_R2">tlProd1Staff!$AR$14</definedName>
    <definedName name="tlOutputLOB1Cln5WeekProdProj_R1">tlProd1Staff!$U$14</definedName>
    <definedName name="tlOutputLOB1Cln5WeekProdProj_R2">tlProd1Staff!$AX$14</definedName>
    <definedName name="tlOutputLOB1Cln6AlloWeekProd_R1">tlProd1Staff!$Q$15</definedName>
    <definedName name="tlOutputLOB1Cln6AlloWeekProd_R2">tlProd1Staff!$AT$15</definedName>
    <definedName name="tlOutputLOB1Cln6Dis_R1">tlProd1Staff!$G$15</definedName>
    <definedName name="tlOutputLOB1Cln6Dis_R2">tlProd1Staff!$AJ$15</definedName>
    <definedName name="tlOutputLOB1Cln6Name_R1">tlProd1Staff!$K$15</definedName>
    <definedName name="tlOutputLOB1Cln6Name_R2">tlProd1Staff!$AN$15</definedName>
    <definedName name="tlOutputLOB1Cln6PayMethod_R1">tlProd1Staff!$M$15</definedName>
    <definedName name="tlOutputLOB1Cln6PayMethod_R2">tlProd1Staff!$AP$15</definedName>
    <definedName name="tlOutputLOB1Cln6Status_R1">tlProd1Staff!$I$15</definedName>
    <definedName name="tlOutputLOB1Cln6Status_R2">tlProd1Staff!$AL$15</definedName>
    <definedName name="tlOutputLOB1Cln6WeekAdmin_R1">tlProd1Staff!$AA$15</definedName>
    <definedName name="tlOutputLOB1Cln6WeekAdmin_R2">tlProd1Staff!$BD$15</definedName>
    <definedName name="tlOutputLOB1Cln6WeekMile_R1">tlProd1Staff!$Y$15</definedName>
    <definedName name="tlOutputLOB1Cln6WeekMile_R2">tlProd1Staff!$BB$15</definedName>
    <definedName name="tlOutputLOB1Cln6WeekMiss_R1">tlProd1Staff!$W$15</definedName>
    <definedName name="tlOutputLOB1Cln6WeekMiss_R2">tlProd1Staff!$AZ$15</definedName>
    <definedName name="tlOutputLOB1Cln6WeekOT_R1">tlProd1Staff!$AC$15</definedName>
    <definedName name="tlOutputLOB1Cln6WeekOT_R2">tlProd1Staff!$BF$15</definedName>
    <definedName name="tlOutputLOB1Cln6WeekProd_R1">tlProd1Staff!$O$15</definedName>
    <definedName name="tlOutputLOB1Cln6WeekProd_R2">tlProd1Staff!$AR$15</definedName>
    <definedName name="tlOutputLOB1Cln6WeekProdProj_R1">tlProd1Staff!$U$15</definedName>
    <definedName name="tlOutputLOB1Cln6WeekProdProj_R2">tlProd1Staff!$AX$15</definedName>
    <definedName name="tlOutputLOB1Cln7AlloWeekProd_R1">tlProd1Staff!$Q$16</definedName>
    <definedName name="tlOutputLOB1Cln7AlloWeekProd_R2">tlProd1Staff!$AT$16</definedName>
    <definedName name="tlOutputLOB1Cln7Dis_R1">tlProd1Staff!$G$16</definedName>
    <definedName name="tlOutputLOB1Cln7Dis_R2">tlProd1Staff!$AJ$16</definedName>
    <definedName name="tlOutputLOB1Cln7Name_R1">tlProd1Staff!$K$16</definedName>
    <definedName name="tlOutputLOB1Cln7Name_R2">tlProd1Staff!$AN$16</definedName>
    <definedName name="tlOutputLOB1Cln7PayMethod_R1">tlProd1Staff!$M$16</definedName>
    <definedName name="tlOutputLOB1Cln7PayMethod_R2">tlProd1Staff!$AP$16</definedName>
    <definedName name="tlOutputLOB1Cln7Status_R1">tlProd1Staff!$I$16</definedName>
    <definedName name="tlOutputLOB1Cln7Status_R2">tlProd1Staff!$AL$16</definedName>
    <definedName name="tlOutputLOB1Cln7WeekAdmin_R1">tlProd1Staff!$AA$16</definedName>
    <definedName name="tlOutputLOB1Cln7WeekAdmin_R2">tlProd1Staff!$BD$16</definedName>
    <definedName name="tlOutputLOB1Cln7WeekMile_R1">tlProd1Staff!$Y$16</definedName>
    <definedName name="tlOutputLOB1Cln7WeekMile_R2">tlProd1Staff!$BB$16</definedName>
    <definedName name="tlOutputLOB1Cln7WeekMiss_R1">tlProd1Staff!$W$16</definedName>
    <definedName name="tlOutputLOB1Cln7WeekMiss_R2">tlProd1Staff!$AZ$16</definedName>
    <definedName name="tlOutputLOB1Cln7WeekOT_R1">tlProd1Staff!$AC$16</definedName>
    <definedName name="tlOutputLOB1Cln7WeekOT_R2">tlProd1Staff!$BF$16</definedName>
    <definedName name="tlOutputLOB1Cln7WeekProd_R1">tlProd1Staff!$O$16</definedName>
    <definedName name="tlOutputLOB1Cln7WeekProd_R2">tlProd1Staff!$AR$16</definedName>
    <definedName name="tlOutputLOB1Cln7WeekProdProj_R1">tlProd1Staff!$U$16</definedName>
    <definedName name="tlOutputLOB1Cln7WeekProdProj_R2">tlProd1Staff!$AX$16</definedName>
    <definedName name="tlOutputLOB1Cln8AlloWeekProd_R1">tlProd1Staff!$Q$17</definedName>
    <definedName name="tlOutputLOB1Cln8AlloWeekProd_R2">tlProd1Staff!$AT$17</definedName>
    <definedName name="tlOutputLOB1Cln8Dis_R1">tlProd1Staff!$G$17</definedName>
    <definedName name="tlOutputLOB1Cln8Dis_R2">tlProd1Staff!$AJ$17</definedName>
    <definedName name="tlOutputLOB1Cln8Name_R1">tlProd1Staff!$K$17</definedName>
    <definedName name="tlOutputLOB1Cln8Name_R2">tlProd1Staff!$AN$17</definedName>
    <definedName name="tlOutputLOB1Cln8PayMethod_R1">tlProd1Staff!$M$17</definedName>
    <definedName name="tlOutputLOB1Cln8PayMethod_R2">tlProd1Staff!$AP$17</definedName>
    <definedName name="tlOutputLOB1Cln8Status_R1">tlProd1Staff!$I$17</definedName>
    <definedName name="tlOutputLOB1Cln8Status_R2">tlProd1Staff!$AL$17</definedName>
    <definedName name="tlOutputLOB1Cln8WeekAdmin_R1">tlProd1Staff!$AA$17</definedName>
    <definedName name="tlOutputLOB1Cln8WeekAdmin_R2">tlProd1Staff!$BD$17</definedName>
    <definedName name="tlOutputLOB1Cln8WeekMile_R1">tlProd1Staff!$Y$17</definedName>
    <definedName name="tlOutputLOB1Cln8WeekMile_R2">tlProd1Staff!$BB$17</definedName>
    <definedName name="tlOutputLOB1Cln8WeekMiss_R1">tlProd1Staff!$W$17</definedName>
    <definedName name="tlOutputLOB1Cln8WeekMiss_R2">tlProd1Staff!$AZ$17</definedName>
    <definedName name="tlOutputLOB1Cln8WeekOT_R1">tlProd1Staff!$AC$17</definedName>
    <definedName name="tlOutputLOB1Cln8WeekOT_R2">tlProd1Staff!$BF$17</definedName>
    <definedName name="tlOutputLOB1Cln8WeekProd_R1">tlProd1Staff!$O$17</definedName>
    <definedName name="tlOutputLOB1Cln8WeekProd_R2">tlProd1Staff!$AR$17</definedName>
    <definedName name="tlOutputLOB1Cln8WeekProdProj_R1">tlProd1Staff!$U$17</definedName>
    <definedName name="tlOutputLOB1Cln8WeekProdProj_R2">tlProd1Staff!$AX$17</definedName>
    <definedName name="tlOutputLOB1Cln9AlloWeekProd_R1">tlProd1Staff!$Q$18</definedName>
    <definedName name="tlOutputLOB1Cln9AlloWeekProd_R2">tlProd1Staff!$AT$18</definedName>
    <definedName name="tlOutputLOB1Cln9Dis_R1">tlProd1Staff!$G$18</definedName>
    <definedName name="tlOutputLOB1Cln9Dis_R2">tlProd1Staff!$AJ$18</definedName>
    <definedName name="tlOutputLOB1Cln9Name_R1">tlProd1Staff!$K$18</definedName>
    <definedName name="tlOutputLOB1Cln9Name_R2">tlProd1Staff!$AN$18</definedName>
    <definedName name="tlOutputLOB1Cln9PayMethod_R1">tlProd1Staff!$M$18</definedName>
    <definedName name="tlOutputLOB1Cln9PayMethod_R2">tlProd1Staff!$AP$18</definedName>
    <definedName name="tlOutputLOB1Cln9Status_R1">tlProd1Staff!$I$18</definedName>
    <definedName name="tlOutputLOB1Cln9Status_R2">tlProd1Staff!$AL$18</definedName>
    <definedName name="tlOutputLOB1Cln9WeekAdmin_R1">tlProd1Staff!$AA$18</definedName>
    <definedName name="tlOutputLOB1Cln9WeekAdmin_R2">tlProd1Staff!$BD$18</definedName>
    <definedName name="tlOutputLOB1Cln9WeekMile_R1">tlProd1Staff!$Y$18</definedName>
    <definedName name="tlOutputLOB1Cln9WeekMile_R2">tlProd1Staff!$BB$18</definedName>
    <definedName name="tlOutputLOB1Cln9WeekMiss_R1">tlProd1Staff!$W$18</definedName>
    <definedName name="tlOutputLOB1Cln9WeekMiss_R2">tlProd1Staff!$AZ$18</definedName>
    <definedName name="tlOutputLOB1Cln9WeekOT_R1">tlProd1Staff!$AC$18</definedName>
    <definedName name="tlOutputLOB1Cln9WeekOT_R2">tlProd1Staff!$BF$18</definedName>
    <definedName name="tlOutputLOB1Cln9WeekProd_R1">tlProd1Staff!$O$18</definedName>
    <definedName name="tlOutputLOB1Cln9WeekProd_R2">tlProd1Staff!$AR$18</definedName>
    <definedName name="tlOutputLOB1Cln9WeekProdProj_R1">tlProd1Staff!$U$18</definedName>
    <definedName name="tlOutputLOB1Cln9WeekProdProj_R2">tlProd1Staff!$AX$18</definedName>
    <definedName name="tlOutputLOB1Disc1TotalVisitsPerc_R1">tlProd1Staff!$Y$33</definedName>
    <definedName name="tlOutputLOB1Disc1TotalVisitsPerc_R2">tlProd1Staff!$BB$33</definedName>
    <definedName name="tlOutputLOB1Disc2BelowLicsenceVisits_R1">tlProd1Staff!$Y$35</definedName>
    <definedName name="tlOutputLOB1Disc2BelowLicsenceVisits_R2">tlProd1Staff!$BB$35</definedName>
    <definedName name="tlOutputLOB1Disc2TotalVisitsPerc_R1">tlProd1Staff!$Y$34</definedName>
    <definedName name="tlOutputLOB1Disc2TotalVisitsPerc_R2">tlProd1Staff!$BB$34</definedName>
    <definedName name="tlOutputLOB1DOOBaseTime1_R1">tlProd1DOO!$E$20</definedName>
    <definedName name="tlOutputLOB1DOOBaseTime1_R2">tlProd1DOO!$O$20</definedName>
    <definedName name="tlOutputLOB1DOOBaseTime2_R1">tlProd1DOO!$E$21</definedName>
    <definedName name="tlOutputLOB1DOOBaseTime2_R2">tlProd1DOO!$O$21</definedName>
    <definedName name="tlOutputLOB1DOOBaseTime3_R1">tlProd1DOO!$E$22</definedName>
    <definedName name="tlOutputLOB1DOOBaseTime3_R2">tlProd1DOO!$O$22</definedName>
    <definedName name="tlOutputLOB1DOOBaseTime4_R1">tlProd1DOO!$E$23</definedName>
    <definedName name="tlOutputLOB1DOOBaseTime4_R2">tlProd1DOO!$O$23</definedName>
    <definedName name="tlOutputLOB1DOOBaseTime5_R1">tlProd1DOO!$E$24</definedName>
    <definedName name="tlOutputLOB1DOOBaseTime5_R2">tlProd1DOO!$O$24</definedName>
    <definedName name="tlOutputLOB1DOOBaseTime6_R1">tlProd1DOO!$E$25</definedName>
    <definedName name="tlOutputLOB1DOOBaseTime6_R2">tlProd1DOO!$O$25</definedName>
    <definedName name="tlOutputLOB1DOOPlanTime1_R1">tlProd1DOO!$I$20</definedName>
    <definedName name="tlOutputLOB1DOOPlanTime1_R2">tlProd1DOO!$S$20</definedName>
    <definedName name="tlOutputLOB1DOOPlanTime2_R1">tlProd1DOO!$I$21</definedName>
    <definedName name="tlOutputLOB1DOOPlanTime2_R2">tlProd1DOO!$S$21</definedName>
    <definedName name="tlOutputLOB1DOOPlanTime3_R1">tlProd1DOO!$I$22</definedName>
    <definedName name="tlOutputLOB1DOOPlanTime3_R2">tlProd1DOO!$S$22</definedName>
    <definedName name="tlOutputLOB1DOOPlanTime4_R1">tlProd1DOO!$I$23</definedName>
    <definedName name="tlOutputLOB1DOOPlanTime4_R2">tlProd1DOO!$S$23</definedName>
    <definedName name="tlOutputLOB1DOOPlanTime5_R1">tlProd1DOO!$I$24</definedName>
    <definedName name="tlOutputLOB1DOOPlanTime5_R2">tlProd1DOO!$S$24</definedName>
    <definedName name="tlOutputLOB1DOOPlanTime6_R1">tlProd1DOO!$I$25</definedName>
    <definedName name="tlOutputLOB1DOOPlanTime6_R2">tlProd1DOO!$S$25</definedName>
    <definedName name="tlOutputLOB1DOOTotalBaseTime_R1">tlProd1DOO!$E$26</definedName>
    <definedName name="tlOutputLOB1DOOTotalBaseTime_R2">tlProd1DOO!$O$26</definedName>
    <definedName name="tlOutputLOB1DOOTotalPlanTime_R1">tlProd1DOO!$I$26</definedName>
    <definedName name="tlOutputLOB1DOOTotalPlanTime_R2">tlProd1DOO!$S$26</definedName>
    <definedName name="tlOutputLOB1Emp1AvgAlloMeet_R1">tlProd1Staff!$W$24</definedName>
    <definedName name="tlOutputLOB1Emp1AvgAlloMeet_R2">tlProd1Staff!$AZ$24</definedName>
    <definedName name="tlOutputLOB1Emp1AvgCapacity_R1">tlProd1Staff!$Y$24</definedName>
    <definedName name="tlOutputLOB1Emp1AvgCapacity_R2">tlProd1Staff!$BB$24</definedName>
    <definedName name="tlOutputLOB1Emp1Total_R1">tlProd1Staff!$U$24</definedName>
    <definedName name="tlOutputLOB1Emp1Total_R2">tlProd1Staff!$AX$24</definedName>
    <definedName name="tlOutputLOB1Emp1Utilization_R1">tlProd1Fcst!$L$20</definedName>
    <definedName name="tlOutputLOB1Emp1Utilization_R2">tlProd1Fcst!$AB$20</definedName>
    <definedName name="tlOutputLOB1Emp2AvgAlloMeet_R1">tlProd1Staff!$W$25</definedName>
    <definedName name="tlOutputLOB1Emp2AvgAlloMeet_R2">tlProd1Staff!$AZ$25</definedName>
    <definedName name="tlOutputLOB1Emp2AvgCapacity_R1">tlProd1Staff!$Y$25</definedName>
    <definedName name="tlOutputLOB1Emp2AvgCapacity_R2">tlProd1Staff!$BB$25</definedName>
    <definedName name="tlOutputLOB1Emp2Total_R1">tlProd1Staff!$U$25</definedName>
    <definedName name="tlOutputLOB1Emp2Total_R2">tlProd1Staff!$AX$25</definedName>
    <definedName name="tlOutputLOB1Emp2Utilization_R1">tlProd1Fcst!$L$21</definedName>
    <definedName name="tlOutputLOB1Emp2Utilization_R2">tlProd1Fcst!$AB$21</definedName>
    <definedName name="tlOutputLOB1Emp3AvgAlloMeet_R1">tlProd1Staff!$W$26</definedName>
    <definedName name="tlOutputLOB1Emp3AvgAlloMeet_R2">tlProd1Staff!$AZ$26</definedName>
    <definedName name="tlOutputLOB1Emp3AvgCapacity_R1">tlProd1Staff!$Y$26</definedName>
    <definedName name="tlOutputLOB1Emp3AvgCapacity_R2">tlProd1Staff!$BB$26</definedName>
    <definedName name="tlOutputLOB1Emp3Total_R1">tlProd1Staff!$U$26</definedName>
    <definedName name="tlOutputLOB1Emp3Total_R2">tlProd1Staff!$AX$26</definedName>
    <definedName name="tlOutputLOB1Emp3Utilization_R1">tlProd1Fcst!$L$22</definedName>
    <definedName name="tlOutputLOB1Emp3Utilization_R2">tlProd1Fcst!$AB$22</definedName>
    <definedName name="tlOutputLOB1MeetingCount_R1">tlProd1Staff!$F$36</definedName>
    <definedName name="tlOutputLOB1MeetingCount_R2">tlProd1Staff!$AI$36</definedName>
    <definedName name="tlOutputLOB1MeetingCountRemaining_R1">tlProd1Staff!$F$35</definedName>
    <definedName name="tlOutputLOB1MeetingCountRemaining_R2">tlProd1Staff!$AI$35</definedName>
    <definedName name="tlOutputLOB1MonthP1_R1">tlProd1Fcst!$D$10</definedName>
    <definedName name="tlOutputLOB1MonthP1_R2">tlProd1Fcst!$T$10</definedName>
    <definedName name="tlOutputLOB1MonthP2_R1">tlProd1Fcst!$F$10</definedName>
    <definedName name="tlOutputLOB1MonthP2_R2">tlProd1Fcst!$V$10</definedName>
    <definedName name="tlOutputLOB1MonthP3_R1">tlProd1Fcst!$H$10</definedName>
    <definedName name="tlOutputLOB1MonthP3_R2">tlProd1Fcst!$X$10</definedName>
    <definedName name="tlOutputLOB1Prod1Seg1AdjMax_R1">tlProd1Fcst!$L$38</definedName>
    <definedName name="tlOutputLOB1Prod1Seg1AdjMax_R2">tlProd1Fcst!$AB$38</definedName>
    <definedName name="tlOutputLOB1Prod1Seg1Base_R1">tlProd1Fcst!$J$11</definedName>
    <definedName name="tlOutputLOB1Prod1Seg1Base_R2">tlProd1Fcst!$Z$11</definedName>
    <definedName name="tlOutputLOB1Prod1Seg1Budget_R1">tlProd1Fcst!$P$11</definedName>
    <definedName name="tlOutputLOB1Prod1Seg1Budget_R2">tlProd1Fcst!$AF$11</definedName>
    <definedName name="tlOutputLOB1Prod1Seg1Fcst_R1">tlProd1Fcst!$N$11</definedName>
    <definedName name="tlOutputLOB1Prod1Seg1Fcst_R2">tlProd1Fcst!$AD$11</definedName>
    <definedName name="tlOutputLOB1Prod1Seg1P1_R1">tlProd1Fcst!$D$11</definedName>
    <definedName name="tlOutputLOB1Prod1Seg1P1_R2">tlProd1Fcst!$T$11</definedName>
    <definedName name="tlOutputLOB1Prod1Seg1P2_R1">tlProd1Fcst!$F$11</definedName>
    <definedName name="tlOutputLOB1Prod1Seg1P2_R2">tlProd1Fcst!$V$11</definedName>
    <definedName name="tlOutputLOB1Prod1Seg1P3_R1">tlProd1Fcst!$H$11</definedName>
    <definedName name="tlOutputLOB1Prod1Seg1P3_R2">tlProd1Fcst!$X$11</definedName>
    <definedName name="tlOutputLOB1Prod1Seg2AdjMax_R1">tlProd1Fcst!$L$39</definedName>
    <definedName name="tlOutputLOB1Prod1Seg2AdjMax_R2">tlProd1Fcst!$AB$39</definedName>
    <definedName name="tlOutputLOB1Prod1Seg2Base_R1">tlProd1Fcst!$J$12</definedName>
    <definedName name="tlOutputLOB1Prod1Seg2Base_R2">tlProd1Fcst!$Z$12</definedName>
    <definedName name="tlOutputLOB1Prod1Seg2Budget_R1">tlProd1Fcst!$P$12</definedName>
    <definedName name="tlOutputLOB1Prod1Seg2Budget_R2">tlProd1Fcst!$AF$12</definedName>
    <definedName name="tlOutputLOB1Prod1Seg2Fcst_R1">tlProd1Fcst!$N$12</definedName>
    <definedName name="tlOutputLOB1Prod1Seg2Fcst_R2">tlProd1Fcst!$AD$12</definedName>
    <definedName name="tlOutputLOB1Prod1Seg2P1_R1">tlProd1Fcst!$D$12</definedName>
    <definedName name="tlOutputLOB1Prod1Seg2P1_R2">tlProd1Fcst!$T$12</definedName>
    <definedName name="tlOutputLOB1Prod1Seg2P2_R1">tlProd1Fcst!$F$12</definedName>
    <definedName name="tlOutputLOB1Prod1Seg2P2_R2">tlProd1Fcst!$V$12</definedName>
    <definedName name="tlOutputLOB1Prod1Seg2P3_R1">tlProd1Fcst!$H$12</definedName>
    <definedName name="tlOutputLOB1Prod1Seg2P3_R2">tlProd1Fcst!$X$12</definedName>
    <definedName name="tlOutputLOB1Prod1Seg3AdjMax_R1">tlProd1Fcst!$L$40</definedName>
    <definedName name="tlOutputLOB1Prod1Seg3AdjMax_R2">tlProd1Fcst!$AB$40</definedName>
    <definedName name="tlOutputLOB1Prod1Seg3Base_R1">tlProd1Fcst!$J$13</definedName>
    <definedName name="tlOutputLOB1Prod1Seg3Base_R2">tlProd1Fcst!$Z$13</definedName>
    <definedName name="tlOutputLOB1Prod1Seg3Budget_R1">tlProd1Fcst!$P$13</definedName>
    <definedName name="tlOutputLOB1Prod1Seg3Budget_R2">tlProd1Fcst!$AF$13</definedName>
    <definedName name="tlOutputLOB1Prod1Seg3Fcst_R1">tlProd1Fcst!$N$13</definedName>
    <definedName name="tlOutputLOB1Prod1Seg3Fcst_R2">tlProd1Fcst!$AD$13</definedName>
    <definedName name="tlOutputLOB1Prod1Seg3P1_R1">tlProd1Fcst!$D$13</definedName>
    <definedName name="tlOutputLOB1Prod1Seg3P1_R2">tlProd1Fcst!$T$13</definedName>
    <definedName name="tlOutputLOB1Prod1Seg3P2_R1">tlProd1Fcst!$F$13</definedName>
    <definedName name="tlOutputLOB1Prod1Seg3P2_R2">tlProd1Fcst!$V$13</definedName>
    <definedName name="tlOutputLOB1Prod1Seg3P3_R1">tlProd1Fcst!$H$13</definedName>
    <definedName name="tlOutputLOB1Prod1Seg3P3_R2">tlProd1Fcst!$X$13</definedName>
    <definedName name="tlOutputLOB1Prod2Seg1AdjMax_R1">tlProd1Fcst!$L$41</definedName>
    <definedName name="tlOutputLOB1Prod2Seg1AdjMax_R2">tlProd1Fcst!$AB$41</definedName>
    <definedName name="tlOutputLOB1Prod2Seg1Base_R1">tlProd1Fcst!$J$14</definedName>
    <definedName name="tlOutputLOB1Prod2Seg1Base_R2">tlProd1Fcst!$Z$14</definedName>
    <definedName name="tlOutputLOB1Prod2Seg1Budget_R1">tlProd1Fcst!$P$14</definedName>
    <definedName name="tlOutputLOB1Prod2Seg1Budget_R2">tlProd1Fcst!$AF$14</definedName>
    <definedName name="tlOutputLOB1Prod2Seg1Fcst_R1">tlProd1Fcst!$N$14</definedName>
    <definedName name="tlOutputLOB1Prod2Seg1Fcst_R2">tlProd1Fcst!$AD$14</definedName>
    <definedName name="tlOutputLOB1Prod2Seg1P1_R1">tlProd1Fcst!$D$14</definedName>
    <definedName name="tlOutputLOB1Prod2Seg1P1_R2">tlProd1Fcst!$T$14</definedName>
    <definedName name="tlOutputLOB1Prod2Seg1P2_R1">tlProd1Fcst!$F$14</definedName>
    <definedName name="tlOutputLOB1Prod2Seg1P2_R2">tlProd1Fcst!$V$14</definedName>
    <definedName name="tlOutputLOB1Prod2Seg1P3_R1">tlProd1Fcst!$H$14</definedName>
    <definedName name="tlOutputLOB1Prod2Seg1P3_R2">tlProd1Fcst!$X$14</definedName>
    <definedName name="tlOutputLOB1Prod2Seg2AdjMax_R1">tlProd1Fcst!$L$42</definedName>
    <definedName name="tlOutputLOB1Prod2Seg2AdjMax_R2">tlProd1Fcst!$AB$42</definedName>
    <definedName name="tlOutputLOB1Prod2Seg2Base_R1">tlProd1Fcst!$J$15</definedName>
    <definedName name="tlOutputLOB1Prod2Seg2Base_R2">tlProd1Fcst!$Z$15</definedName>
    <definedName name="tlOutputLOB1Prod2Seg2Budget_R1">tlProd1Fcst!$P$15</definedName>
    <definedName name="tlOutputLOB1Prod2Seg2Budget_R2">tlProd1Fcst!$AF$15</definedName>
    <definedName name="tlOutputLOB1Prod2Seg2Fcst_R1">tlProd1Fcst!$N$15</definedName>
    <definedName name="tlOutputLOB1Prod2Seg2Fcst_R2">tlProd1Fcst!$AD$15</definedName>
    <definedName name="tlOutputLOB1Prod2Seg2P1_R1">tlProd1Fcst!$D$15</definedName>
    <definedName name="tlOutputLOB1Prod2Seg2P1_R2">tlProd1Fcst!$T$15</definedName>
    <definedName name="tlOutputLOB1Prod2Seg2P2_R1">tlProd1Fcst!$F$15</definedName>
    <definedName name="tlOutputLOB1Prod2Seg2P2_R2">tlProd1Fcst!$V$15</definedName>
    <definedName name="tlOutputLOB1Prod2Seg2P3_R1">tlProd1Fcst!$H$15</definedName>
    <definedName name="tlOutputLOB1Prod2Seg2P3_R2">tlProd1Fcst!$X$15</definedName>
    <definedName name="tlOutputLOB1Prod2Seg3AdjMax_R1">tlProd1Fcst!$L$43</definedName>
    <definedName name="tlOutputLOB1Prod2Seg3AdjMax_R2">tlProd1Fcst!$AB$43</definedName>
    <definedName name="tlOutputLOB1Prod2Seg3Base_R1">tlProd1Fcst!$J$16</definedName>
    <definedName name="tlOutputLOB1Prod2Seg3Base_R2">tlProd1Fcst!$Z$16</definedName>
    <definedName name="tlOutputLOB1Prod2Seg3Budget_R1">tlProd1Fcst!$P$16</definedName>
    <definedName name="tlOutputLOB1Prod2Seg3Budget_R2">tlProd1Fcst!$AF$16</definedName>
    <definedName name="tlOutputLOB1Prod2Seg3Fcst_R1">tlProd1Fcst!$N$16</definedName>
    <definedName name="tlOutputLOB1Prod2Seg3Fcst_R2">tlProd1Fcst!$AD$16</definedName>
    <definedName name="tlOutputLOB1Prod2Seg3P1_R1">tlProd1Fcst!$D$16</definedName>
    <definedName name="tlOutputLOB1Prod2Seg3P1_R2">tlProd1Fcst!$T$16</definedName>
    <definedName name="tlOutputLOB1Prod2Seg3P2_R1">tlProd1Fcst!$F$16</definedName>
    <definedName name="tlOutputLOB1Prod2Seg3P2_R2">tlProd1Fcst!$V$16</definedName>
    <definedName name="tlOutputLOB1Prod2Seg3P3_R1">tlProd1Fcst!$H$16</definedName>
    <definedName name="tlOutputLOB1Prod2Seg3P3_R2">tlProd1Fcst!$X$16</definedName>
    <definedName name="tlOutputLOB1ProjectionAdj_R1">tlProd1Fcst!$L$17</definedName>
    <definedName name="tlOutputLOB1ProjectionAdj_R2">tlProd1Fcst!$AB$17</definedName>
    <definedName name="tlOutputLOB1ProjectionBase_R1">tlProd1Fcst!$J$17</definedName>
    <definedName name="tlOutputLOB1ProjectionBase_R2">tlProd1Fcst!$Z$17</definedName>
    <definedName name="tlOutputLOB1ProjectionBudget_R1">tlProd1Fcst!$P$17</definedName>
    <definedName name="tlOutputLOB1ProjectionBudget_R2">tlProd1Fcst!$AF$17</definedName>
    <definedName name="tlOutputLOB1ProjectionFcst_R1">tlProd1Fcst!$N$17</definedName>
    <definedName name="tlOutputLOB1ProjectionFcst_R2">tlProd1Fcst!$AD$17</definedName>
    <definedName name="tlOutputLOB1ProjectionP1_R1">tlProd1Fcst!$D$17</definedName>
    <definedName name="tlOutputLOB1ProjectionP1_R2">tlProd1Fcst!$T$17</definedName>
    <definedName name="tlOutputLOB1ProjectionP2_R1">tlProd1Fcst!$F$17</definedName>
    <definedName name="tlOutputLOB1ProjectionP2_R2">tlProd1Fcst!$V$17</definedName>
    <definedName name="tlOutputLOB1ProjectionP3_R1">tlProd1Fcst!$H$17</definedName>
    <definedName name="tlOutputLOB1ProjectionP3_R2">tlProd1Fcst!$X$17</definedName>
    <definedName name="tlOutputLOB1SpecProgRemaining_R1">tlProd1DOO!$G$33</definedName>
    <definedName name="tlOutputLOB1SpecProgRemaining_R2">tlProd1DOO!$Q$33</definedName>
    <definedName name="tlOutputLOB2Cln10AlloWeekProd_R1">tlProd2Staff!$Q$19</definedName>
    <definedName name="tlOutputLOB2Cln10AlloWeekProd_R2">tlProd2Staff!$AT$19</definedName>
    <definedName name="tlOutputLOB2Cln10Dis_R1">tlProd2Staff!$G$19</definedName>
    <definedName name="tlOutputLOB2Cln10Dis_R2">tlProd2Staff!$AJ$19</definedName>
    <definedName name="tlOutputLOB2Cln10Name_R1">tlProd2Staff!$K$19</definedName>
    <definedName name="tlOutputLOB2Cln10Name_R2">tlProd2Staff!$AN$19</definedName>
    <definedName name="tlOutputLOB2Cln10PayMethod_R1">tlProd2Staff!$M$19</definedName>
    <definedName name="tlOutputLOB2Cln10PayMethod_R2">tlProd2Staff!$AP$19</definedName>
    <definedName name="tlOutputLOB2Cln10Status_R1">tlProd2Staff!$I$19</definedName>
    <definedName name="tlOutputLOB2Cln10Status_R2">tlProd2Staff!$AL$19</definedName>
    <definedName name="tlOutputLOB2Cln10WeekAdmin_R1">tlProd2Staff!$AA$19</definedName>
    <definedName name="tlOutputLOB2Cln10WeekAdmin_R2">tlProd2Staff!$BD$19</definedName>
    <definedName name="tlOutputLOB2Cln10WeekMile_R1">tlProd2Staff!$Y$19</definedName>
    <definedName name="tlOutputLOB2Cln10WeekMile_R2">tlProd2Staff!$BB$19</definedName>
    <definedName name="tlOutputLOB2Cln10WeekMiss_R1">tlProd2Staff!$W$19</definedName>
    <definedName name="tlOutputLOB2Cln10WeekMiss_R2">tlProd2Staff!$AZ$19</definedName>
    <definedName name="tlOutputLOB2Cln10WeekOT_R1">tlProd2Staff!$AC$19</definedName>
    <definedName name="tlOutputLOB2Cln10WeekOT_R2">tlProd2Staff!$BF$19</definedName>
    <definedName name="tlOutputLOB2Cln10WeekProd_R1">tlProd2Staff!$O$19</definedName>
    <definedName name="tlOutputLOB2Cln10WeekProd_R2">tlProd2Staff!$AR$19</definedName>
    <definedName name="tlOutputLOB2Cln10WeekProdProj_R1">tlProd2Staff!$U$19</definedName>
    <definedName name="tlOutputLOB2Cln10WeekProdProj_R2">tlProd2Staff!$AX$19</definedName>
    <definedName name="tlOutputLOB2Cln11AlloWeekProd_R1">tlProd2Staff!$Q$20</definedName>
    <definedName name="tlOutputLOB2Cln11AlloWeekProd_R2">tlProd2Staff!$AT$20</definedName>
    <definedName name="tlOutputLOB2Cln11Experienced_R1">tlProd2Staff!$F$35</definedName>
    <definedName name="tlOutputLOB2Cln11Experienced_R2">tlProd2Staff!$AI$35</definedName>
    <definedName name="tlOutputLOB2Cln11Name_R1">tlProd2Staff!$K$20</definedName>
    <definedName name="tlOutputLOB2Cln11Name_R2">tlProd2Staff!$AN$20</definedName>
    <definedName name="tlOutputLOB2Cln11NonExperienced_R1">tlProd2Staff!$F$34</definedName>
    <definedName name="tlOutputLOB2Cln11NonExperienced_R2">tlProd2Staff!$AI$34</definedName>
    <definedName name="tlOutputLOB2Cln11PayMethod_R1">tlProd2Staff!$M$20</definedName>
    <definedName name="tlOutputLOB2Cln11PayMethod_R2">tlProd2Staff!$AP$20</definedName>
    <definedName name="tlOutputLOB2Cln11WeekAdmin_R1">tlProd2Staff!$AA$20</definedName>
    <definedName name="tlOutputLOB2Cln11WeekAdmin_R2">tlProd2Staff!$BD$20</definedName>
    <definedName name="tlOutputLOB2Cln11WeekMile_R1">tlProd2Staff!$Y$20</definedName>
    <definedName name="tlOutputLOB2Cln11WeekMile_R2">tlProd2Staff!$BB$20</definedName>
    <definedName name="tlOutputLOB2Cln11WeekMiss_R1">tlProd2Staff!$W$20</definedName>
    <definedName name="tlOutputLOB2Cln11WeekMiss_R2">tlProd2Staff!$AZ$20</definedName>
    <definedName name="tlOutputLOB2Cln11WeekOT_R1">tlProd2Staff!$AC$20</definedName>
    <definedName name="tlOutputLOB2Cln11WeekOT_R2">tlProd2Staff!$BF$20</definedName>
    <definedName name="tlOutputLOB2Cln11WeekProd_R1">tlProd2Staff!$O$20</definedName>
    <definedName name="tlOutputLOB2Cln11WeekProd_R2">tlProd2Staff!$AR$20</definedName>
    <definedName name="tlOutputLOB2Cln11WeekProdProj_R1">tlProd2Staff!$U$20</definedName>
    <definedName name="tlOutputLOB2Cln11WeekProdProj_R2">tlProd2Staff!$AX$20</definedName>
    <definedName name="tlOutputLOB2Cln12AlloWeekProd_R1">tlProd2Staff!$Q$21</definedName>
    <definedName name="tlOutputLOB2Cln12AlloWeekProd_R2">tlProd2Staff!$AT$21</definedName>
    <definedName name="tlOutputLOB2Cln12Name_R1">tlProd2Staff!$K$21</definedName>
    <definedName name="tlOutputLOB2Cln12Name_R2">tlProd2Staff!$AN$21</definedName>
    <definedName name="tlOutputLOB2Cln12PayMethod_R1">tlProd2Staff!$M$21</definedName>
    <definedName name="tlOutputLOB2Cln12PayMethod_R2">tlProd2Staff!$AP$21</definedName>
    <definedName name="tlOutputLOB2Cln12WeekAdmin_R1">tlProd2Staff!$AA$21</definedName>
    <definedName name="tlOutputLOB2Cln12WeekAdmin_R2">tlProd2Staff!$BD$21</definedName>
    <definedName name="tlOutputLOB2Cln12WeekMile_R1">tlProd2Staff!$Y$21</definedName>
    <definedName name="tlOutputLOB2Cln12WeekMile_R2">tlProd2Staff!$BB$21</definedName>
    <definedName name="tlOutputLOB2Cln12WeekMiss_R1">tlProd2Staff!$W$21</definedName>
    <definedName name="tlOutputLOB2Cln12WeekMiss_R2">tlProd2Staff!$AZ$21</definedName>
    <definedName name="tlOutputLOB2Cln12WeekOT_R1">tlProd2Staff!$AC$21</definedName>
    <definedName name="tlOutputLOB2Cln12WeekOT_R2">tlProd2Staff!$BF$21</definedName>
    <definedName name="tlOutputLOB2Cln12WeekProd_R1">tlProd2Staff!$O$21</definedName>
    <definedName name="tlOutputLOB2Cln12WeekProd_R2">tlProd2Staff!$AR$21</definedName>
    <definedName name="tlOutputLOB2Cln12WeekProdProj_R1">tlProd2Staff!$U$21</definedName>
    <definedName name="tlOutputLOB2Cln12WeekProdProj_R2">tlProd2Staff!$AX$21</definedName>
    <definedName name="tlOutputLOB2Cln1AlloWeekProd_R1">tlProd2Staff!$Q$10</definedName>
    <definedName name="tlOutputLOB2Cln1AlloWeekProd_R2">tlProd2Staff!$AT$10</definedName>
    <definedName name="tlOutputLOB2Cln1Dis_R1">tlProd2Staff!$G$10</definedName>
    <definedName name="tlOutputLOB2Cln1Dis_R2">tlProd2Staff!$AJ$10</definedName>
    <definedName name="tlOutputLOB2Cln1Name_R1">tlProd2Staff!$K$10</definedName>
    <definedName name="tlOutputLOB2Cln1Name_R2">tlProd2Staff!$AN$10</definedName>
    <definedName name="tlOutputLOB2Cln1PayMethod_R1">tlProd2Staff!$M$10</definedName>
    <definedName name="tlOutputLOB2Cln1PayMethod_R2">tlProd2Staff!$AP$10</definedName>
    <definedName name="tlOutputLOB2Cln1Status_R1">tlProd2Staff!$I$10</definedName>
    <definedName name="tlOutputLOB2Cln1Status_R2">tlProd2Staff!$AL$10</definedName>
    <definedName name="tlOutputLOB2Cln1WeekAdmin_R1">tlProd2Staff!$AA$10</definedName>
    <definedName name="tlOutputLOB2Cln1WeekAdmin_R2">tlProd2Staff!$BD$10</definedName>
    <definedName name="tlOutputLOB2Cln1WeekMile_R1">tlProd2Staff!$Y$10</definedName>
    <definedName name="tlOutputLOB2Cln1WeekMile_R2">tlProd2Staff!$BB$10</definedName>
    <definedName name="tlOutputLOB2Cln1WeekMiss_R1">tlProd2Staff!$W$10</definedName>
    <definedName name="tlOutputLOB2Cln1WeekMiss_R2">tlProd2Staff!$AZ$10</definedName>
    <definedName name="tlOutputLOB2Cln1WeekOT_R1">tlProd2Staff!$AC$10</definedName>
    <definedName name="tlOutputLOB2Cln1WeekOT_R2">tlProd2Staff!$BF$10</definedName>
    <definedName name="tlOutputLOB2Cln1WeekProd_R1">tlProd2Staff!$O$10</definedName>
    <definedName name="tlOutputLOB2Cln1WeekProd_R2">tlProd2Staff!$AR$10</definedName>
    <definedName name="tlOutputLOB2Cln1WeekProdProj_R1">tlProd2Staff!$U$10</definedName>
    <definedName name="tlOutputLOB2Cln1WeekProdProj_R2">tlProd2Staff!$AX$10</definedName>
    <definedName name="tlOutputLOB2Cln2AlloWeekProd_R1">tlProd2Staff!$Q$11</definedName>
    <definedName name="tlOutputLOB2Cln2AlloWeekProd_R2">tlProd2Staff!$AT$11</definedName>
    <definedName name="tlOutputLOB2Cln2Dis_R1">tlProd2Staff!$G$11</definedName>
    <definedName name="tlOutputLOB2Cln2Dis_R2">tlProd2Staff!$AJ$11</definedName>
    <definedName name="tlOutputLOB2Cln2Name_R1">tlProd2Staff!$K$11</definedName>
    <definedName name="tlOutputLOB2Cln2Name_R2">tlProd2Staff!$AN$11</definedName>
    <definedName name="tlOutputLOB2Cln2PayMethod_R1">tlProd2Staff!$M$11</definedName>
    <definedName name="tlOutputLOB2Cln2PayMethod_R2">tlProd2Staff!$AP$11</definedName>
    <definedName name="tlOutputLOB2Cln2Status_R1">tlProd2Staff!$I$11</definedName>
    <definedName name="tlOutputLOB2Cln2Status_R2">tlProd2Staff!$AL$11</definedName>
    <definedName name="tlOutputLOB2Cln2WeekAdmin_R1">tlProd2Staff!$AA$11</definedName>
    <definedName name="tlOutputLOB2Cln2WeekAdmin_R2">tlProd2Staff!$BD$11</definedName>
    <definedName name="tlOutputLOB2Cln2WeekMile_R1">tlProd2Staff!$Y$11</definedName>
    <definedName name="tlOutputLOB2Cln2WeekMile_R2">tlProd2Staff!$BB$11</definedName>
    <definedName name="tlOutputLOB2Cln2WeekMiss_R1">tlProd2Staff!$W$11</definedName>
    <definedName name="tlOutputLOB2Cln2WeekMiss_R2">tlProd2Staff!$AZ$11</definedName>
    <definedName name="tlOutputLOB2Cln2WeekOT_R1">tlProd2Staff!$AC$11</definedName>
    <definedName name="tlOutputLOB2Cln2WeekOT_R2">tlProd2Staff!$BF$11</definedName>
    <definedName name="tlOutputLOB2Cln2WeekProd_R1">tlProd2Staff!$O$11</definedName>
    <definedName name="tlOutputLOB2Cln2WeekProd_R2">tlProd2Staff!$AR$11</definedName>
    <definedName name="tlOutputLOB2Cln2WeekProdProj_R1">tlProd2Staff!$U$11</definedName>
    <definedName name="tlOutputLOB2Cln2WeekProdProj_R2">tlProd2Staff!$AX$11</definedName>
    <definedName name="tlOutputLOB2Cln3AlloWeekProd_R1">tlProd2Staff!$Q$12</definedName>
    <definedName name="tlOutputLOB2Cln3AlloWeekProd_R2">tlProd2Staff!$AT$12</definedName>
    <definedName name="tlOutputLOB2Cln3Dis_R1">tlProd2Staff!$G$12</definedName>
    <definedName name="tlOutputLOB2Cln3Dis_R2">tlProd2Staff!$AJ$12</definedName>
    <definedName name="tlOutputLOB2Cln3Name_R1">tlProd2Staff!$K$12</definedName>
    <definedName name="tlOutputLOB2Cln3Name_R2">tlProd2Staff!$AN$12</definedName>
    <definedName name="tlOutputLOB2Cln3PayMethod_R1">tlProd2Staff!$M$12</definedName>
    <definedName name="tlOutputLOB2Cln3PayMethod_R2">tlProd2Staff!$AP$12</definedName>
    <definedName name="tlOutputLOB2Cln3Status_R1">tlProd2Staff!$I$12</definedName>
    <definedName name="tlOutputLOB2Cln3Status_R2">tlProd2Staff!$AL$12</definedName>
    <definedName name="tlOutputLOB2Cln3WeekAdmin_R1">tlProd2Staff!$AA$12</definedName>
    <definedName name="tlOutputLOB2Cln3WeekAdmin_R2">tlProd2Staff!$BD$12</definedName>
    <definedName name="tlOutputLOB2Cln3WeekMile_R1">tlProd2Staff!$Y$12</definedName>
    <definedName name="tlOutputLOB2Cln3WeekMile_R2">tlProd2Staff!$BB$12</definedName>
    <definedName name="tlOutputLOB2Cln3WeekMiss_R1">tlProd2Staff!$W$12</definedName>
    <definedName name="tlOutputLOB2Cln3WeekMiss_R2">tlProd2Staff!$AZ$12</definedName>
    <definedName name="tlOutputLOB2Cln3WeekOT_R1">tlProd2Staff!$AC$12</definedName>
    <definedName name="tlOutputLOB2Cln3WeekOT_R2">tlProd2Staff!$BF$12</definedName>
    <definedName name="tlOutputLOB2Cln3WeekProd_R1">tlProd2Staff!$O$12</definedName>
    <definedName name="tlOutputLOB2Cln3WeekProd_R2">tlProd2Staff!$AR$12</definedName>
    <definedName name="tlOutputLOB2Cln3WeekProdProj_R1">tlProd2Staff!$U$12</definedName>
    <definedName name="tlOutputLOB2Cln3WeekProdProj_R2">tlProd2Staff!$AX$12</definedName>
    <definedName name="tlOutputLOB2Cln4AlloWeekProd_R1">tlProd2Staff!$Q$13</definedName>
    <definedName name="tlOutputLOB2Cln4AlloWeekProd_R2">tlProd2Staff!$AT$13</definedName>
    <definedName name="tlOutputLOB2Cln4Dis_R1">tlProd2Staff!$G$13</definedName>
    <definedName name="tlOutputLOB2Cln4Dis_R2">tlProd2Staff!$AJ$13</definedName>
    <definedName name="tlOutputLOB2Cln4Name_R1">tlProd2Staff!$K$13</definedName>
    <definedName name="tlOutputLOB2Cln4Name_R2">tlProd2Staff!$AN$13</definedName>
    <definedName name="tlOutputLOB2Cln4PayMethod_R1">tlProd2Staff!$M$13</definedName>
    <definedName name="tlOutputLOB2Cln4PayMethod_R2">tlProd2Staff!$AP$13</definedName>
    <definedName name="tlOutputLOB2Cln4Status_R1">tlProd2Staff!$I$13</definedName>
    <definedName name="tlOutputLOB2Cln4Status_R2">tlProd2Staff!$AL$13</definedName>
    <definedName name="tlOutputLOB2Cln4WeekAdmin_R1">tlProd2Staff!$AA$13</definedName>
    <definedName name="tlOutputLOB2Cln4WeekAdmin_R2">tlProd2Staff!$BD$13</definedName>
    <definedName name="tlOutputLOB2Cln4WeekMile_R1">tlProd2Staff!$Y$13</definedName>
    <definedName name="tlOutputLOB2Cln4WeekMile_R2">tlProd2Staff!$BB$13</definedName>
    <definedName name="tlOutputLOB2Cln4WeekMiss_R1">tlProd2Staff!$W$13</definedName>
    <definedName name="tlOutputLOB2Cln4WeekMiss_R2">tlProd2Staff!$AZ$13</definedName>
    <definedName name="tlOutputLOB2Cln4WeekOT_R1">tlProd2Staff!$AC$13</definedName>
    <definedName name="tlOutputLOB2Cln4WeekOT_R2">tlProd2Staff!$BF$13</definedName>
    <definedName name="tlOutputLOB2Cln4WeekProd_R1">tlProd2Staff!$O$13</definedName>
    <definedName name="tlOutputLOB2Cln4WeekProd_R2">tlProd2Staff!$AR$13</definedName>
    <definedName name="tlOutputLOB2Cln4WeekProdProj_R1">tlProd2Staff!$U$13</definedName>
    <definedName name="tlOutputLOB2Cln4WeekProdProj_R2">tlProd2Staff!$AX$13</definedName>
    <definedName name="tlOutputLOB2Cln5AlloWeekProd_R1">tlProd2Staff!$Q$14</definedName>
    <definedName name="tlOutputLOB2Cln5AlloWeekProd_R2">tlProd2Staff!$AT$14</definedName>
    <definedName name="tlOutputLOB2Cln5Dis_R1">tlProd2Staff!$G$14</definedName>
    <definedName name="tlOutputLOB2Cln5Dis_R2">tlProd2Staff!$AJ$14</definedName>
    <definedName name="tlOutputLOB2Cln5Name_R1">tlProd2Staff!$K$14</definedName>
    <definedName name="tlOutputLOB2Cln5Name_R2">tlProd2Staff!$AN$14</definedName>
    <definedName name="tlOutputLOB2Cln5PayMethod_R1">tlProd2Staff!$M$14</definedName>
    <definedName name="tlOutputLOB2Cln5PayMethod_R2">tlProd2Staff!$AP$14</definedName>
    <definedName name="tlOutputLOB2Cln5Status_R1">tlProd2Staff!$I$14</definedName>
    <definedName name="tlOutputLOB2Cln5Status_R2">tlProd2Staff!$AL$14</definedName>
    <definedName name="tlOutputLOB2Cln5WeekAdmin_R1">tlProd2Staff!$AA$14</definedName>
    <definedName name="tlOutputLOB2Cln5WeekAdmin_R2">tlProd2Staff!$BD$14</definedName>
    <definedName name="tlOutputLOB2Cln5WeekMile_R1">tlProd2Staff!$Y$14</definedName>
    <definedName name="tlOutputLOB2Cln5WeekMile_R2">tlProd2Staff!$BB$14</definedName>
    <definedName name="tlOutputLOB2Cln5WeekMiss_R1">tlProd2Staff!$W$14</definedName>
    <definedName name="tlOutputLOB2Cln5WeekMiss_R2">tlProd2Staff!$AZ$14</definedName>
    <definedName name="tlOutputLOB2Cln5WeekOT_R1">tlProd2Staff!$AC$14</definedName>
    <definedName name="tlOutputLOB2Cln5WeekOT_R2">tlProd2Staff!$BF$14</definedName>
    <definedName name="tlOutputLOB2Cln5WeekProd_R1">tlProd2Staff!$O$14</definedName>
    <definedName name="tlOutputLOB2Cln5WeekProd_R2">tlProd2Staff!$AR$14</definedName>
    <definedName name="tlOutputLOB2Cln5WeekProdProj_R1">tlProd2Staff!$U$14</definedName>
    <definedName name="tlOutputLOB2Cln5WeekProdProj_R2">tlProd2Staff!$AX$14</definedName>
    <definedName name="tlOutputLOB2Cln6AlloWeekProd_R1">tlProd2Staff!$Q$15</definedName>
    <definedName name="tlOutputLOB2Cln6AlloWeekProd_R2">tlProd2Staff!$AT$15</definedName>
    <definedName name="tlOutputLOB2Cln6Dis_R1">tlProd2Staff!$G$15</definedName>
    <definedName name="tlOutputLOB2Cln6Dis_R2">tlProd2Staff!$AJ$15</definedName>
    <definedName name="tlOutputLOB2Cln6Name_R1">tlProd2Staff!$K$15</definedName>
    <definedName name="tlOutputLOB2Cln6Name_R2">tlProd2Staff!$AN$15</definedName>
    <definedName name="tlOutputLOB2Cln6PayMethod_R1">tlProd2Staff!$M$15</definedName>
    <definedName name="tlOutputLOB2Cln6PayMethod_R2">tlProd2Staff!$AP$15</definedName>
    <definedName name="tlOutputLOB2Cln6Status_R1">tlProd2Staff!$I$15</definedName>
    <definedName name="tlOutputLOB2Cln6Status_R2">tlProd2Staff!$AL$15</definedName>
    <definedName name="tlOutputLOB2Cln6WeekAdmin_R1">tlProd2Staff!$AA$15</definedName>
    <definedName name="tlOutputLOB2Cln6WeekAdmin_R2">tlProd2Staff!$BD$15</definedName>
    <definedName name="tlOutputLOB2Cln6WeekMile_R1">tlProd2Staff!$Y$15</definedName>
    <definedName name="tlOutputLOB2Cln6WeekMile_R2">tlProd2Staff!$BB$15</definedName>
    <definedName name="tlOutputLOB2Cln6WeekMiss_R1">tlProd2Staff!$W$15</definedName>
    <definedName name="tlOutputLOB2Cln6WeekMiss_R2">tlProd2Staff!$AZ$15</definedName>
    <definedName name="tlOutputLOB2Cln6WeekOT_R1">tlProd2Staff!$AC$15</definedName>
    <definedName name="tlOutputLOB2Cln6WeekOT_R2">tlProd2Staff!$BF$15</definedName>
    <definedName name="tlOutputLOB2Cln6WeekProd_R1">tlProd2Staff!$O$15</definedName>
    <definedName name="tlOutputLOB2Cln6WeekProd_R2">tlProd2Staff!$AR$15</definedName>
    <definedName name="tlOutputLOB2Cln6WeekProdProj_R1">tlProd2Staff!$U$15</definedName>
    <definedName name="tlOutputLOB2Cln6WeekProdProj_R2">tlProd2Staff!$AX$15</definedName>
    <definedName name="tlOutputLOB2Cln7AlloWeekProd_R1">tlProd2Staff!$Q$16</definedName>
    <definedName name="tlOutputLOB2Cln7AlloWeekProd_R2">tlProd2Staff!$AT$16</definedName>
    <definedName name="tlOutputLOB2Cln7Dis_R1">tlProd2Staff!$G$16</definedName>
    <definedName name="tlOutputLOB2Cln7Dis_R2">tlProd2Staff!$AJ$16</definedName>
    <definedName name="tlOutputLOB2Cln7Name_R1">tlProd2Staff!$K$16</definedName>
    <definedName name="tlOutputLOB2Cln7Name_R2">tlProd2Staff!$AN$16</definedName>
    <definedName name="tlOutputLOB2Cln7PayMethod_R1">tlProd2Staff!$M$16</definedName>
    <definedName name="tlOutputLOB2Cln7PayMethod_R2">tlProd2Staff!$AP$16</definedName>
    <definedName name="tlOutputLOB2Cln7Status_R1">tlProd2Staff!$I$16</definedName>
    <definedName name="tlOutputLOB2Cln7Status_R2">tlProd2Staff!$AL$16</definedName>
    <definedName name="tlOutputLOB2Cln7WeekAdmin_R1">tlProd2Staff!$AA$16</definedName>
    <definedName name="tlOutputLOB2Cln7WeekAdmin_R2">tlProd2Staff!$BD$16</definedName>
    <definedName name="tlOutputLOB2Cln7WeekMile_R1">tlProd2Staff!$Y$16</definedName>
    <definedName name="tlOutputLOB2Cln7WeekMile_R2">tlProd2Staff!$BB$16</definedName>
    <definedName name="tlOutputLOB2Cln7WeekMiss_R1">tlProd2Staff!$W$16</definedName>
    <definedName name="tlOutputLOB2Cln7WeekMiss_R2">tlProd2Staff!$AZ$16</definedName>
    <definedName name="tlOutputLOB2Cln7WeekOT_R1">tlProd2Staff!$AC$16</definedName>
    <definedName name="tlOutputLOB2Cln7WeekOT_R2">tlProd2Staff!$BF$16</definedName>
    <definedName name="tlOutputLOB2Cln7WeekProd_R1">tlProd2Staff!$O$16</definedName>
    <definedName name="tlOutputLOB2Cln7WeekProd_R2">tlProd2Staff!$AR$16</definedName>
    <definedName name="tlOutputLOB2Cln7WeekProdProj_R1">tlProd2Staff!$U$16</definedName>
    <definedName name="tlOutputLOB2Cln7WeekProdProj_R2">tlProd2Staff!$AX$16</definedName>
    <definedName name="tlOutputLOB2Cln8AlloWeekProd_R1">tlProd2Staff!$Q$17</definedName>
    <definedName name="tlOutputLOB2Cln8AlloWeekProd_R2">tlProd2Staff!$AT$17</definedName>
    <definedName name="tlOutputLOB2Cln8Dis_R1">tlProd2Staff!$G$17</definedName>
    <definedName name="tlOutputLOB2Cln8Dis_R2">tlProd2Staff!$AJ$17</definedName>
    <definedName name="tlOutputLOB2Cln8Name_R1">tlProd2Staff!$K$17</definedName>
    <definedName name="tlOutputLOB2Cln8Name_R2">tlProd2Staff!$AN$17</definedName>
    <definedName name="tlOutputLOB2Cln8PayMethod_R1">tlProd2Staff!$M$17</definedName>
    <definedName name="tlOutputLOB2Cln8PayMethod_R2">tlProd2Staff!$AP$17</definedName>
    <definedName name="tlOutputLOB2Cln8Status_R1">tlProd2Staff!$I$17</definedName>
    <definedName name="tlOutputLOB2Cln8Status_R2">tlProd2Staff!$AL$17</definedName>
    <definedName name="tlOutputLOB2Cln8WeekAdmin_R1">tlProd2Staff!$AA$17</definedName>
    <definedName name="tlOutputLOB2Cln8WeekAdmin_R2">tlProd2Staff!$BD$17</definedName>
    <definedName name="tlOutputLOB2Cln8WeekMile_R1">tlProd2Staff!$Y$17</definedName>
    <definedName name="tlOutputLOB2Cln8WeekMile_R2">tlProd2Staff!$BB$17</definedName>
    <definedName name="tlOutputLOB2Cln8WeekMiss_R1">tlProd2Staff!$W$17</definedName>
    <definedName name="tlOutputLOB2Cln8WeekMiss_R2">tlProd2Staff!$AZ$17</definedName>
    <definedName name="tlOutputLOB2Cln8WeekOT_R1">tlProd2Staff!$AC$17</definedName>
    <definedName name="tlOutputLOB2Cln8WeekOT_R2">tlProd2Staff!$BF$17</definedName>
    <definedName name="tlOutputLOB2Cln8WeekProd_R1">tlProd2Staff!$O$17</definedName>
    <definedName name="tlOutputLOB2Cln8WeekProd_R2">tlProd2Staff!$AR$17</definedName>
    <definedName name="tlOutputLOB2Cln8WeekProdProj_R1">tlProd2Staff!$U$17</definedName>
    <definedName name="tlOutputLOB2Cln8WeekProdProj_R2">tlProd2Staff!$AX$17</definedName>
    <definedName name="tlOutputLOB2Cln9AlloWeekProd_R1">tlProd2Staff!$Q$18</definedName>
    <definedName name="tlOutputLOB2Cln9AlloWeekProd_R2">tlProd2Staff!$AT$18</definedName>
    <definedName name="tlOutputLOB2Cln9Dis_R1">tlProd2Staff!$G$18</definedName>
    <definedName name="tlOutputLOB2Cln9Dis_R2">tlProd2Staff!$AJ$18</definedName>
    <definedName name="tlOutputLOB2Cln9Name_R1">tlProd2Staff!$K$18</definedName>
    <definedName name="tlOutputLOB2Cln9Name_R2">tlProd2Staff!$AN$18</definedName>
    <definedName name="tlOutputLOB2Cln9PayMethod_R1">tlProd2Staff!$M$18</definedName>
    <definedName name="tlOutputLOB2Cln9PayMethod_R2">tlProd2Staff!$AP$18</definedName>
    <definedName name="tlOutputLOB2Cln9Status_R1">tlProd2Staff!$I$18</definedName>
    <definedName name="tlOutputLOB2Cln9Status_R2">tlProd2Staff!$AL$18</definedName>
    <definedName name="tlOutputLOB2Cln9WeekAdmin_R1">tlProd2Staff!$AA$18</definedName>
    <definedName name="tlOutputLOB2Cln9WeekAdmin_R2">tlProd2Staff!$BD$18</definedName>
    <definedName name="tlOutputLOB2Cln9WeekMile_R1">tlProd2Staff!$Y$18</definedName>
    <definedName name="tlOutputLOB2Cln9WeekMile_R2">tlProd2Staff!$BB$18</definedName>
    <definedName name="tlOutputLOB2Cln9WeekMiss_R1">tlProd2Staff!$W$18</definedName>
    <definedName name="tlOutputLOB2Cln9WeekMiss_R2">tlProd2Staff!$AZ$18</definedName>
    <definedName name="tlOutputLOB2Cln9WeekOT_R1">tlProd2Staff!$AC$18</definedName>
    <definedName name="tlOutputLOB2Cln9WeekOT_R2">tlProd2Staff!$BF$18</definedName>
    <definedName name="tlOutputLOB2Cln9WeekProd_R1">tlProd2Staff!$O$18</definedName>
    <definedName name="tlOutputLOB2Cln9WeekProd_R2">tlProd2Staff!$AR$18</definedName>
    <definedName name="tlOutputLOB2Cln9WeekProdProj_R1">tlProd2Staff!$U$18</definedName>
    <definedName name="tlOutputLOB2Cln9WeekProdProj_R2">tlProd2Staff!$AX$18</definedName>
    <definedName name="tlOutputLOB2Disc1TotalVisitsPerc_R1">tlProd2Staff!$Y$34</definedName>
    <definedName name="tlOutputLOB2Disc1TotalVisitsPerc_R2">tlProd2Staff!$BB$34</definedName>
    <definedName name="tlOutputLOB2Disc2BelowLicsenceVisits_R1">tlProd2Staff!$Y$36</definedName>
    <definedName name="tlOutputLOB2Disc2BelowLicsenceVisits_R2">tlProd2Staff!$BB$36</definedName>
    <definedName name="tlOutputLOB2Disc2TotalVisitsPerc_R1">tlProd2Staff!$Y$35</definedName>
    <definedName name="tlOutputLOB2Disc2TotalVisitsPerc_R2">tlProd2Staff!$BB$35</definedName>
    <definedName name="tlOutputLOB2DOOBaseTime1_R1">tlProd2DOO!$E$20</definedName>
    <definedName name="tlOutputLOB2DOOBaseTime1_R2">tlProd2DOO!$O$20</definedName>
    <definedName name="tlOutputLOB2DOOBaseTime2_R1">tlProd2DOO!$E$21</definedName>
    <definedName name="tlOutputLOB2DOOBaseTime2_R2">tlProd2DOO!$O$21</definedName>
    <definedName name="tlOutputLOB2DOOBaseTime3_R1">tlProd2DOO!$E$22</definedName>
    <definedName name="tlOutputLOB2DOOBaseTime3_R2">tlProd2DOO!$O$22</definedName>
    <definedName name="tlOutputLOB2DOOBaseTime4_R1">tlProd2DOO!$E$23</definedName>
    <definedName name="tlOutputLOB2DOOBaseTime4_R2">tlProd2DOO!$O$23</definedName>
    <definedName name="tlOutputLOB2DOOBaseTime5_R1">tlProd2DOO!$E$24</definedName>
    <definedName name="tlOutputLOB2DOOBaseTime5_R2">tlProd2DOO!$O$24</definedName>
    <definedName name="tlOutputLOB2DOOBaseTime6_R1">tlProd2DOO!$E$25</definedName>
    <definedName name="tlOutputLOB2DOOBaseTime6_R2">tlProd2DOO!$O$25</definedName>
    <definedName name="tlOutputLOB2DOOPlanTime1_R1">tlProd2DOO!$I$20</definedName>
    <definedName name="tlOutputLOB2DOOPlanTime1_R2">tlProd2DOO!$S$20</definedName>
    <definedName name="tlOutputLOB2DOOPlanTime2_R1">tlProd2DOO!$I$21</definedName>
    <definedName name="tlOutputLOB2DOOPlanTime2_R2">tlProd2DOO!$S$21</definedName>
    <definedName name="tlOutputLOB2DOOPlanTime3_R1">tlProd2DOO!$I$22</definedName>
    <definedName name="tlOutputLOB2DOOPlanTime3_R2">tlProd2DOO!$S$22</definedName>
    <definedName name="tlOutputLOB2DOOPlanTime4_R1">tlProd2DOO!$I$23</definedName>
    <definedName name="tlOutputLOB2DOOPlanTime4_R2">tlProd2DOO!$S$23</definedName>
    <definedName name="tlOutputLOB2DOOPlanTime5_R1">tlProd2DOO!$I$24</definedName>
    <definedName name="tlOutputLOB2DOOPlanTime5_R2">tlProd2DOO!$S$24</definedName>
    <definedName name="tlOutputLOB2DOOPlanTime6_R1">tlProd2DOO!$I$25</definedName>
    <definedName name="tlOutputLOB2DOOPlanTime6_R2">tlProd2DOO!$S$25</definedName>
    <definedName name="tlOutputLOB2DOOTotalBaseTime_R1">tlProd2DOO!$E$26</definedName>
    <definedName name="tlOutputLOB2DOOTotalBaseTime_R2">tlProd2DOO!$O$26</definedName>
    <definedName name="tlOutputLOB2DOOTotalPlanTime_R1">tlProd2DOO!$I$26</definedName>
    <definedName name="tlOutputLOB2DOOTotalPlanTime_R2">tlProd2DOO!$S$26</definedName>
    <definedName name="tlOutputLOB2Emp1AvgAlloMeet_R1">tlProd2Staff!$W$24</definedName>
    <definedName name="tlOutputLOB2Emp1AvgAlloMeet_R2">tlProd2Staff!$AZ$24</definedName>
    <definedName name="tlOutputLOB2Emp1AvgCapacity_R1">tlProd2Staff!$Y$24</definedName>
    <definedName name="tlOutputLOB2Emp1AvgCapacity_R2">tlProd2Staff!$BB$24</definedName>
    <definedName name="tlOutputLOB2Emp1Total_R1">tlProd2Staff!$U$24</definedName>
    <definedName name="tlOutputLOB2Emp1Total_R2">tlProd2Staff!$AX$24</definedName>
    <definedName name="tlOutputLOB2Emp1Utilization_R1">tlProd2Fcst!$L$20</definedName>
    <definedName name="tlOutputLOB2Emp1Utilization_R2">tlProd2Fcst!$AB$20</definedName>
    <definedName name="tlOutputLOB2Emp2AvgAlloMeet_R1">tlProd2Staff!$W$25</definedName>
    <definedName name="tlOutputLOB2Emp2AvgAlloMeet_R2">tlProd2Staff!$AZ$25</definedName>
    <definedName name="tlOutputLOB2Emp2AvgCapacity_R1">tlProd2Staff!$Y$25</definedName>
    <definedName name="tlOutputLOB2Emp2AvgCapacity_R2">tlProd2Staff!$BB$25</definedName>
    <definedName name="tlOutputLOB2Emp2Total_R1">tlProd2Staff!$U$25</definedName>
    <definedName name="tlOutputLOB2Emp2Total_R2">tlProd2Staff!$AX$25</definedName>
    <definedName name="tlOutputLOB2Emp2Utilization_R1">tlProd2Fcst!$L$21</definedName>
    <definedName name="tlOutputLOB2Emp2Utilization_R2">tlProd2Fcst!$AB$21</definedName>
    <definedName name="tlOutputLOB2Emp3AvgAlloMeet_R1">tlProd2Staff!$W$26</definedName>
    <definedName name="tlOutputLOB2Emp3AvgAlloMeet_R2">tlProd2Staff!$AZ$26</definedName>
    <definedName name="tlOutputLOB2Emp3AvgCapacity_R1">tlProd2Staff!$Y$26</definedName>
    <definedName name="tlOutputLOB2Emp3AvgCapacity_R2">tlProd2Staff!$BB$26</definedName>
    <definedName name="tlOutputLOB2Emp3Total_R1">tlProd2Staff!$U$26</definedName>
    <definedName name="tlOutputLOB2Emp3Total_R2">tlProd2Staff!$AX$26</definedName>
    <definedName name="tlOutputLOB2Emp3Utilization_R1">tlProd2Fcst!$L$22</definedName>
    <definedName name="tlOutputLOB2Emp3Utilization_R2">tlProd2Fcst!$AB$22</definedName>
    <definedName name="tlOutputLOB2MeetingCount_R1">tlProd2Staff!$F$37</definedName>
    <definedName name="tlOutputLOB2MeetingCount_R2">tlProd2Staff!$AI$37</definedName>
    <definedName name="tlOutputLOB2MeetingCountRemaining_R1">tlProd2Staff!$F$36</definedName>
    <definedName name="tlOutputLOB2MeetingCountRemaining_R2">tlProd2Staff!$AI$36</definedName>
    <definedName name="tlOutputLOB2MonthP1_R1">tlProd2Fcst!$D$10</definedName>
    <definedName name="tlOutputLOB2MonthP1_R2">tlProd2Fcst!$T$10</definedName>
    <definedName name="tlOutputLOB2MonthP2_R1">tlProd2Fcst!$F$10</definedName>
    <definedName name="tlOutputLOB2MonthP2_R2">tlProd2Fcst!$V$10</definedName>
    <definedName name="tlOutputLOB2MonthP3_R1">tlProd2Fcst!$H$10</definedName>
    <definedName name="tlOutputLOB2MonthP3_R2">tlProd2Fcst!$X$10</definedName>
    <definedName name="tlOutputLOB2Prod1Seg1AdjMax_R1">tlProd2Fcst!$L$37</definedName>
    <definedName name="tlOutputLOB2Prod1Seg1AdjMax_R2">tlProd2Fcst!$AB$37</definedName>
    <definedName name="tlOutputLOB2Prod1Seg1Base_R1">tlProd2Fcst!$J$11</definedName>
    <definedName name="tlOutputLOB2Prod1Seg1Base_R2">tlProd2Fcst!$Z$11</definedName>
    <definedName name="tlOutputLOB2Prod1Seg1Budget_R1">tlProd2Fcst!$P$11</definedName>
    <definedName name="tlOutputLOB2Prod1Seg1Budget_R2">tlProd2Fcst!$AF$11</definedName>
    <definedName name="tlOutputLOB2Prod1Seg1Fcst_R1">tlProd2Fcst!$N$11</definedName>
    <definedName name="tlOutputLOB2Prod1Seg1Fcst_R2">tlProd2Fcst!$AD$11</definedName>
    <definedName name="tlOutputLOB2Prod1Seg1P1_R1">tlProd2Fcst!$D$11</definedName>
    <definedName name="tlOutputLOB2Prod1Seg1P1_R2">tlProd2Fcst!$T$11</definedName>
    <definedName name="tlOutputLOB2Prod1Seg1P2_R1">tlProd2Fcst!$F$11</definedName>
    <definedName name="tlOutputLOB2Prod1Seg1P2_R2">tlProd2Fcst!$V$11</definedName>
    <definedName name="tlOutputLOB2Prod1Seg1P3_R1">tlProd2Fcst!$H$11</definedName>
    <definedName name="tlOutputLOB2Prod1Seg1P3_R2">tlProd2Fcst!$X$11</definedName>
    <definedName name="tlOutputLOB2Prod1Seg2AdjMax_R1">tlProd2Fcst!$L$38</definedName>
    <definedName name="tlOutputLOB2Prod1Seg2AdjMax_R2">tlProd2Fcst!$AB$38</definedName>
    <definedName name="tlOutputLOB2Prod1Seg2Base_R1">tlProd2Fcst!$J$12</definedName>
    <definedName name="tlOutputLOB2Prod1Seg2Base_R2">tlProd2Fcst!$Z$12</definedName>
    <definedName name="tlOutputLOB2Prod1Seg2Budget_R1">tlProd2Fcst!$P$12</definedName>
    <definedName name="tlOutputLOB2Prod1Seg2Budget_R2">tlProd2Fcst!$AF$12</definedName>
    <definedName name="tlOutputLOB2Prod1Seg2Fcst_R1">tlProd2Fcst!$N$12</definedName>
    <definedName name="tlOutputLOB2Prod1Seg2Fcst_R2">tlProd2Fcst!$AD$12</definedName>
    <definedName name="tlOutputLOB2Prod1Seg2P1_R1">tlProd2Fcst!$D$12</definedName>
    <definedName name="tlOutputLOB2Prod1Seg2P1_R2">tlProd2Fcst!$T$12</definedName>
    <definedName name="tlOutputLOB2Prod1Seg2P2_R1">tlProd2Fcst!$F$12</definedName>
    <definedName name="tlOutputLOB2Prod1Seg2P2_R2">tlProd2Fcst!$V$12</definedName>
    <definedName name="tlOutputLOB2Prod1Seg2P3_R1">tlProd2Fcst!$H$12</definedName>
    <definedName name="tlOutputLOB2Prod1Seg2P3_R2">tlProd2Fcst!$X$12</definedName>
    <definedName name="tlOutputLOB2Prod1Seg3AdjMax_R1">tlProd2Fcst!$L$39</definedName>
    <definedName name="tlOutputLOB2Prod1Seg3AdjMax_R2">tlProd2Fcst!$AB$39</definedName>
    <definedName name="tlOutputLOB2Prod1Seg3Base_R1">tlProd2Fcst!$J$13</definedName>
    <definedName name="tlOutputLOB2Prod1Seg3Base_R2">tlProd2Fcst!$Z$13</definedName>
    <definedName name="tlOutputLOB2Prod1Seg3Budget_R1">tlProd2Fcst!$P$13</definedName>
    <definedName name="tlOutputLOB2Prod1Seg3Budget_R2">tlProd2Fcst!$AF$13</definedName>
    <definedName name="tlOutputLOB2Prod1Seg3Fcst_R1">tlProd2Fcst!$N$13</definedName>
    <definedName name="tlOutputLOB2Prod1Seg3Fcst_R2">tlProd2Fcst!$AD$13</definedName>
    <definedName name="tlOutputLOB2Prod1Seg3P1_R1">tlProd2Fcst!$D$13</definedName>
    <definedName name="tlOutputLOB2Prod1Seg3P1_R2">tlProd2Fcst!$T$13</definedName>
    <definedName name="tlOutputLOB2Prod1Seg3P2_R1">tlProd2Fcst!$F$13</definedName>
    <definedName name="tlOutputLOB2Prod1Seg3P2_R2">tlProd2Fcst!$V$13</definedName>
    <definedName name="tlOutputLOB2Prod1Seg3P3_R1">tlProd2Fcst!$H$13</definedName>
    <definedName name="tlOutputLOB2Prod1Seg3P3_R2">tlProd2Fcst!$X$13</definedName>
    <definedName name="tlOutputLOB2Prod2Seg1AdjMax_R1">tlProd2Fcst!$L$40</definedName>
    <definedName name="tlOutputLOB2Prod2Seg1AdjMax_R2">tlProd2Fcst!$AB$40</definedName>
    <definedName name="tlOutputLOB2Prod2Seg1Base_R1">tlProd2Fcst!$J$14</definedName>
    <definedName name="tlOutputLOB2Prod2Seg1Base_R2">tlProd2Fcst!$Z$14</definedName>
    <definedName name="tlOutputLOB2Prod2Seg1Budget_R1">tlProd2Fcst!$P$14</definedName>
    <definedName name="tlOutputLOB2Prod2Seg1Budget_R2">tlProd2Fcst!$AF$14</definedName>
    <definedName name="tlOutputLOB2Prod2Seg1Fcst_R1">tlProd2Fcst!$N$14</definedName>
    <definedName name="tlOutputLOB2Prod2Seg1Fcst_R2">tlProd2Fcst!$AD$14</definedName>
    <definedName name="tlOutputLOB2Prod2Seg1P1_R1">tlProd2Fcst!$D$14</definedName>
    <definedName name="tlOutputLOB2Prod2Seg1P1_R2">tlProd2Fcst!$T$14</definedName>
    <definedName name="tlOutputLOB2Prod2Seg1P2_R1">tlProd2Fcst!$F$14</definedName>
    <definedName name="tlOutputLOB2Prod2Seg1P2_R2">tlProd2Fcst!$V$14</definedName>
    <definedName name="tlOutputLOB2Prod2Seg1P3_R1">tlProd2Fcst!$H$14</definedName>
    <definedName name="tlOutputLOB2Prod2Seg1P3_R2">tlProd2Fcst!$X$14</definedName>
    <definedName name="tlOutputLOB2Prod2Seg2AdjMax_R1">tlProd2Fcst!$L$41</definedName>
    <definedName name="tlOutputLOB2Prod2Seg2AdjMax_R2">tlProd2Fcst!$AB$41</definedName>
    <definedName name="tlOutputLOB2Prod2Seg2Base_R1">tlProd2Fcst!$J$15</definedName>
    <definedName name="tlOutputLOB2Prod2Seg2Base_R2">tlProd2Fcst!$Z$15</definedName>
    <definedName name="tlOutputLOB2Prod2Seg2Budget_R1">tlProd2Fcst!$P$15</definedName>
    <definedName name="tlOutputLOB2Prod2Seg2Budget_R2">tlProd2Fcst!$AF$15</definedName>
    <definedName name="tlOutputLOB2Prod2Seg2Fcst_R1">tlProd2Fcst!$N$15</definedName>
    <definedName name="tlOutputLOB2Prod2Seg2Fcst_R2">tlProd2Fcst!$AD$15</definedName>
    <definedName name="tlOutputLOB2Prod2Seg2P1_R1">tlProd2Fcst!$D$15</definedName>
    <definedName name="tlOutputLOB2Prod2Seg2P1_R2">tlProd2Fcst!$T$15</definedName>
    <definedName name="tlOutputLOB2Prod2Seg2P2_R1">tlProd2Fcst!$F$15</definedName>
    <definedName name="tlOutputLOB2Prod2Seg2P2_R2">tlProd2Fcst!$V$15</definedName>
    <definedName name="tlOutputLOB2Prod2Seg2P3_R1">tlProd2Fcst!$H$15</definedName>
    <definedName name="tlOutputLOB2Prod2Seg2P3_R2">tlProd2Fcst!$X$15</definedName>
    <definedName name="tlOutputLOB2Prod2Seg3AdjMax_R1">tlProd2Fcst!$L$42</definedName>
    <definedName name="tlOutputLOB2Prod2Seg3AdjMax_R2">tlProd2Fcst!$AB$42</definedName>
    <definedName name="tlOutputLOB2Prod2Seg3Base_R1">tlProd2Fcst!$J$16</definedName>
    <definedName name="tlOutputLOB2Prod2Seg3Base_R2">tlProd2Fcst!$Z$16</definedName>
    <definedName name="tlOutputLOB2Prod2Seg3Budget_R1">tlProd2Fcst!$P$16</definedName>
    <definedName name="tlOutputLOB2Prod2Seg3Budget_R2">tlProd2Fcst!$AF$16</definedName>
    <definedName name="tlOutputLOB2Prod2Seg3Fcst_R1">tlProd2Fcst!$N$16</definedName>
    <definedName name="tlOutputLOB2Prod2Seg3Fcst_R2">tlProd2Fcst!$AD$16</definedName>
    <definedName name="tlOutputLOB2Prod2Seg3P1_R1">tlProd2Fcst!$D$16</definedName>
    <definedName name="tlOutputLOB2Prod2Seg3P1_R2">tlProd2Fcst!$T$16</definedName>
    <definedName name="tlOutputLOB2Prod2Seg3P2_R1">tlProd2Fcst!$F$16</definedName>
    <definedName name="tlOutputLOB2Prod2Seg3P2_R2">tlProd2Fcst!$V$16</definedName>
    <definedName name="tlOutputLOB2Prod2Seg3P3_R1">tlProd2Fcst!$H$16</definedName>
    <definedName name="tlOutputLOB2Prod2Seg3P3_R2">tlProd2Fcst!$X$16</definedName>
    <definedName name="tlOutputLOB2ProjectionAdj_R1">tlProd2Fcst!$L$17</definedName>
    <definedName name="tlOutputLOB2ProjectionAdj_R2">tlProd2Fcst!$AB$17</definedName>
    <definedName name="tlOutputLOB2ProjectionBase_R1">tlProd2Fcst!$J$17</definedName>
    <definedName name="tlOutputLOB2ProjectionBase_R2">tlProd2Fcst!$Z$17</definedName>
    <definedName name="tlOutputLOB2ProjectionBudget_R1">tlProd2Fcst!$P$17</definedName>
    <definedName name="tlOutputLOB2ProjectionBudget_R2">tlProd2Fcst!$AF$17</definedName>
    <definedName name="tlOutputLOB2ProjectionFcst_R1">tlProd2Fcst!$N$17</definedName>
    <definedName name="tlOutputLOB2ProjectionFcst_R2">tlProd2Fcst!$AD$17</definedName>
    <definedName name="tlOutputLOB2ProjectionP1_R1">tlProd2Fcst!$D$17</definedName>
    <definedName name="tlOutputLOB2ProjectionP1_R2">tlProd2Fcst!$T$17</definedName>
    <definedName name="tlOutputLOB2ProjectionP2_R1">tlProd2Fcst!$F$17</definedName>
    <definedName name="tlOutputLOB2ProjectionP2_R2">tlProd2Fcst!$V$17</definedName>
    <definedName name="tlOutputLOB2ProjectionP3_R1">tlProd2Fcst!$H$17</definedName>
    <definedName name="tlOutputLOB2ProjectionP3_R2">tlProd2Fcst!$X$17</definedName>
    <definedName name="tlOutputLOB2SpecProgRemaining_R1">tlProd2DOO!$G$33</definedName>
    <definedName name="tlOutputLOB2SpecProgRemaining_R2">tlProd2DOO!$Q$33</definedName>
    <definedName name="tlOutputmmLOB1Driver1Explain">mmLOB1!$E$52</definedName>
    <definedName name="tlOutputmmLOB1Driver2Explain">mmLOB1!$E$53</definedName>
    <definedName name="tlOutputmmLOB1Driver3Explain">mmLOB1!$E$54</definedName>
    <definedName name="tlOutputmmLOB1MarketShare">mmLOB1!$E$39</definedName>
    <definedName name="tlOutputmmLOB2Driver1Explain">mmLOB2!$E$52</definedName>
    <definedName name="tlOutputmmLOB2Driver2Explain">mmLOB2!$E$53</definedName>
    <definedName name="tlOutputmmLOB2Driver3Explain">mmLOB2!$E$54</definedName>
    <definedName name="tlOutputmmLOB2MarketShare">mmLOB2!$E$39</definedName>
    <definedName name="tlOutputmmR2LOB1Driver1Explain">mmLOB1!$K$52</definedName>
    <definedName name="tlOutputmmR2LOB1Driver2Explain">mmLOB1!$K$53</definedName>
    <definedName name="tlOutputmmR2LOB1Driver3Explain">mmLOB1!$K$54</definedName>
    <definedName name="tlOutputmmR2LOB1MarketShare">mmLOB1!$K$39</definedName>
    <definedName name="tlOutputmmR2LOB2Driver1Explain">mmLOB2!$K$52</definedName>
    <definedName name="tlOutputmmR2LOB2Driver2Explain">mmLOB2!$K$53</definedName>
    <definedName name="tlOutputmmR2LOB2Driver3Explain">mmLOB2!$K$54</definedName>
    <definedName name="tlOutputmmR2LOB2MarketShare">mmLOB2!$K$39</definedName>
    <definedName name="tlOutputProcessTrigger_R1">tlEvents!$S$21</definedName>
    <definedName name="tlOutputProcessTrigger_R2">tlEvents!$S$35</definedName>
    <definedName name="tlOutputR1Event1">tlEvents!$K$15</definedName>
    <definedName name="tlOutputR1Event2">tlEvents!$K$16</definedName>
    <definedName name="tlOutputR1Event3">tlEvents!$K$17</definedName>
    <definedName name="tlOutputR1Event4">tlEvents!$K$18</definedName>
    <definedName name="tlOutputR2Event1">tlEvents!$K$27</definedName>
    <definedName name="tlOutputR2Event2">tlEvents!$K$28</definedName>
    <definedName name="tlOutputR2Event3">tlEvents!$K$29</definedName>
    <definedName name="tlOutputR2Event4">tlEvents!$K$30</definedName>
    <definedName name="tlOutputR2Event5">tlEvents!$K$31</definedName>
    <definedName name="tlOutputTriggerR1Event1">tlEvents!$V$15</definedName>
    <definedName name="tlOutputTriggerR1Event2">tlEvents!$V$16</definedName>
    <definedName name="tlOutputTriggerR1Event3">tlEvents!$V$17</definedName>
    <definedName name="tlOutputTriggerR1Event4">tlEvents!$V$18</definedName>
    <definedName name="tlOutputTriggerR1Message1">tlEvents!$V$19</definedName>
    <definedName name="tlOutputTriggerR2Event1">tlEvents!$V$27</definedName>
    <definedName name="tlOutputTriggerR2Event2">tlEvents!$V$28</definedName>
    <definedName name="tlOutputTriggerR2Event3">tlEvents!$V$29</definedName>
    <definedName name="tlOutputTriggerR2Event4">tlEvents!$V$30</definedName>
    <definedName name="tlOutputTriggerR2Event5">tlEvents!$V$31</definedName>
    <definedName name="tlOutputTriggerR2Message1">tlEvents!$V$32</definedName>
    <definedName name="tlTeamName">Controls!$D$37</definedName>
    <definedName name="tlTeamNumber">Controls!$D$39</definedName>
    <definedName name="vbaPopupMenu1ItemNumber">PopUp!$E$44</definedName>
    <definedName name="vbaPopupMenu1ListFaceID">PopUp!$L$22:$L$36</definedName>
    <definedName name="vbaPopupMenu1ListLevel">PopUp!$E$22:$E$36</definedName>
    <definedName name="vbaPopupMenu1ListMacro">PopUp!$K$22:$K$36</definedName>
    <definedName name="vbaPopupMenu1ListTitle">PopUp!$F$22:$F$36</definedName>
    <definedName name="vbaPopupMenu1Lvl1ItemNumber">PopUp!$E$42</definedName>
    <definedName name="vbaPopupMenu1Lvl2ItemNumber">PopUp!$E$43</definedName>
    <definedName name="vbaPopupMenuActive">PopUp!$E$17</definedName>
    <definedName name="vbaPopupMenuName">PopUp!$E$16</definedName>
    <definedName name="xxIndexTeam">Controls!$D$21</definedName>
    <definedName name="xxLOB1BaseVolume">data!$C$83</definedName>
    <definedName name="xxLOB2BaseVolume">data!$C$84</definedName>
    <definedName name="xxNumOfTeams">Controls!$D$13</definedName>
    <definedName name="xxObalTeam2">obal!$F:$F</definedName>
    <definedName name="xxObalTeam5">obal!$G:$G</definedName>
    <definedName name="xxProgramName">Controls!$D$49</definedName>
    <definedName name="xxRound">Controls!$D$17</definedName>
    <definedName name="xxSim0Tool1">Controls!$D$19</definedName>
    <definedName name="xxToolPrefix">Controls!$D$27</definedName>
  </definedNames>
  <calcPr calcId="171027"/>
</workbook>
</file>

<file path=xl/calcChain.xml><?xml version="1.0" encoding="utf-8"?>
<calcChain xmlns="http://schemas.openxmlformats.org/spreadsheetml/2006/main">
  <c r="E2053" i="46" l="1"/>
  <c r="L2013" i="46" l="1"/>
  <c r="M2013" i="46"/>
  <c r="K2013" i="46"/>
  <c r="F2013" i="46"/>
  <c r="G2013" i="46"/>
  <c r="E2013" i="46"/>
  <c r="E2012" i="46" l="1"/>
  <c r="K962" i="46"/>
  <c r="E961" i="46"/>
  <c r="E962" i="46"/>
  <c r="E54" i="32" l="1"/>
  <c r="E53" i="32"/>
  <c r="E256" i="32"/>
  <c r="E255" i="32"/>
  <c r="H16" i="72" l="1"/>
  <c r="F16" i="72"/>
  <c r="H13" i="72"/>
  <c r="F13" i="72"/>
  <c r="H11" i="72"/>
  <c r="F11" i="72"/>
  <c r="H10" i="72"/>
  <c r="F10" i="72"/>
  <c r="H9" i="72"/>
  <c r="F9" i="72"/>
  <c r="M1976" i="46" l="1"/>
  <c r="L1976" i="46"/>
  <c r="M1970" i="46"/>
  <c r="L1970" i="46"/>
  <c r="F1976" i="46"/>
  <c r="G1976" i="46"/>
  <c r="F1970" i="46"/>
  <c r="G1970" i="46"/>
  <c r="M925" i="46" l="1"/>
  <c r="L925" i="46"/>
  <c r="M919" i="46"/>
  <c r="L919" i="46"/>
  <c r="G925" i="46"/>
  <c r="F925" i="46"/>
  <c r="F919" i="46"/>
  <c r="G919" i="46"/>
  <c r="P49" i="52"/>
  <c r="E49" i="52"/>
  <c r="Q44" i="52"/>
  <c r="F44" i="52"/>
  <c r="Q91" i="46" l="1"/>
  <c r="Q95" i="46"/>
  <c r="Q106" i="46"/>
  <c r="Q219" i="46"/>
  <c r="Q220" i="46"/>
  <c r="Q247" i="46"/>
  <c r="Q132" i="46"/>
  <c r="Q136" i="46"/>
  <c r="Q139" i="46"/>
  <c r="Q142" i="46"/>
  <c r="Q145" i="46"/>
  <c r="Q146" i="46"/>
  <c r="Q149" i="46"/>
  <c r="Q152" i="46"/>
  <c r="Q1" i="39" l="1"/>
  <c r="J58" i="38" l="1"/>
  <c r="K344" i="71" l="1"/>
  <c r="E342" i="71"/>
  <c r="L7" i="58"/>
  <c r="M7" i="58"/>
  <c r="K7" i="58"/>
  <c r="F7" i="58"/>
  <c r="G7" i="58"/>
  <c r="E7" i="58"/>
  <c r="G2032" i="46" l="1"/>
  <c r="F2032" i="46"/>
  <c r="E2032" i="46"/>
  <c r="F981" i="46" l="1"/>
  <c r="G981" i="46"/>
  <c r="E981" i="46"/>
  <c r="I60" i="31" l="1"/>
  <c r="I61" i="31"/>
  <c r="D15" i="32"/>
  <c r="E380" i="32" l="1"/>
  <c r="F380" i="32"/>
  <c r="G380" i="32"/>
  <c r="E381" i="32"/>
  <c r="F381" i="32"/>
  <c r="G381" i="32"/>
  <c r="E382" i="32"/>
  <c r="F382" i="32"/>
  <c r="G382" i="32"/>
  <c r="E383" i="32"/>
  <c r="F383" i="32"/>
  <c r="G383" i="32"/>
  <c r="E384" i="32"/>
  <c r="F384" i="32"/>
  <c r="G384" i="32"/>
  <c r="E385" i="32"/>
  <c r="F385" i="32"/>
  <c r="G385" i="32"/>
  <c r="E386" i="32"/>
  <c r="F386" i="32"/>
  <c r="G386" i="32"/>
  <c r="E387" i="32"/>
  <c r="F387" i="32"/>
  <c r="G387" i="32"/>
  <c r="E388" i="32"/>
  <c r="F388" i="32"/>
  <c r="G388" i="32"/>
  <c r="E389" i="32"/>
  <c r="F389" i="32"/>
  <c r="G389" i="32"/>
  <c r="E392" i="32"/>
  <c r="F392" i="32"/>
  <c r="G392" i="32"/>
  <c r="E393" i="32"/>
  <c r="F393" i="32"/>
  <c r="G393" i="32"/>
  <c r="E394" i="32"/>
  <c r="F394" i="32"/>
  <c r="G394" i="32"/>
  <c r="E395" i="32"/>
  <c r="F395" i="32"/>
  <c r="G395" i="32"/>
  <c r="G347" i="32"/>
  <c r="G1500" i="46" s="1"/>
  <c r="F347" i="32"/>
  <c r="F1500" i="46" s="1"/>
  <c r="E347" i="32"/>
  <c r="E1500" i="46" s="1"/>
  <c r="G346" i="32"/>
  <c r="G1656" i="46" s="1"/>
  <c r="F346" i="32"/>
  <c r="F1656" i="46" s="1"/>
  <c r="E346" i="32"/>
  <c r="E1656" i="46" s="1"/>
  <c r="G345" i="32"/>
  <c r="G1224" i="46" s="1"/>
  <c r="F345" i="32"/>
  <c r="F1224" i="46" s="1"/>
  <c r="E345" i="32"/>
  <c r="E1224" i="46" s="1"/>
  <c r="G344" i="32"/>
  <c r="G1211" i="46" s="1"/>
  <c r="F344" i="32"/>
  <c r="F1211" i="46" s="1"/>
  <c r="E344" i="32"/>
  <c r="E1211" i="46" s="1"/>
  <c r="I323" i="32"/>
  <c r="I325" i="32"/>
  <c r="I327" i="32"/>
  <c r="I326" i="32"/>
  <c r="I329" i="32"/>
  <c r="I328" i="32"/>
  <c r="I324" i="32"/>
  <c r="I322" i="32"/>
  <c r="G144" i="32"/>
  <c r="G464" i="46" s="1"/>
  <c r="F144" i="32"/>
  <c r="F464" i="46" s="1"/>
  <c r="G143" i="32"/>
  <c r="G620" i="46" s="1"/>
  <c r="F143" i="32"/>
  <c r="F620" i="46" s="1"/>
  <c r="G142" i="32"/>
  <c r="G188" i="46" s="1"/>
  <c r="F142" i="32"/>
  <c r="F188" i="46" s="1"/>
  <c r="G141" i="32"/>
  <c r="G175" i="46" s="1"/>
  <c r="F141" i="32"/>
  <c r="F175" i="46" s="1"/>
  <c r="E143" i="32"/>
  <c r="E620" i="46" s="1"/>
  <c r="I124" i="32"/>
  <c r="I123" i="32"/>
  <c r="I126" i="32"/>
  <c r="I125" i="32"/>
  <c r="I121" i="32"/>
  <c r="I120" i="32"/>
  <c r="E144" i="32"/>
  <c r="E464" i="46" s="1"/>
  <c r="E141" i="32"/>
  <c r="E175" i="46" s="1"/>
  <c r="I119" i="32" l="1"/>
  <c r="E142" i="32"/>
  <c r="E188" i="46" s="1"/>
  <c r="I122" i="32"/>
  <c r="Q41" i="52"/>
  <c r="F43" i="52"/>
  <c r="F42" i="52"/>
  <c r="Q43" i="52"/>
  <c r="Q42" i="52"/>
  <c r="F98" i="1" l="1"/>
  <c r="F109" i="1"/>
  <c r="F101" i="1"/>
  <c r="F100" i="1"/>
  <c r="F99" i="1"/>
  <c r="F92" i="1"/>
  <c r="F91" i="1"/>
  <c r="F90" i="1"/>
  <c r="F89" i="1"/>
  <c r="V32" i="57" l="1"/>
  <c r="V27" i="57"/>
  <c r="V28" i="57"/>
  <c r="V15" i="57"/>
  <c r="V19" i="57"/>
  <c r="J145" i="38" l="1"/>
  <c r="D145" i="38"/>
  <c r="J479" i="38"/>
  <c r="D479" i="38"/>
  <c r="J469" i="38"/>
  <c r="D469" i="38"/>
  <c r="J345" i="38"/>
  <c r="D345" i="38"/>
  <c r="J335" i="38"/>
  <c r="D335" i="38"/>
  <c r="J69" i="38"/>
  <c r="D69" i="38"/>
  <c r="L2029" i="46"/>
  <c r="M2029" i="46"/>
  <c r="F2029" i="46"/>
  <c r="G2029" i="46"/>
  <c r="M2012" i="46"/>
  <c r="M2031" i="46" s="1"/>
  <c r="L2012" i="46"/>
  <c r="L2031" i="46" s="1"/>
  <c r="F2012" i="46"/>
  <c r="F2031" i="46" s="1"/>
  <c r="G2012" i="46"/>
  <c r="G2031" i="46" s="1"/>
  <c r="M961" i="46"/>
  <c r="M962" i="46" s="1"/>
  <c r="M980" i="46" s="1"/>
  <c r="K469" i="38" s="1"/>
  <c r="L961" i="46"/>
  <c r="L962" i="46" s="1"/>
  <c r="L980" i="46" s="1"/>
  <c r="F961" i="46"/>
  <c r="F962" i="46" s="1"/>
  <c r="F980" i="46" s="1"/>
  <c r="E469" i="38" s="1"/>
  <c r="G961" i="46"/>
  <c r="G962" i="46" s="1"/>
  <c r="G980" i="46" s="1"/>
  <c r="L978" i="46"/>
  <c r="M978" i="46"/>
  <c r="F978" i="46"/>
  <c r="G978" i="46"/>
  <c r="K335" i="38" l="1"/>
  <c r="K345" i="38"/>
  <c r="K479" i="38"/>
  <c r="E479" i="38"/>
  <c r="E345" i="38"/>
  <c r="E335" i="38"/>
  <c r="AE19" i="60"/>
  <c r="F17" i="72" s="1"/>
  <c r="AG12" i="60"/>
  <c r="H12" i="72" s="1"/>
  <c r="AE12" i="60"/>
  <c r="F12" i="72" s="1"/>
  <c r="AI18" i="60"/>
  <c r="J16" i="72" s="1"/>
  <c r="AI13" i="60"/>
  <c r="AI11" i="60"/>
  <c r="J11" i="72" s="1"/>
  <c r="AI10" i="60"/>
  <c r="J10" i="72" s="1"/>
  <c r="AI9" i="60"/>
  <c r="J9" i="72" s="1"/>
  <c r="AE15" i="60" l="1"/>
  <c r="F14" i="72" s="1"/>
  <c r="AI14" i="60"/>
  <c r="AG19" i="60"/>
  <c r="AG15" i="60"/>
  <c r="H14" i="72" s="1"/>
  <c r="AE20" i="60"/>
  <c r="F18" i="72" s="1"/>
  <c r="AI12" i="60"/>
  <c r="J12" i="72" s="1"/>
  <c r="AG20" i="60" l="1"/>
  <c r="H18" i="72" s="1"/>
  <c r="H17" i="72"/>
  <c r="AI19" i="60"/>
  <c r="J17" i="72" s="1"/>
  <c r="J13" i="72"/>
  <c r="AE21" i="60"/>
  <c r="F88" i="1"/>
  <c r="AG21" i="60"/>
  <c r="F97" i="1"/>
  <c r="AI15" i="60"/>
  <c r="J14" i="72" s="1"/>
  <c r="L805" i="30"/>
  <c r="K805" i="30"/>
  <c r="D805" i="30"/>
  <c r="L804" i="30"/>
  <c r="K804" i="30"/>
  <c r="D804" i="30"/>
  <c r="K803" i="30"/>
  <c r="L803" i="30"/>
  <c r="L802" i="30"/>
  <c r="K802" i="30"/>
  <c r="D803" i="30"/>
  <c r="D802" i="30"/>
  <c r="L797" i="30"/>
  <c r="K797" i="30"/>
  <c r="D797" i="30"/>
  <c r="L796" i="30"/>
  <c r="K796" i="30"/>
  <c r="D796" i="30"/>
  <c r="L799" i="30"/>
  <c r="K799" i="30"/>
  <c r="D799" i="30"/>
  <c r="L798" i="30"/>
  <c r="K798" i="30"/>
  <c r="D798" i="30"/>
  <c r="L795" i="30"/>
  <c r="K795" i="30"/>
  <c r="D795" i="30"/>
  <c r="L794" i="30"/>
  <c r="K794" i="30"/>
  <c r="D794" i="30"/>
  <c r="K789" i="30"/>
  <c r="L789" i="30"/>
  <c r="K790" i="30"/>
  <c r="L790" i="30"/>
  <c r="K791" i="30"/>
  <c r="L791" i="30"/>
  <c r="D791" i="30"/>
  <c r="D790" i="30"/>
  <c r="D789" i="30"/>
  <c r="L788" i="30"/>
  <c r="K788" i="30"/>
  <c r="D788" i="30"/>
  <c r="L783" i="30"/>
  <c r="L784" i="30"/>
  <c r="K784" i="30"/>
  <c r="K783" i="30"/>
  <c r="L781" i="30"/>
  <c r="L782" i="30"/>
  <c r="K782" i="30"/>
  <c r="K781" i="30"/>
  <c r="D784" i="30"/>
  <c r="D783" i="30"/>
  <c r="D782" i="30"/>
  <c r="D781" i="30"/>
  <c r="K772" i="30"/>
  <c r="L772" i="30"/>
  <c r="K773" i="30"/>
  <c r="L773" i="30"/>
  <c r="K774" i="30"/>
  <c r="L774" i="30"/>
  <c r="K775" i="30"/>
  <c r="L775" i="30"/>
  <c r="K776" i="30"/>
  <c r="L776" i="30"/>
  <c r="K777" i="30"/>
  <c r="L777" i="30"/>
  <c r="K778" i="30"/>
  <c r="L778" i="30"/>
  <c r="L770" i="30"/>
  <c r="L771" i="30"/>
  <c r="K771" i="30"/>
  <c r="K770" i="30"/>
  <c r="L768" i="30"/>
  <c r="L769" i="30"/>
  <c r="K769" i="30"/>
  <c r="K768" i="30"/>
  <c r="D771" i="30"/>
  <c r="D770" i="30"/>
  <c r="D769" i="30"/>
  <c r="D768" i="30"/>
  <c r="K759" i="30"/>
  <c r="L759" i="30"/>
  <c r="K760" i="30"/>
  <c r="L760" i="30"/>
  <c r="K761" i="30"/>
  <c r="L761" i="30"/>
  <c r="K762" i="30"/>
  <c r="L762" i="30"/>
  <c r="K763" i="30"/>
  <c r="L763" i="30"/>
  <c r="K764" i="30"/>
  <c r="L764" i="30"/>
  <c r="K765" i="30"/>
  <c r="L765" i="30"/>
  <c r="L758" i="30"/>
  <c r="K758" i="30"/>
  <c r="D758" i="30"/>
  <c r="L757" i="30"/>
  <c r="K757" i="30"/>
  <c r="D757" i="30"/>
  <c r="L756" i="30"/>
  <c r="K756" i="30"/>
  <c r="D756" i="30"/>
  <c r="L755" i="30"/>
  <c r="K755" i="30"/>
  <c r="D755" i="30"/>
  <c r="F102" i="1" l="1"/>
  <c r="H19" i="72"/>
  <c r="AI20" i="60"/>
  <c r="J18" i="72" s="1"/>
  <c r="F93" i="1"/>
  <c r="F19" i="72"/>
  <c r="AI21" i="60"/>
  <c r="F106" i="1"/>
  <c r="K388" i="38"/>
  <c r="E388" i="38"/>
  <c r="J478" i="38"/>
  <c r="D478" i="38"/>
  <c r="J477" i="38"/>
  <c r="D477" i="38"/>
  <c r="J476" i="38"/>
  <c r="D476" i="38"/>
  <c r="J468" i="38"/>
  <c r="D468" i="38"/>
  <c r="K467" i="38"/>
  <c r="J467" i="38"/>
  <c r="E467" i="38"/>
  <c r="D467" i="38"/>
  <c r="J466" i="38"/>
  <c r="D466" i="38"/>
  <c r="J451" i="38"/>
  <c r="D451" i="38"/>
  <c r="J450" i="38"/>
  <c r="D450" i="38"/>
  <c r="J449" i="38"/>
  <c r="E449" i="38"/>
  <c r="D449" i="38"/>
  <c r="K448" i="38"/>
  <c r="J448" i="38"/>
  <c r="E448" i="38"/>
  <c r="D448" i="38"/>
  <c r="J447" i="38"/>
  <c r="D447" i="38"/>
  <c r="J446" i="38"/>
  <c r="D446" i="38"/>
  <c r="J441" i="38"/>
  <c r="D441" i="38"/>
  <c r="J440" i="38"/>
  <c r="E440" i="38"/>
  <c r="D440" i="38"/>
  <c r="K439" i="38"/>
  <c r="J439" i="38"/>
  <c r="E439" i="38"/>
  <c r="D439" i="38"/>
  <c r="J438" i="38"/>
  <c r="D438" i="38"/>
  <c r="J437" i="38"/>
  <c r="D437" i="38"/>
  <c r="J421" i="38"/>
  <c r="D421" i="38"/>
  <c r="J420" i="38"/>
  <c r="D420" i="38"/>
  <c r="J419" i="38"/>
  <c r="D419" i="38"/>
  <c r="J418" i="38"/>
  <c r="D418" i="38"/>
  <c r="J412" i="38"/>
  <c r="D412" i="38"/>
  <c r="J411" i="38"/>
  <c r="D411" i="38"/>
  <c r="K410" i="38"/>
  <c r="J410" i="38"/>
  <c r="E410" i="38"/>
  <c r="D410" i="38"/>
  <c r="J409" i="38"/>
  <c r="D409" i="38"/>
  <c r="K254" i="38"/>
  <c r="E254" i="38"/>
  <c r="K276" i="38"/>
  <c r="K333" i="38"/>
  <c r="K314" i="38"/>
  <c r="K305" i="38"/>
  <c r="E314" i="38"/>
  <c r="E315" i="38"/>
  <c r="J344" i="38"/>
  <c r="D344" i="38"/>
  <c r="J343" i="38"/>
  <c r="D343" i="38"/>
  <c r="J342" i="38"/>
  <c r="D342" i="38"/>
  <c r="J317" i="38"/>
  <c r="D317" i="38"/>
  <c r="J316" i="38"/>
  <c r="D316" i="38"/>
  <c r="J315" i="38"/>
  <c r="D315" i="38"/>
  <c r="J314" i="38"/>
  <c r="D314" i="38"/>
  <c r="J313" i="38"/>
  <c r="D313" i="38"/>
  <c r="J312" i="38"/>
  <c r="D312" i="38"/>
  <c r="J287" i="38"/>
  <c r="D287" i="38"/>
  <c r="J286" i="38"/>
  <c r="D286" i="38"/>
  <c r="J285" i="38"/>
  <c r="D285" i="38"/>
  <c r="J284" i="38"/>
  <c r="D284" i="38"/>
  <c r="E333" i="38"/>
  <c r="E305" i="38"/>
  <c r="E306" i="38"/>
  <c r="E276" i="38"/>
  <c r="J334" i="38"/>
  <c r="D334" i="38"/>
  <c r="J333" i="38"/>
  <c r="D333" i="38"/>
  <c r="J332" i="38"/>
  <c r="D332" i="38"/>
  <c r="J307" i="38"/>
  <c r="D307" i="38"/>
  <c r="J306" i="38"/>
  <c r="D306" i="38"/>
  <c r="J305" i="38"/>
  <c r="D305" i="38"/>
  <c r="J304" i="38"/>
  <c r="D304" i="38"/>
  <c r="J303" i="38"/>
  <c r="D303" i="38"/>
  <c r="J278" i="38"/>
  <c r="D278" i="38"/>
  <c r="J277" i="38"/>
  <c r="D277" i="38"/>
  <c r="J276" i="38"/>
  <c r="D276" i="38"/>
  <c r="J275" i="38"/>
  <c r="D275" i="38"/>
  <c r="F110" i="1" l="1"/>
  <c r="J19" i="72"/>
  <c r="F41" i="52"/>
  <c r="L750" i="30" l="1"/>
  <c r="L751" i="30"/>
  <c r="K751" i="30"/>
  <c r="K750" i="30"/>
  <c r="D751" i="30"/>
  <c r="D750" i="30"/>
  <c r="L749" i="30"/>
  <c r="K749" i="30"/>
  <c r="D749" i="30"/>
  <c r="L748" i="30"/>
  <c r="K748" i="30"/>
  <c r="D748" i="30"/>
  <c r="L745" i="30"/>
  <c r="K745" i="30"/>
  <c r="L744" i="30"/>
  <c r="K744" i="30"/>
  <c r="L743" i="30"/>
  <c r="K743" i="30"/>
  <c r="D743" i="30"/>
  <c r="L742" i="30"/>
  <c r="K742" i="30"/>
  <c r="D742" i="30"/>
  <c r="D745" i="30"/>
  <c r="D744" i="30"/>
  <c r="L741" i="30"/>
  <c r="K741" i="30"/>
  <c r="D741" i="30"/>
  <c r="L740" i="30"/>
  <c r="K740" i="30"/>
  <c r="D740" i="30"/>
  <c r="L736" i="30"/>
  <c r="L737" i="30"/>
  <c r="K737" i="30"/>
  <c r="K736" i="30"/>
  <c r="D737" i="30"/>
  <c r="D736" i="30"/>
  <c r="L735" i="30"/>
  <c r="K735" i="30"/>
  <c r="D735" i="30"/>
  <c r="L734" i="30"/>
  <c r="K734" i="30"/>
  <c r="D734" i="30"/>
  <c r="K724" i="30"/>
  <c r="L724" i="30"/>
  <c r="K725" i="30"/>
  <c r="L725" i="30"/>
  <c r="K726" i="30"/>
  <c r="L726" i="30"/>
  <c r="K727" i="30"/>
  <c r="L727" i="30"/>
  <c r="K728" i="30"/>
  <c r="L728" i="30"/>
  <c r="K729" i="30"/>
  <c r="L729" i="30"/>
  <c r="K730" i="30"/>
  <c r="L730" i="30"/>
  <c r="L723" i="30"/>
  <c r="K723" i="30"/>
  <c r="D723" i="30"/>
  <c r="L722" i="30"/>
  <c r="K722" i="30"/>
  <c r="D722" i="30"/>
  <c r="L719" i="30"/>
  <c r="K719" i="30"/>
  <c r="L718" i="30"/>
  <c r="K718" i="30"/>
  <c r="L717" i="30"/>
  <c r="K717" i="30"/>
  <c r="L716" i="30"/>
  <c r="K716" i="30"/>
  <c r="L715" i="30"/>
  <c r="K715" i="30"/>
  <c r="L714" i="30"/>
  <c r="K714" i="30"/>
  <c r="L713" i="30"/>
  <c r="K713" i="30"/>
  <c r="L712" i="30"/>
  <c r="K712" i="30"/>
  <c r="L711" i="30"/>
  <c r="K711" i="30"/>
  <c r="D711" i="30"/>
  <c r="L710" i="30"/>
  <c r="K710" i="30"/>
  <c r="D710" i="30"/>
  <c r="L707" i="30"/>
  <c r="K707" i="30"/>
  <c r="L706" i="30"/>
  <c r="K706" i="30"/>
  <c r="L705" i="30"/>
  <c r="K705" i="30"/>
  <c r="L704" i="30"/>
  <c r="K704" i="30"/>
  <c r="L703" i="30"/>
  <c r="K703" i="30"/>
  <c r="L702" i="30"/>
  <c r="K702" i="30"/>
  <c r="L701" i="30"/>
  <c r="K701" i="30"/>
  <c r="L700" i="30"/>
  <c r="K700" i="30"/>
  <c r="L699" i="30"/>
  <c r="K699" i="30"/>
  <c r="D699" i="30"/>
  <c r="L698" i="30"/>
  <c r="K698" i="30"/>
  <c r="D698" i="30"/>
  <c r="L697" i="30"/>
  <c r="K697" i="30"/>
  <c r="D697" i="30"/>
  <c r="L696" i="30"/>
  <c r="K696" i="30"/>
  <c r="D696" i="30"/>
  <c r="L695" i="30"/>
  <c r="K695" i="30"/>
  <c r="D695" i="30"/>
  <c r="L694" i="30"/>
  <c r="K694" i="30"/>
  <c r="D694" i="30"/>
  <c r="L693" i="30"/>
  <c r="K693" i="30"/>
  <c r="D693" i="30"/>
  <c r="L692" i="30"/>
  <c r="K692" i="30"/>
  <c r="D692" i="30"/>
  <c r="L691" i="30"/>
  <c r="K691" i="30"/>
  <c r="D691" i="30"/>
  <c r="L690" i="30"/>
  <c r="K690" i="30"/>
  <c r="D690" i="30"/>
  <c r="L689" i="30"/>
  <c r="K689" i="30"/>
  <c r="D689" i="30"/>
  <c r="L688" i="30"/>
  <c r="K688" i="30"/>
  <c r="D688" i="30"/>
  <c r="K677" i="30"/>
  <c r="L677" i="30"/>
  <c r="K678" i="30"/>
  <c r="L678" i="30"/>
  <c r="K679" i="30"/>
  <c r="L679" i="30"/>
  <c r="K680" i="30"/>
  <c r="L680" i="30"/>
  <c r="K681" i="30"/>
  <c r="L681" i="30"/>
  <c r="K682" i="30"/>
  <c r="L682" i="30"/>
  <c r="K683" i="30"/>
  <c r="L683" i="30"/>
  <c r="K684" i="30"/>
  <c r="L684" i="30"/>
  <c r="K685" i="30"/>
  <c r="L685" i="30"/>
  <c r="K686" i="30"/>
  <c r="L686" i="30"/>
  <c r="K687" i="30"/>
  <c r="L687" i="30"/>
  <c r="L676" i="30"/>
  <c r="K676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L675" i="30"/>
  <c r="K675" i="30"/>
  <c r="D675" i="30"/>
  <c r="L674" i="30"/>
  <c r="K674" i="30"/>
  <c r="D674" i="30"/>
  <c r="L673" i="30"/>
  <c r="K673" i="30"/>
  <c r="D673" i="30"/>
  <c r="L672" i="30"/>
  <c r="K672" i="30"/>
  <c r="D672" i="30"/>
  <c r="L660" i="30"/>
  <c r="K660" i="30"/>
  <c r="L659" i="30"/>
  <c r="K659" i="30"/>
  <c r="L668" i="30"/>
  <c r="K668" i="30"/>
  <c r="L667" i="30"/>
  <c r="K667" i="30"/>
  <c r="L666" i="30"/>
  <c r="K666" i="30"/>
  <c r="L665" i="30"/>
  <c r="K665" i="30"/>
  <c r="L664" i="30"/>
  <c r="K664" i="30"/>
  <c r="L663" i="30"/>
  <c r="K663" i="30"/>
  <c r="L662" i="30"/>
  <c r="K662" i="30"/>
  <c r="L661" i="30"/>
  <c r="K661" i="30"/>
  <c r="D660" i="30"/>
  <c r="D659" i="30"/>
  <c r="L658" i="30"/>
  <c r="K658" i="30"/>
  <c r="D658" i="30"/>
  <c r="L657" i="30"/>
  <c r="K657" i="30"/>
  <c r="D657" i="30"/>
  <c r="K648" i="30"/>
  <c r="L648" i="30"/>
  <c r="K649" i="30"/>
  <c r="L649" i="30"/>
  <c r="K650" i="30"/>
  <c r="L650" i="30"/>
  <c r="K651" i="30"/>
  <c r="L651" i="30"/>
  <c r="K652" i="30"/>
  <c r="L652" i="30"/>
  <c r="K653" i="30"/>
  <c r="L653" i="30"/>
  <c r="K654" i="30"/>
  <c r="L654" i="30"/>
  <c r="L647" i="30"/>
  <c r="K647" i="30"/>
  <c r="L646" i="30"/>
  <c r="K646" i="30"/>
  <c r="D646" i="30"/>
  <c r="L645" i="30"/>
  <c r="K645" i="30"/>
  <c r="D645" i="30"/>
  <c r="L644" i="30"/>
  <c r="K644" i="30"/>
  <c r="D644" i="30"/>
  <c r="L643" i="30"/>
  <c r="K643" i="30"/>
  <c r="D643" i="30"/>
  <c r="L615" i="30"/>
  <c r="K615" i="30"/>
  <c r="D615" i="30"/>
  <c r="L614" i="30"/>
  <c r="K614" i="30"/>
  <c r="D614" i="30"/>
  <c r="L601" i="30"/>
  <c r="K601" i="30"/>
  <c r="D601" i="30"/>
  <c r="L600" i="30"/>
  <c r="K600" i="30"/>
  <c r="D600" i="30"/>
  <c r="L595" i="30"/>
  <c r="K595" i="30"/>
  <c r="D595" i="30"/>
  <c r="L594" i="30"/>
  <c r="K594" i="30"/>
  <c r="D594" i="30"/>
  <c r="L525" i="30"/>
  <c r="K525" i="30"/>
  <c r="D525" i="30"/>
  <c r="L524" i="30"/>
  <c r="K524" i="30"/>
  <c r="D524" i="30"/>
  <c r="L519" i="30"/>
  <c r="K519" i="30"/>
  <c r="D519" i="30"/>
  <c r="L518" i="30"/>
  <c r="K518" i="30"/>
  <c r="D518" i="30"/>
  <c r="L546" i="30"/>
  <c r="K546" i="30"/>
  <c r="D546" i="30"/>
  <c r="L545" i="30"/>
  <c r="K545" i="30"/>
  <c r="D545" i="30"/>
  <c r="L562" i="30"/>
  <c r="K562" i="30"/>
  <c r="D562" i="30"/>
  <c r="L561" i="30"/>
  <c r="K561" i="30"/>
  <c r="D561" i="30"/>
  <c r="L578" i="30"/>
  <c r="K578" i="30"/>
  <c r="D578" i="30"/>
  <c r="L577" i="30"/>
  <c r="K577" i="30"/>
  <c r="D577" i="30"/>
  <c r="D579" i="30"/>
  <c r="K579" i="30"/>
  <c r="L579" i="30"/>
  <c r="D580" i="30"/>
  <c r="K580" i="30"/>
  <c r="L580" i="30"/>
  <c r="L630" i="30"/>
  <c r="K630" i="30"/>
  <c r="D630" i="30"/>
  <c r="L629" i="30"/>
  <c r="K629" i="30"/>
  <c r="D629" i="30"/>
  <c r="L640" i="30"/>
  <c r="K640" i="30"/>
  <c r="L639" i="30"/>
  <c r="K639" i="30"/>
  <c r="L638" i="30"/>
  <c r="K638" i="30"/>
  <c r="L637" i="30"/>
  <c r="K637" i="30"/>
  <c r="L636" i="30"/>
  <c r="K636" i="30"/>
  <c r="L635" i="30"/>
  <c r="K635" i="30"/>
  <c r="L634" i="30"/>
  <c r="K634" i="30"/>
  <c r="L633" i="30"/>
  <c r="K633" i="30"/>
  <c r="L632" i="30"/>
  <c r="K632" i="30"/>
  <c r="D632" i="30"/>
  <c r="L631" i="30"/>
  <c r="K631" i="30"/>
  <c r="D631" i="30"/>
  <c r="K28" i="57"/>
  <c r="J144" i="38" l="1"/>
  <c r="D144" i="38"/>
  <c r="J143" i="38"/>
  <c r="D143" i="38"/>
  <c r="J142" i="38"/>
  <c r="D142" i="38"/>
  <c r="J136" i="38"/>
  <c r="D136" i="38"/>
  <c r="J135" i="38"/>
  <c r="D135" i="38"/>
  <c r="J134" i="38"/>
  <c r="E134" i="38"/>
  <c r="D134" i="38"/>
  <c r="J133" i="38"/>
  <c r="D133" i="38"/>
  <c r="J132" i="38"/>
  <c r="D132" i="38"/>
  <c r="J131" i="38"/>
  <c r="D131" i="38"/>
  <c r="J123" i="38"/>
  <c r="D123" i="38"/>
  <c r="J122" i="38"/>
  <c r="D122" i="38"/>
  <c r="J121" i="38"/>
  <c r="D121" i="38"/>
  <c r="J120" i="38"/>
  <c r="D120" i="38"/>
  <c r="J68" i="38"/>
  <c r="J67" i="38"/>
  <c r="J66" i="38"/>
  <c r="D67" i="38"/>
  <c r="D68" i="38"/>
  <c r="D66" i="38"/>
  <c r="J59" i="38"/>
  <c r="J57" i="38"/>
  <c r="J56" i="38"/>
  <c r="J55" i="38"/>
  <c r="J45" i="38"/>
  <c r="J46" i="38"/>
  <c r="J47" i="38"/>
  <c r="J44" i="38"/>
  <c r="E58" i="38"/>
  <c r="D56" i="38"/>
  <c r="D57" i="38"/>
  <c r="D58" i="38"/>
  <c r="D59" i="38"/>
  <c r="D55" i="38"/>
  <c r="D45" i="38"/>
  <c r="D46" i="38"/>
  <c r="D47" i="38"/>
  <c r="D44" i="38"/>
  <c r="S35" i="57" l="1"/>
  <c r="K197" i="71" l="1"/>
  <c r="K196" i="71"/>
  <c r="K195" i="71"/>
  <c r="K194" i="71"/>
  <c r="K193" i="71"/>
  <c r="K192" i="71"/>
  <c r="K191" i="71"/>
  <c r="K190" i="71"/>
  <c r="K189" i="71"/>
  <c r="K188" i="71"/>
  <c r="K187" i="71"/>
  <c r="K186" i="71"/>
  <c r="K185" i="71"/>
  <c r="K184" i="71"/>
  <c r="K183" i="71"/>
  <c r="K182" i="71"/>
  <c r="K181" i="71"/>
  <c r="K180" i="71"/>
  <c r="K179" i="71"/>
  <c r="K178" i="71"/>
  <c r="K177" i="71"/>
  <c r="K176" i="71"/>
  <c r="K175" i="71"/>
  <c r="K174" i="71"/>
  <c r="K173" i="71"/>
  <c r="K172" i="71"/>
  <c r="K171" i="71"/>
  <c r="K170" i="71"/>
  <c r="K169" i="71"/>
  <c r="K168" i="71"/>
  <c r="K167" i="71"/>
  <c r="K166" i="71"/>
  <c r="K165" i="71"/>
  <c r="K164" i="71"/>
  <c r="K163" i="71"/>
  <c r="K162" i="71"/>
  <c r="K161" i="71"/>
  <c r="K160" i="71"/>
  <c r="K159" i="71"/>
  <c r="K158" i="71"/>
  <c r="K144" i="71"/>
  <c r="K143" i="71"/>
  <c r="K142" i="71"/>
  <c r="K141" i="71"/>
  <c r="K140" i="71"/>
  <c r="K139" i="71"/>
  <c r="K131" i="71"/>
  <c r="K130" i="71"/>
  <c r="K129" i="71"/>
  <c r="K128" i="71"/>
  <c r="K127" i="71"/>
  <c r="K126" i="71"/>
  <c r="K125" i="71"/>
  <c r="K124" i="71"/>
  <c r="K123" i="71"/>
  <c r="K100" i="71"/>
  <c r="K99" i="71"/>
  <c r="K98" i="71"/>
  <c r="K97" i="71"/>
  <c r="K96" i="71"/>
  <c r="K95" i="71"/>
  <c r="K94" i="71"/>
  <c r="K93" i="71"/>
  <c r="K92" i="71"/>
  <c r="K91" i="71"/>
  <c r="K90" i="71"/>
  <c r="K89" i="71"/>
  <c r="K88" i="71"/>
  <c r="K87" i="71"/>
  <c r="K86" i="71"/>
  <c r="K85" i="71"/>
  <c r="K84" i="71"/>
  <c r="K83" i="71"/>
  <c r="K82" i="71"/>
  <c r="K81" i="71"/>
  <c r="K80" i="71"/>
  <c r="K79" i="71"/>
  <c r="K78" i="71"/>
  <c r="K77" i="71"/>
  <c r="K76" i="71"/>
  <c r="K75" i="71"/>
  <c r="K74" i="71"/>
  <c r="K73" i="71"/>
  <c r="K72" i="71"/>
  <c r="K71" i="71"/>
  <c r="K70" i="71"/>
  <c r="K69" i="71"/>
  <c r="K68" i="71"/>
  <c r="K67" i="71"/>
  <c r="K66" i="71"/>
  <c r="K65" i="71"/>
  <c r="K64" i="71"/>
  <c r="K63" i="71"/>
  <c r="K62" i="71"/>
  <c r="K61" i="71"/>
  <c r="K47" i="71"/>
  <c r="K46" i="71"/>
  <c r="K45" i="71"/>
  <c r="K44" i="71"/>
  <c r="K43" i="71"/>
  <c r="K42" i="71"/>
  <c r="K34" i="71"/>
  <c r="K33" i="71"/>
  <c r="K32" i="71"/>
  <c r="K31" i="71"/>
  <c r="K30" i="71"/>
  <c r="K29" i="71"/>
  <c r="K28" i="71"/>
  <c r="K27" i="71"/>
  <c r="K26" i="71"/>
  <c r="E197" i="71"/>
  <c r="E196" i="71"/>
  <c r="E195" i="71"/>
  <c r="E194" i="71"/>
  <c r="E193" i="71"/>
  <c r="E192" i="71"/>
  <c r="E191" i="71"/>
  <c r="E190" i="71"/>
  <c r="E189" i="71"/>
  <c r="E188" i="71"/>
  <c r="E187" i="71"/>
  <c r="E186" i="71"/>
  <c r="E185" i="71"/>
  <c r="E184" i="71"/>
  <c r="E183" i="71"/>
  <c r="E182" i="71"/>
  <c r="E181" i="71"/>
  <c r="E180" i="71"/>
  <c r="E179" i="71"/>
  <c r="E178" i="71"/>
  <c r="E177" i="71"/>
  <c r="E176" i="71"/>
  <c r="E175" i="71"/>
  <c r="E174" i="71"/>
  <c r="E173" i="71"/>
  <c r="E172" i="71"/>
  <c r="E171" i="71"/>
  <c r="E170" i="71"/>
  <c r="E169" i="71"/>
  <c r="E168" i="71"/>
  <c r="E167" i="71"/>
  <c r="E166" i="71"/>
  <c r="E165" i="71"/>
  <c r="E164" i="71"/>
  <c r="E163" i="71"/>
  <c r="E162" i="71"/>
  <c r="E161" i="71"/>
  <c r="E160" i="71"/>
  <c r="E159" i="71"/>
  <c r="E158" i="71"/>
  <c r="E144" i="71"/>
  <c r="E143" i="71"/>
  <c r="E142" i="71"/>
  <c r="E141" i="71"/>
  <c r="E140" i="71"/>
  <c r="E139" i="71"/>
  <c r="E131" i="71"/>
  <c r="E130" i="71"/>
  <c r="E129" i="71"/>
  <c r="E128" i="71"/>
  <c r="E127" i="71"/>
  <c r="E126" i="71"/>
  <c r="E125" i="71"/>
  <c r="E124" i="71"/>
  <c r="E123" i="71"/>
  <c r="E100" i="71"/>
  <c r="E99" i="71"/>
  <c r="E98" i="71"/>
  <c r="E97" i="71"/>
  <c r="E96" i="71"/>
  <c r="E95" i="71"/>
  <c r="E94" i="71"/>
  <c r="E93" i="71"/>
  <c r="E92" i="71"/>
  <c r="E91" i="71"/>
  <c r="E90" i="71"/>
  <c r="E89" i="71"/>
  <c r="E88" i="71"/>
  <c r="E87" i="71"/>
  <c r="E86" i="71"/>
  <c r="E85" i="71"/>
  <c r="E84" i="71"/>
  <c r="E83" i="71"/>
  <c r="E82" i="71"/>
  <c r="E81" i="71"/>
  <c r="E80" i="71"/>
  <c r="E79" i="71"/>
  <c r="E78" i="71"/>
  <c r="E77" i="71"/>
  <c r="E76" i="71"/>
  <c r="E75" i="71"/>
  <c r="E74" i="71"/>
  <c r="E73" i="71"/>
  <c r="E72" i="71"/>
  <c r="E71" i="71"/>
  <c r="E70" i="71"/>
  <c r="E69" i="71"/>
  <c r="E68" i="71"/>
  <c r="E67" i="71"/>
  <c r="E66" i="71"/>
  <c r="E65" i="71"/>
  <c r="E64" i="71"/>
  <c r="E63" i="71"/>
  <c r="E62" i="71"/>
  <c r="E61" i="71"/>
  <c r="E47" i="71"/>
  <c r="E46" i="71"/>
  <c r="E45" i="71"/>
  <c r="E44" i="71"/>
  <c r="E43" i="71"/>
  <c r="E42" i="71"/>
  <c r="E34" i="71"/>
  <c r="E33" i="71"/>
  <c r="E32" i="71"/>
  <c r="E31" i="71"/>
  <c r="E30" i="71"/>
  <c r="E29" i="71"/>
  <c r="E28" i="71"/>
  <c r="E27" i="71"/>
  <c r="E26" i="71"/>
  <c r="K80" i="58"/>
  <c r="K2029" i="46" s="1"/>
  <c r="L2046" i="46"/>
  <c r="M2046" i="46"/>
  <c r="F2046" i="46"/>
  <c r="G2046" i="46"/>
  <c r="L995" i="46"/>
  <c r="M995" i="46"/>
  <c r="F995" i="46"/>
  <c r="G995" i="46"/>
  <c r="F250" i="70"/>
  <c r="G250" i="70"/>
  <c r="F251" i="70"/>
  <c r="G251" i="70"/>
  <c r="F252" i="70"/>
  <c r="G252" i="70"/>
  <c r="F253" i="70"/>
  <c r="G253" i="70"/>
  <c r="F254" i="70"/>
  <c r="G254" i="70"/>
  <c r="F255" i="70"/>
  <c r="G255" i="70"/>
  <c r="F256" i="70"/>
  <c r="G256" i="70"/>
  <c r="F257" i="70"/>
  <c r="G257" i="70"/>
  <c r="F258" i="70"/>
  <c r="G258" i="70"/>
  <c r="F259" i="70"/>
  <c r="G259" i="70"/>
  <c r="F260" i="70"/>
  <c r="G260" i="70"/>
  <c r="F261" i="70"/>
  <c r="G261" i="70"/>
  <c r="F262" i="70"/>
  <c r="G262" i="70"/>
  <c r="F263" i="70"/>
  <c r="G263" i="70"/>
  <c r="F264" i="70"/>
  <c r="G264" i="70"/>
  <c r="F265" i="70"/>
  <c r="G265" i="70"/>
  <c r="F266" i="70"/>
  <c r="G266" i="70"/>
  <c r="F267" i="70"/>
  <c r="G267" i="70"/>
  <c r="F268" i="70"/>
  <c r="G268" i="70"/>
  <c r="F269" i="70"/>
  <c r="G269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50" i="70"/>
  <c r="M250" i="70"/>
  <c r="L2028" i="46"/>
  <c r="M2028" i="46"/>
  <c r="F2028" i="46"/>
  <c r="G2028" i="46"/>
  <c r="L2017" i="46"/>
  <c r="M2017" i="46"/>
  <c r="F2017" i="46"/>
  <c r="G2017" i="46"/>
  <c r="M131" i="29"/>
  <c r="L131" i="29"/>
  <c r="M130" i="29"/>
  <c r="L130" i="29"/>
  <c r="M129" i="29"/>
  <c r="L129" i="29"/>
  <c r="M128" i="29"/>
  <c r="L128" i="29"/>
  <c r="M126" i="29"/>
  <c r="L126" i="29"/>
  <c r="L18" i="68"/>
  <c r="L19" i="68" s="1"/>
  <c r="M18" i="68"/>
  <c r="M19" i="68" s="1"/>
  <c r="L967" i="46"/>
  <c r="M967" i="46"/>
  <c r="F967" i="46"/>
  <c r="G967" i="46"/>
  <c r="E437" i="38" l="1"/>
  <c r="E303" i="38"/>
  <c r="E446" i="38"/>
  <c r="E312" i="38"/>
  <c r="K437" i="38"/>
  <c r="K303" i="38"/>
  <c r="K446" i="38"/>
  <c r="K312" i="38"/>
  <c r="E275" i="38"/>
  <c r="E409" i="38"/>
  <c r="E418" i="38"/>
  <c r="E284" i="38"/>
  <c r="E476" i="38"/>
  <c r="E342" i="38"/>
  <c r="K409" i="38"/>
  <c r="K275" i="38"/>
  <c r="K418" i="38"/>
  <c r="K284" i="38"/>
  <c r="K476" i="38"/>
  <c r="K342" i="38"/>
  <c r="L977" i="46"/>
  <c r="M977" i="46"/>
  <c r="F977" i="46"/>
  <c r="G977" i="46"/>
  <c r="K332" i="38" l="1"/>
  <c r="K466" i="38"/>
  <c r="E466" i="38"/>
  <c r="E332" i="38"/>
  <c r="M391" i="70"/>
  <c r="L391" i="70"/>
  <c r="M390" i="70"/>
  <c r="L390" i="70"/>
  <c r="M389" i="70"/>
  <c r="L389" i="70"/>
  <c r="M388" i="70"/>
  <c r="L388" i="70"/>
  <c r="M387" i="70"/>
  <c r="L387" i="70"/>
  <c r="M386" i="70"/>
  <c r="L386" i="70"/>
  <c r="M385" i="70"/>
  <c r="L385" i="70"/>
  <c r="M384" i="70"/>
  <c r="L384" i="70"/>
  <c r="M383" i="70"/>
  <c r="L383" i="70"/>
  <c r="M382" i="70"/>
  <c r="L382" i="70"/>
  <c r="M381" i="70"/>
  <c r="L381" i="70"/>
  <c r="M380" i="70"/>
  <c r="L380" i="70"/>
  <c r="M377" i="70"/>
  <c r="L377" i="70"/>
  <c r="M376" i="70"/>
  <c r="L376" i="70"/>
  <c r="M375" i="70"/>
  <c r="L375" i="70"/>
  <c r="M374" i="70"/>
  <c r="L374" i="70"/>
  <c r="M373" i="70"/>
  <c r="L373" i="70"/>
  <c r="M372" i="70"/>
  <c r="L372" i="70"/>
  <c r="M371" i="70"/>
  <c r="L371" i="70"/>
  <c r="M370" i="70"/>
  <c r="L370" i="70"/>
  <c r="M369" i="70"/>
  <c r="L369" i="70"/>
  <c r="M368" i="70"/>
  <c r="L368" i="70"/>
  <c r="M367" i="70"/>
  <c r="L367" i="70"/>
  <c r="M366" i="70"/>
  <c r="L366" i="70"/>
  <c r="M363" i="70"/>
  <c r="L363" i="70"/>
  <c r="M362" i="70"/>
  <c r="L362" i="70"/>
  <c r="M361" i="70"/>
  <c r="L361" i="70"/>
  <c r="M360" i="70"/>
  <c r="L360" i="70"/>
  <c r="M359" i="70"/>
  <c r="L359" i="70"/>
  <c r="M357" i="70"/>
  <c r="L357" i="70"/>
  <c r="M356" i="70"/>
  <c r="L356" i="70"/>
  <c r="M354" i="70"/>
  <c r="L354" i="70"/>
  <c r="M353" i="70"/>
  <c r="L353" i="70"/>
  <c r="M349" i="70"/>
  <c r="L349" i="70"/>
  <c r="M348" i="70"/>
  <c r="L348" i="70"/>
  <c r="M347" i="70"/>
  <c r="L347" i="70"/>
  <c r="M346" i="70"/>
  <c r="L346" i="70"/>
  <c r="M293" i="70"/>
  <c r="L293" i="70"/>
  <c r="M292" i="70"/>
  <c r="L292" i="70"/>
  <c r="M291" i="70"/>
  <c r="L291" i="70"/>
  <c r="M290" i="70"/>
  <c r="L290" i="70"/>
  <c r="M289" i="70"/>
  <c r="L289" i="70"/>
  <c r="M288" i="70"/>
  <c r="L288" i="70"/>
  <c r="M273" i="70"/>
  <c r="L273" i="70"/>
  <c r="K273" i="70"/>
  <c r="M218" i="70"/>
  <c r="L218" i="70"/>
  <c r="M217" i="70"/>
  <c r="L217" i="70"/>
  <c r="M216" i="70"/>
  <c r="L216" i="70"/>
  <c r="M215" i="70"/>
  <c r="L215" i="70"/>
  <c r="M214" i="70"/>
  <c r="L214" i="70"/>
  <c r="M213" i="70"/>
  <c r="L213" i="70"/>
  <c r="M212" i="70"/>
  <c r="L212" i="70"/>
  <c r="M211" i="70"/>
  <c r="L211" i="70"/>
  <c r="M210" i="70"/>
  <c r="L210" i="70"/>
  <c r="M209" i="70"/>
  <c r="L209" i="70"/>
  <c r="M208" i="70"/>
  <c r="L208" i="70"/>
  <c r="M207" i="70"/>
  <c r="L207" i="70"/>
  <c r="M204" i="70"/>
  <c r="L204" i="70"/>
  <c r="M203" i="70"/>
  <c r="L203" i="70"/>
  <c r="M202" i="70"/>
  <c r="L202" i="70"/>
  <c r="M201" i="70"/>
  <c r="L201" i="70"/>
  <c r="M200" i="70"/>
  <c r="L200" i="70"/>
  <c r="M199" i="70"/>
  <c r="L199" i="70"/>
  <c r="M198" i="70"/>
  <c r="L198" i="70"/>
  <c r="M197" i="70"/>
  <c r="L197" i="70"/>
  <c r="M196" i="70"/>
  <c r="L196" i="70"/>
  <c r="M195" i="70"/>
  <c r="L195" i="70"/>
  <c r="M194" i="70"/>
  <c r="L194" i="70"/>
  <c r="M193" i="70"/>
  <c r="L193" i="70"/>
  <c r="M190" i="70"/>
  <c r="L190" i="70"/>
  <c r="M189" i="70"/>
  <c r="L189" i="70"/>
  <c r="M188" i="70"/>
  <c r="L188" i="70"/>
  <c r="M185" i="70"/>
  <c r="L185" i="70"/>
  <c r="M184" i="70"/>
  <c r="L184" i="70"/>
  <c r="M183" i="70"/>
  <c r="L183" i="70"/>
  <c r="M182" i="70"/>
  <c r="L182" i="70"/>
  <c r="M181" i="70"/>
  <c r="L181" i="70"/>
  <c r="M180" i="70"/>
  <c r="L180" i="70"/>
  <c r="M176" i="70"/>
  <c r="L176" i="70"/>
  <c r="M174" i="70"/>
  <c r="L174" i="70"/>
  <c r="M120" i="70"/>
  <c r="L120" i="70"/>
  <c r="M119" i="70"/>
  <c r="L119" i="70"/>
  <c r="M118" i="70"/>
  <c r="L118" i="70"/>
  <c r="M117" i="70"/>
  <c r="L117" i="70"/>
  <c r="M116" i="70"/>
  <c r="L116" i="70"/>
  <c r="M115" i="70"/>
  <c r="L115" i="70"/>
  <c r="M323" i="70"/>
  <c r="M322" i="70"/>
  <c r="M321" i="70"/>
  <c r="M320" i="70"/>
  <c r="M319" i="70"/>
  <c r="M318" i="70"/>
  <c r="M150" i="70"/>
  <c r="M149" i="70"/>
  <c r="M148" i="70"/>
  <c r="M147" i="70"/>
  <c r="M146" i="70"/>
  <c r="M145" i="70"/>
  <c r="M96" i="70"/>
  <c r="M95" i="70"/>
  <c r="M94" i="70"/>
  <c r="M93" i="70"/>
  <c r="M92" i="70"/>
  <c r="M91" i="70"/>
  <c r="M90" i="70"/>
  <c r="M89" i="70"/>
  <c r="M88" i="70"/>
  <c r="M87" i="70"/>
  <c r="M86" i="70"/>
  <c r="M85" i="70"/>
  <c r="M84" i="70"/>
  <c r="M83" i="70"/>
  <c r="M82" i="70"/>
  <c r="M81" i="70"/>
  <c r="M80" i="70"/>
  <c r="M79" i="70"/>
  <c r="M78" i="70"/>
  <c r="M77" i="70"/>
  <c r="M58" i="70"/>
  <c r="M57" i="70"/>
  <c r="M56" i="70"/>
  <c r="M53" i="70"/>
  <c r="M52" i="70"/>
  <c r="M51" i="70"/>
  <c r="M48" i="70"/>
  <c r="M47" i="70"/>
  <c r="M46" i="70"/>
  <c r="F53" i="31"/>
  <c r="F54" i="31"/>
  <c r="E44" i="69"/>
  <c r="G349" i="70"/>
  <c r="F349" i="70"/>
  <c r="G348" i="70"/>
  <c r="F348" i="70"/>
  <c r="G347" i="70"/>
  <c r="F347" i="70"/>
  <c r="G346" i="70"/>
  <c r="F346" i="70"/>
  <c r="F173" i="70"/>
  <c r="G173" i="70"/>
  <c r="F174" i="70"/>
  <c r="G174" i="70"/>
  <c r="F175" i="70"/>
  <c r="G175" i="70"/>
  <c r="F176" i="70"/>
  <c r="G176" i="70"/>
  <c r="G391" i="70"/>
  <c r="F391" i="70"/>
  <c r="G390" i="70"/>
  <c r="F390" i="70"/>
  <c r="G389" i="70"/>
  <c r="F389" i="70"/>
  <c r="G388" i="70"/>
  <c r="F388" i="70"/>
  <c r="G387" i="70"/>
  <c r="F387" i="70"/>
  <c r="G386" i="70"/>
  <c r="F386" i="70"/>
  <c r="G385" i="70"/>
  <c r="F385" i="70"/>
  <c r="G384" i="70"/>
  <c r="F384" i="70"/>
  <c r="G383" i="70"/>
  <c r="F383" i="70"/>
  <c r="G382" i="70"/>
  <c r="F382" i="70"/>
  <c r="G381" i="70"/>
  <c r="F381" i="70"/>
  <c r="G380" i="70"/>
  <c r="F380" i="70"/>
  <c r="G377" i="70"/>
  <c r="F377" i="70"/>
  <c r="G376" i="70"/>
  <c r="F376" i="70"/>
  <c r="G375" i="70"/>
  <c r="F375" i="70"/>
  <c r="G374" i="70"/>
  <c r="F374" i="70"/>
  <c r="G373" i="70"/>
  <c r="F373" i="70"/>
  <c r="G372" i="70"/>
  <c r="F372" i="70"/>
  <c r="G371" i="70"/>
  <c r="F371" i="70"/>
  <c r="G370" i="70"/>
  <c r="F370" i="70"/>
  <c r="G369" i="70"/>
  <c r="F369" i="70"/>
  <c r="G368" i="70"/>
  <c r="F368" i="70"/>
  <c r="G367" i="70"/>
  <c r="F367" i="70"/>
  <c r="G366" i="70"/>
  <c r="F366" i="70"/>
  <c r="G363" i="70"/>
  <c r="F363" i="70"/>
  <c r="G362" i="70"/>
  <c r="F362" i="70"/>
  <c r="G361" i="70"/>
  <c r="F361" i="70"/>
  <c r="G360" i="70"/>
  <c r="F360" i="70"/>
  <c r="G359" i="70"/>
  <c r="F359" i="70"/>
  <c r="G358" i="70"/>
  <c r="F358" i="70"/>
  <c r="G357" i="70"/>
  <c r="F357" i="70"/>
  <c r="G356" i="70"/>
  <c r="F356" i="70"/>
  <c r="G355" i="70"/>
  <c r="F355" i="70"/>
  <c r="G354" i="70"/>
  <c r="F354" i="70"/>
  <c r="G353" i="70"/>
  <c r="F353" i="70"/>
  <c r="G352" i="70"/>
  <c r="F352" i="70"/>
  <c r="G293" i="70"/>
  <c r="F293" i="70"/>
  <c r="G292" i="70"/>
  <c r="F292" i="70"/>
  <c r="G291" i="70"/>
  <c r="F291" i="70"/>
  <c r="G290" i="70"/>
  <c r="F290" i="70"/>
  <c r="G289" i="70"/>
  <c r="F289" i="70"/>
  <c r="G288" i="70"/>
  <c r="F288" i="70"/>
  <c r="G276" i="70"/>
  <c r="F276" i="70"/>
  <c r="G275" i="70"/>
  <c r="F275" i="70"/>
  <c r="G274" i="70"/>
  <c r="F274" i="70"/>
  <c r="G273" i="70"/>
  <c r="F273" i="70"/>
  <c r="G272" i="70"/>
  <c r="F272" i="70"/>
  <c r="F207" i="70"/>
  <c r="G207" i="70"/>
  <c r="F209" i="70"/>
  <c r="G209" i="70"/>
  <c r="F210" i="70"/>
  <c r="G210" i="70"/>
  <c r="F211" i="70"/>
  <c r="G211" i="70"/>
  <c r="F212" i="70"/>
  <c r="G212" i="70"/>
  <c r="F213" i="70"/>
  <c r="G213" i="70"/>
  <c r="F214" i="70"/>
  <c r="G214" i="70"/>
  <c r="F215" i="70"/>
  <c r="G215" i="70"/>
  <c r="F216" i="70"/>
  <c r="G216" i="70"/>
  <c r="F217" i="70"/>
  <c r="G217" i="70"/>
  <c r="F218" i="70"/>
  <c r="G218" i="70"/>
  <c r="G204" i="70"/>
  <c r="F204" i="70"/>
  <c r="G203" i="70"/>
  <c r="F203" i="70"/>
  <c r="G202" i="70"/>
  <c r="F202" i="70"/>
  <c r="G201" i="70"/>
  <c r="F201" i="70"/>
  <c r="G200" i="70"/>
  <c r="F200" i="70"/>
  <c r="G199" i="70"/>
  <c r="F199" i="70"/>
  <c r="G198" i="70"/>
  <c r="F198" i="70"/>
  <c r="G197" i="70"/>
  <c r="F197" i="70"/>
  <c r="G196" i="70"/>
  <c r="F196" i="70"/>
  <c r="G195" i="70"/>
  <c r="F195" i="70"/>
  <c r="G194" i="70"/>
  <c r="F194" i="70"/>
  <c r="G193" i="70"/>
  <c r="F193" i="70"/>
  <c r="F179" i="70"/>
  <c r="G179" i="70"/>
  <c r="F181" i="70"/>
  <c r="G181" i="70"/>
  <c r="F182" i="70"/>
  <c r="G182" i="70"/>
  <c r="F184" i="70"/>
  <c r="G184" i="70"/>
  <c r="F185" i="70"/>
  <c r="G185" i="70"/>
  <c r="F186" i="70"/>
  <c r="G186" i="70"/>
  <c r="F187" i="70"/>
  <c r="G187" i="70"/>
  <c r="F189" i="70"/>
  <c r="G189" i="70"/>
  <c r="F190" i="70"/>
  <c r="G190" i="70"/>
  <c r="F100" i="70"/>
  <c r="G100" i="70"/>
  <c r="F103" i="70"/>
  <c r="G103" i="70"/>
  <c r="F5" i="70" l="1"/>
  <c r="G5" i="70"/>
  <c r="S21" i="57" l="1"/>
  <c r="O159" i="47" l="1"/>
  <c r="O156" i="47"/>
  <c r="O155" i="47"/>
  <c r="O151" i="47"/>
  <c r="O147" i="47"/>
  <c r="O146" i="47"/>
  <c r="O144" i="47"/>
  <c r="O140" i="47"/>
  <c r="O139" i="47"/>
  <c r="O138" i="47"/>
  <c r="O137" i="47"/>
  <c r="O136" i="47"/>
  <c r="O132" i="47"/>
  <c r="O129" i="47"/>
  <c r="O128" i="47"/>
  <c r="O124" i="47"/>
  <c r="O120" i="47"/>
  <c r="O119" i="47"/>
  <c r="O117" i="47"/>
  <c r="O113" i="47"/>
  <c r="O112" i="47"/>
  <c r="O110" i="47"/>
  <c r="O107" i="47"/>
  <c r="O106" i="47"/>
  <c r="O104" i="47"/>
  <c r="O101" i="47"/>
  <c r="O100" i="47"/>
  <c r="O98" i="47"/>
  <c r="O95" i="47"/>
  <c r="O94" i="47"/>
  <c r="O93" i="47"/>
  <c r="O91" i="47"/>
  <c r="O87" i="47"/>
  <c r="O86" i="47"/>
  <c r="O84" i="47"/>
  <c r="O80" i="47"/>
  <c r="O79" i="47"/>
  <c r="O77" i="47"/>
  <c r="O73" i="47"/>
  <c r="O72" i="47"/>
  <c r="O71" i="47"/>
  <c r="O70" i="47"/>
  <c r="O69" i="47"/>
  <c r="O65" i="47"/>
  <c r="O62" i="47"/>
  <c r="O61" i="47"/>
  <c r="O57" i="47"/>
  <c r="O53" i="47"/>
  <c r="O52" i="47"/>
  <c r="O50" i="47"/>
  <c r="O46" i="47"/>
  <c r="O45" i="47"/>
  <c r="O43" i="47"/>
  <c r="O40" i="47"/>
  <c r="O39" i="47"/>
  <c r="O37" i="47"/>
  <c r="O34" i="47"/>
  <c r="O33" i="47"/>
  <c r="O31" i="47"/>
  <c r="O28" i="47"/>
  <c r="O27" i="47"/>
  <c r="O26" i="47"/>
  <c r="O24" i="47"/>
  <c r="O20" i="47"/>
  <c r="O19" i="47"/>
  <c r="O17" i="47"/>
  <c r="O13" i="47"/>
  <c r="O12" i="47"/>
  <c r="O10" i="47"/>
  <c r="I10" i="47"/>
  <c r="I12" i="47"/>
  <c r="I13" i="47"/>
  <c r="I17" i="47"/>
  <c r="I19" i="47"/>
  <c r="I20" i="47"/>
  <c r="I24" i="47"/>
  <c r="I26" i="47"/>
  <c r="I27" i="47"/>
  <c r="I28" i="47"/>
  <c r="I31" i="47"/>
  <c r="I33" i="47"/>
  <c r="I34" i="47"/>
  <c r="I37" i="47"/>
  <c r="I39" i="47"/>
  <c r="I40" i="47"/>
  <c r="I43" i="47"/>
  <c r="I45" i="47"/>
  <c r="I46" i="47"/>
  <c r="I50" i="47"/>
  <c r="I52" i="47"/>
  <c r="I53" i="47"/>
  <c r="I57" i="47"/>
  <c r="I61" i="47"/>
  <c r="I62" i="47"/>
  <c r="I65" i="47"/>
  <c r="I69" i="47"/>
  <c r="I70" i="47"/>
  <c r="I71" i="47"/>
  <c r="I72" i="47"/>
  <c r="I73" i="47"/>
  <c r="I77" i="47"/>
  <c r="I79" i="47"/>
  <c r="I80" i="47"/>
  <c r="I84" i="47"/>
  <c r="I86" i="47"/>
  <c r="I87" i="47"/>
  <c r="I91" i="47"/>
  <c r="I93" i="47"/>
  <c r="I94" i="47"/>
  <c r="I95" i="47"/>
  <c r="I98" i="47"/>
  <c r="I100" i="47"/>
  <c r="I101" i="47"/>
  <c r="I104" i="47"/>
  <c r="I106" i="47"/>
  <c r="I107" i="47"/>
  <c r="I110" i="47"/>
  <c r="I112" i="47"/>
  <c r="I113" i="47"/>
  <c r="I117" i="47"/>
  <c r="I119" i="47"/>
  <c r="I120" i="47"/>
  <c r="I124" i="47"/>
  <c r="I128" i="47"/>
  <c r="I129" i="47"/>
  <c r="I132" i="47"/>
  <c r="I136" i="47"/>
  <c r="I137" i="47"/>
  <c r="I138" i="47"/>
  <c r="I139" i="47"/>
  <c r="I140" i="47"/>
  <c r="I144" i="47"/>
  <c r="I146" i="47"/>
  <c r="I147" i="47"/>
  <c r="I151" i="47"/>
  <c r="I155" i="47"/>
  <c r="I156" i="47"/>
  <c r="I159" i="47"/>
  <c r="O430" i="32"/>
  <c r="I16" i="32"/>
  <c r="I19" i="32"/>
  <c r="I20" i="32"/>
  <c r="I21" i="32"/>
  <c r="I22" i="32"/>
  <c r="I23" i="32"/>
  <c r="I24" i="32"/>
  <c r="I25" i="32"/>
  <c r="I26" i="32"/>
  <c r="I27" i="32"/>
  <c r="I28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I43" i="32"/>
  <c r="I44" i="32"/>
  <c r="I45" i="32"/>
  <c r="I46" i="32"/>
  <c r="I47" i="32"/>
  <c r="I48" i="32"/>
  <c r="I49" i="32"/>
  <c r="I50" i="32"/>
  <c r="I51" i="32"/>
  <c r="I52" i="32"/>
  <c r="I55" i="32"/>
  <c r="I56" i="32"/>
  <c r="I57" i="32"/>
  <c r="I58" i="32"/>
  <c r="I60" i="32"/>
  <c r="I61" i="32"/>
  <c r="I62" i="32"/>
  <c r="I63" i="32"/>
  <c r="I64" i="32"/>
  <c r="I65" i="32"/>
  <c r="I66" i="32"/>
  <c r="I67" i="32"/>
  <c r="I68" i="32"/>
  <c r="I69" i="32"/>
  <c r="I70" i="32"/>
  <c r="I81" i="32"/>
  <c r="I82" i="32"/>
  <c r="I87" i="32"/>
  <c r="I88" i="32"/>
  <c r="I99" i="32"/>
  <c r="I100" i="32"/>
  <c r="I105" i="32"/>
  <c r="I106" i="32"/>
  <c r="I117" i="32"/>
  <c r="I118" i="32"/>
  <c r="I127" i="32"/>
  <c r="I128" i="32"/>
  <c r="I139" i="32"/>
  <c r="I140" i="32"/>
  <c r="I145" i="32"/>
  <c r="I146" i="32"/>
  <c r="I147" i="32"/>
  <c r="I148" i="32"/>
  <c r="I161" i="32"/>
  <c r="I162" i="32"/>
  <c r="I175" i="32"/>
  <c r="I176" i="32"/>
  <c r="I187" i="32"/>
  <c r="I188" i="32"/>
  <c r="I193" i="32"/>
  <c r="I194" i="32"/>
  <c r="I195" i="32"/>
  <c r="I206" i="32"/>
  <c r="I207" i="32"/>
  <c r="I208" i="32"/>
  <c r="I209" i="32"/>
  <c r="I222" i="32"/>
  <c r="I223" i="32"/>
  <c r="I224" i="32"/>
  <c r="I225" i="32"/>
  <c r="I226" i="32"/>
  <c r="I227" i="32"/>
  <c r="I228" i="32"/>
  <c r="I229" i="32"/>
  <c r="I230" i="32"/>
  <c r="I231" i="32"/>
  <c r="I232" i="32"/>
  <c r="I233" i="32"/>
  <c r="I234" i="32"/>
  <c r="I235" i="32"/>
  <c r="I236" i="32"/>
  <c r="I237" i="32"/>
  <c r="I238" i="32"/>
  <c r="I239" i="32"/>
  <c r="I240" i="32"/>
  <c r="I241" i="32"/>
  <c r="I242" i="32"/>
  <c r="I243" i="32"/>
  <c r="I244" i="32"/>
  <c r="I245" i="32"/>
  <c r="I246" i="32"/>
  <c r="I247" i="32"/>
  <c r="I248" i="32"/>
  <c r="I249" i="32"/>
  <c r="I250" i="32"/>
  <c r="I251" i="32"/>
  <c r="I252" i="32"/>
  <c r="I253" i="32"/>
  <c r="I254" i="32"/>
  <c r="I257" i="32"/>
  <c r="I258" i="32"/>
  <c r="I259" i="32"/>
  <c r="I260" i="32"/>
  <c r="I262" i="32"/>
  <c r="I263" i="32"/>
  <c r="I264" i="32"/>
  <c r="I265" i="32"/>
  <c r="I266" i="32"/>
  <c r="I267" i="32"/>
  <c r="I268" i="32"/>
  <c r="I269" i="32"/>
  <c r="I270" i="32"/>
  <c r="I271" i="32"/>
  <c r="I272" i="32"/>
  <c r="I283" i="32"/>
  <c r="I284" i="32"/>
  <c r="I289" i="32"/>
  <c r="I290" i="32"/>
  <c r="I301" i="32"/>
  <c r="I302" i="32"/>
  <c r="I307" i="32"/>
  <c r="I308" i="32"/>
  <c r="I309" i="32"/>
  <c r="I320" i="32"/>
  <c r="I321" i="32"/>
  <c r="I330" i="32"/>
  <c r="I331" i="32"/>
  <c r="I342" i="32"/>
  <c r="I343" i="32"/>
  <c r="I348" i="32"/>
  <c r="I349" i="32"/>
  <c r="I350" i="32"/>
  <c r="I351" i="32"/>
  <c r="I364" i="32"/>
  <c r="I365" i="32"/>
  <c r="I378" i="32"/>
  <c r="I379" i="32"/>
  <c r="I390" i="32"/>
  <c r="I391" i="32"/>
  <c r="I396" i="32"/>
  <c r="I397" i="32"/>
  <c r="I398" i="32"/>
  <c r="I409" i="32"/>
  <c r="I410" i="32"/>
  <c r="I411" i="32"/>
  <c r="I412" i="32"/>
  <c r="I413" i="32"/>
  <c r="I414" i="32"/>
  <c r="I415" i="32"/>
  <c r="I416" i="32"/>
  <c r="I417" i="32"/>
  <c r="I418" i="32"/>
  <c r="I419" i="32"/>
  <c r="I420" i="32"/>
  <c r="I421" i="32"/>
  <c r="I422" i="32"/>
  <c r="I423" i="32"/>
  <c r="I424" i="32"/>
  <c r="I425" i="32"/>
  <c r="I426" i="32"/>
  <c r="I427" i="32"/>
  <c r="I428" i="32"/>
  <c r="I429" i="32"/>
  <c r="I430" i="32"/>
  <c r="I15" i="32"/>
  <c r="O430" i="31"/>
  <c r="O429" i="31"/>
  <c r="O428" i="31"/>
  <c r="O427" i="31"/>
  <c r="O426" i="31"/>
  <c r="O425" i="31"/>
  <c r="O424" i="31"/>
  <c r="O423" i="31"/>
  <c r="O422" i="31"/>
  <c r="O421" i="31"/>
  <c r="O420" i="31"/>
  <c r="O419" i="31"/>
  <c r="O418" i="31"/>
  <c r="O417" i="31"/>
  <c r="O416" i="31"/>
  <c r="O415" i="31"/>
  <c r="O414" i="31"/>
  <c r="O413" i="31"/>
  <c r="O412" i="31"/>
  <c r="O411" i="31"/>
  <c r="O398" i="31"/>
  <c r="O397" i="31"/>
  <c r="O379" i="31"/>
  <c r="O378" i="31"/>
  <c r="O365" i="31"/>
  <c r="O364" i="31"/>
  <c r="O351" i="31"/>
  <c r="O350" i="31"/>
  <c r="O331" i="31"/>
  <c r="O330" i="31"/>
  <c r="O309" i="31"/>
  <c r="O308" i="31"/>
  <c r="O307" i="31"/>
  <c r="O290" i="31"/>
  <c r="O289" i="31"/>
  <c r="O272" i="31"/>
  <c r="O271" i="31"/>
  <c r="O263" i="31"/>
  <c r="O262" i="31"/>
  <c r="O244" i="31"/>
  <c r="O243" i="31"/>
  <c r="O242" i="31"/>
  <c r="O223" i="31"/>
  <c r="O222" i="31"/>
  <c r="O209" i="31"/>
  <c r="O208" i="31"/>
  <c r="O195" i="31"/>
  <c r="O194" i="31"/>
  <c r="O176" i="31"/>
  <c r="O175" i="31"/>
  <c r="O162" i="31"/>
  <c r="O161" i="31"/>
  <c r="O148" i="31"/>
  <c r="O147" i="31"/>
  <c r="O128" i="31"/>
  <c r="O127" i="31"/>
  <c r="O106" i="31"/>
  <c r="O105" i="31"/>
  <c r="O88" i="31"/>
  <c r="O87" i="31"/>
  <c r="O70" i="31"/>
  <c r="O69" i="31"/>
  <c r="O61" i="31"/>
  <c r="O60" i="31"/>
  <c r="O21" i="31"/>
  <c r="O20" i="31"/>
  <c r="I20" i="31"/>
  <c r="I21" i="31"/>
  <c r="I69" i="31"/>
  <c r="I70" i="31"/>
  <c r="I87" i="31"/>
  <c r="I88" i="31"/>
  <c r="I105" i="31"/>
  <c r="I106" i="31"/>
  <c r="I127" i="31"/>
  <c r="I128" i="31"/>
  <c r="I147" i="31"/>
  <c r="I148" i="31"/>
  <c r="I161" i="31"/>
  <c r="I162" i="31"/>
  <c r="I175" i="31"/>
  <c r="I176" i="31"/>
  <c r="I194" i="31"/>
  <c r="I195" i="31"/>
  <c r="I208" i="31"/>
  <c r="I209" i="31"/>
  <c r="I222" i="31"/>
  <c r="I223" i="31"/>
  <c r="I242" i="31"/>
  <c r="I243" i="31"/>
  <c r="I244" i="31"/>
  <c r="I262" i="31"/>
  <c r="I263" i="31"/>
  <c r="I271" i="31"/>
  <c r="I272" i="31"/>
  <c r="I289" i="31"/>
  <c r="I290" i="31"/>
  <c r="I307" i="31"/>
  <c r="I308" i="31"/>
  <c r="I309" i="31"/>
  <c r="I330" i="31"/>
  <c r="I331" i="31"/>
  <c r="I350" i="31"/>
  <c r="I351" i="31"/>
  <c r="I364" i="31"/>
  <c r="I365" i="31"/>
  <c r="I378" i="31"/>
  <c r="I379" i="31"/>
  <c r="I397" i="31"/>
  <c r="I398" i="31"/>
  <c r="I411" i="31"/>
  <c r="I412" i="31"/>
  <c r="I413" i="31"/>
  <c r="I414" i="31"/>
  <c r="I415" i="31"/>
  <c r="I416" i="31"/>
  <c r="I417" i="31"/>
  <c r="I418" i="31"/>
  <c r="I419" i="31"/>
  <c r="I420" i="31"/>
  <c r="I421" i="31"/>
  <c r="I422" i="31"/>
  <c r="I423" i="31"/>
  <c r="I424" i="31"/>
  <c r="I425" i="31"/>
  <c r="I426" i="31"/>
  <c r="I427" i="31"/>
  <c r="I428" i="31"/>
  <c r="I429" i="31"/>
  <c r="I430" i="31"/>
  <c r="K8" i="58" l="1"/>
  <c r="K22" i="38" s="1"/>
  <c r="K23" i="38" s="1"/>
  <c r="J2024" i="46"/>
  <c r="J124" i="38" l="1"/>
  <c r="J422" i="38"/>
  <c r="J288" i="38"/>
  <c r="K141" i="38"/>
  <c r="K130" i="38"/>
  <c r="K210" i="71"/>
  <c r="K246" i="38"/>
  <c r="K206" i="38"/>
  <c r="K185" i="38"/>
  <c r="K94" i="38"/>
  <c r="K43" i="38"/>
  <c r="K152" i="38"/>
  <c r="K228" i="38"/>
  <c r="K25" i="38"/>
  <c r="K76" i="38"/>
  <c r="K109" i="38"/>
  <c r="K160" i="38"/>
  <c r="K217" i="38"/>
  <c r="K236" i="38"/>
  <c r="K33" i="38"/>
  <c r="K65" i="38"/>
  <c r="K84" i="38"/>
  <c r="K177" i="38"/>
  <c r="K195" i="38"/>
  <c r="K54" i="38"/>
  <c r="K101" i="38"/>
  <c r="K119" i="38"/>
  <c r="K170" i="38"/>
  <c r="J2034" i="46" l="1"/>
  <c r="J1001" i="46"/>
  <c r="J983" i="46"/>
  <c r="J973" i="46"/>
  <c r="J47" i="51"/>
  <c r="D47" i="51"/>
  <c r="J46" i="51"/>
  <c r="J45" i="51"/>
  <c r="J44" i="51"/>
  <c r="N37" i="51"/>
  <c r="N16" i="51"/>
  <c r="M18" i="51"/>
  <c r="M19" i="51" s="1"/>
  <c r="L18" i="51"/>
  <c r="L19" i="51" s="1"/>
  <c r="J33" i="51"/>
  <c r="I47" i="51" s="1"/>
  <c r="I33" i="51"/>
  <c r="D33" i="51"/>
  <c r="C47" i="51" s="1"/>
  <c r="C33" i="51"/>
  <c r="I32" i="51"/>
  <c r="I31" i="51"/>
  <c r="I30" i="51"/>
  <c r="J24" i="51"/>
  <c r="I24" i="51"/>
  <c r="J32" i="51" s="1"/>
  <c r="I46" i="51" s="1"/>
  <c r="D24" i="51"/>
  <c r="C24" i="51"/>
  <c r="D32" i="51" s="1"/>
  <c r="C46" i="51" s="1"/>
  <c r="B24" i="51"/>
  <c r="C32" i="51" s="1"/>
  <c r="J21" i="51"/>
  <c r="I21" i="51"/>
  <c r="J31" i="51" s="1"/>
  <c r="I45" i="51" s="1"/>
  <c r="D21" i="51"/>
  <c r="C21" i="51"/>
  <c r="D31" i="51" s="1"/>
  <c r="C45" i="51" s="1"/>
  <c r="B21" i="51"/>
  <c r="C31" i="51" s="1"/>
  <c r="I18" i="51"/>
  <c r="J30" i="51" s="1"/>
  <c r="I44" i="51" s="1"/>
  <c r="C18" i="51"/>
  <c r="D30" i="51" s="1"/>
  <c r="C44" i="51" s="1"/>
  <c r="B18" i="51"/>
  <c r="C30" i="51" s="1"/>
  <c r="J47" i="68"/>
  <c r="J46" i="68"/>
  <c r="J45" i="68"/>
  <c r="J44" i="68"/>
  <c r="N37" i="68"/>
  <c r="J33" i="68"/>
  <c r="I47" i="68" s="1"/>
  <c r="I33" i="68"/>
  <c r="I32" i="68"/>
  <c r="I31" i="68"/>
  <c r="I30" i="68"/>
  <c r="J24" i="68"/>
  <c r="I24" i="68"/>
  <c r="J32" i="68" s="1"/>
  <c r="I46" i="68" s="1"/>
  <c r="J21" i="68"/>
  <c r="I21" i="68"/>
  <c r="J31" i="68" s="1"/>
  <c r="I45" i="68" s="1"/>
  <c r="I18" i="68"/>
  <c r="J30" i="68" s="1"/>
  <c r="I44" i="68" s="1"/>
  <c r="N16" i="68"/>
  <c r="D33" i="68"/>
  <c r="L16" i="29"/>
  <c r="M16" i="29"/>
  <c r="K17" i="29"/>
  <c r="L17" i="29"/>
  <c r="M17" i="29"/>
  <c r="L18" i="29"/>
  <c r="M18" i="29"/>
  <c r="L19" i="29"/>
  <c r="M19" i="29"/>
  <c r="L20" i="29"/>
  <c r="M20" i="29"/>
  <c r="L21" i="29"/>
  <c r="M21" i="29"/>
  <c r="L22" i="29"/>
  <c r="M22" i="29"/>
  <c r="L23" i="29"/>
  <c r="M23" i="29"/>
  <c r="L26" i="29"/>
  <c r="M26" i="29"/>
  <c r="L28" i="29"/>
  <c r="M28" i="29"/>
  <c r="L29" i="29"/>
  <c r="M29" i="29"/>
  <c r="L30" i="29"/>
  <c r="M30" i="29"/>
  <c r="L31" i="29"/>
  <c r="M31" i="29"/>
  <c r="L33" i="29"/>
  <c r="M33" i="29"/>
  <c r="L34" i="29"/>
  <c r="M34" i="29"/>
  <c r="L35" i="29"/>
  <c r="M35" i="29"/>
  <c r="L36" i="29"/>
  <c r="M36" i="29"/>
  <c r="L37" i="29"/>
  <c r="M37" i="29"/>
  <c r="L38" i="29"/>
  <c r="M38" i="29"/>
  <c r="L39" i="29"/>
  <c r="M39" i="29"/>
  <c r="L40" i="29"/>
  <c r="M40" i="29"/>
  <c r="L41" i="29"/>
  <c r="M41" i="29"/>
  <c r="L42" i="29"/>
  <c r="M42" i="29"/>
  <c r="L43" i="29"/>
  <c r="M43" i="29"/>
  <c r="L44" i="29"/>
  <c r="M44" i="29"/>
  <c r="L45" i="29"/>
  <c r="M45" i="29"/>
  <c r="L46" i="29"/>
  <c r="M46" i="29"/>
  <c r="L47" i="29"/>
  <c r="M47" i="29"/>
  <c r="L48" i="29"/>
  <c r="M48" i="29"/>
  <c r="L49" i="29"/>
  <c r="M49" i="29"/>
  <c r="L50" i="29"/>
  <c r="M50" i="29"/>
  <c r="L51" i="29"/>
  <c r="M51" i="29"/>
  <c r="L52" i="29"/>
  <c r="M52" i="29"/>
  <c r="L53" i="29"/>
  <c r="M53" i="29"/>
  <c r="L54" i="29"/>
  <c r="M54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L62" i="29"/>
  <c r="M62" i="29"/>
  <c r="L63" i="29"/>
  <c r="M63" i="29"/>
  <c r="L64" i="29"/>
  <c r="M64" i="29"/>
  <c r="L65" i="29"/>
  <c r="M65" i="29"/>
  <c r="L66" i="29"/>
  <c r="M66" i="29"/>
  <c r="L67" i="29"/>
  <c r="M67" i="29"/>
  <c r="L68" i="29"/>
  <c r="M68" i="29"/>
  <c r="L69" i="29"/>
  <c r="M69" i="29"/>
  <c r="L70" i="29"/>
  <c r="M70" i="29"/>
  <c r="L71" i="29"/>
  <c r="M71" i="29"/>
  <c r="L72" i="29"/>
  <c r="M72" i="29"/>
  <c r="L73" i="29"/>
  <c r="M73" i="29"/>
  <c r="L74" i="29"/>
  <c r="M74" i="29"/>
  <c r="L75" i="29"/>
  <c r="M75" i="29"/>
  <c r="L76" i="29"/>
  <c r="M76" i="29"/>
  <c r="L77" i="29"/>
  <c r="M77" i="29"/>
  <c r="L78" i="29"/>
  <c r="M78" i="29"/>
  <c r="L79" i="29"/>
  <c r="M79" i="29"/>
  <c r="L80" i="29"/>
  <c r="M80" i="29"/>
  <c r="L81" i="29"/>
  <c r="M81" i="29"/>
  <c r="L82" i="29"/>
  <c r="M82" i="29"/>
  <c r="L83" i="29"/>
  <c r="M83" i="29"/>
  <c r="L84" i="29"/>
  <c r="M84" i="29"/>
  <c r="L85" i="29"/>
  <c r="M85" i="29"/>
  <c r="L86" i="29"/>
  <c r="M86" i="29"/>
  <c r="L87" i="29"/>
  <c r="M87" i="29"/>
  <c r="L88" i="29"/>
  <c r="M88" i="29"/>
  <c r="L89" i="29"/>
  <c r="M89" i="29"/>
  <c r="L90" i="29"/>
  <c r="M90" i="29"/>
  <c r="L91" i="29"/>
  <c r="M91" i="29"/>
  <c r="L92" i="29"/>
  <c r="M92" i="29"/>
  <c r="L93" i="29"/>
  <c r="M93" i="29"/>
  <c r="L94" i="29"/>
  <c r="M94" i="29"/>
  <c r="L95" i="29"/>
  <c r="M95" i="29"/>
  <c r="L96" i="29"/>
  <c r="M96" i="29"/>
  <c r="L97" i="29"/>
  <c r="M97" i="29"/>
  <c r="L98" i="29"/>
  <c r="M98" i="29"/>
  <c r="L99" i="29"/>
  <c r="M99" i="29"/>
  <c r="L100" i="29"/>
  <c r="M100" i="29"/>
  <c r="L101" i="29"/>
  <c r="M101" i="29"/>
  <c r="L102" i="29"/>
  <c r="M102" i="29"/>
  <c r="L103" i="29"/>
  <c r="M103" i="29"/>
  <c r="L104" i="29"/>
  <c r="M104" i="29"/>
  <c r="L105" i="29"/>
  <c r="M105" i="29"/>
  <c r="L106" i="29"/>
  <c r="M106" i="29"/>
  <c r="L107" i="29"/>
  <c r="M107" i="29"/>
  <c r="L108" i="29"/>
  <c r="M108" i="29"/>
  <c r="L109" i="29"/>
  <c r="M109" i="29"/>
  <c r="L110" i="29"/>
  <c r="M110" i="29"/>
  <c r="L111" i="29"/>
  <c r="M111" i="29"/>
  <c r="L112" i="29"/>
  <c r="M112" i="29"/>
  <c r="L113" i="29"/>
  <c r="M113" i="29"/>
  <c r="L114" i="29"/>
  <c r="M114" i="29"/>
  <c r="L115" i="29"/>
  <c r="M115" i="29"/>
  <c r="L116" i="29"/>
  <c r="M116" i="29"/>
  <c r="L117" i="29"/>
  <c r="M117" i="29"/>
  <c r="L118" i="29"/>
  <c r="M118" i="29"/>
  <c r="L119" i="29"/>
  <c r="M119" i="29"/>
  <c r="L120" i="29"/>
  <c r="M120" i="29"/>
  <c r="L121" i="29"/>
  <c r="M121" i="29"/>
  <c r="L122" i="29"/>
  <c r="M122" i="29"/>
  <c r="L123" i="29"/>
  <c r="M123" i="29"/>
  <c r="L133" i="29"/>
  <c r="M133" i="29"/>
  <c r="L134" i="29"/>
  <c r="M134" i="29"/>
  <c r="L135" i="29"/>
  <c r="M135" i="29"/>
  <c r="L136" i="29"/>
  <c r="M136" i="29"/>
  <c r="L137" i="29"/>
  <c r="M137" i="29"/>
  <c r="L138" i="29"/>
  <c r="M138" i="29"/>
  <c r="L139" i="29"/>
  <c r="M139" i="29"/>
  <c r="L140" i="29"/>
  <c r="M140" i="29"/>
  <c r="L141" i="29"/>
  <c r="M141" i="29"/>
  <c r="L142" i="29"/>
  <c r="M142" i="29"/>
  <c r="L143" i="29"/>
  <c r="M143" i="29"/>
  <c r="L144" i="29"/>
  <c r="M144" i="29"/>
  <c r="L145" i="29"/>
  <c r="M145" i="29"/>
  <c r="L146" i="29"/>
  <c r="M146" i="29"/>
  <c r="L147" i="29"/>
  <c r="M147" i="29"/>
  <c r="L148" i="29"/>
  <c r="M148" i="29"/>
  <c r="L149" i="29"/>
  <c r="M149" i="29"/>
  <c r="L150" i="29"/>
  <c r="M150" i="29"/>
  <c r="L151" i="29"/>
  <c r="M151" i="29"/>
  <c r="L152" i="29"/>
  <c r="M152" i="29"/>
  <c r="L153" i="29"/>
  <c r="M153" i="29"/>
  <c r="L154" i="29"/>
  <c r="M154" i="29"/>
  <c r="L155" i="29"/>
  <c r="M155" i="29"/>
  <c r="L156" i="29"/>
  <c r="M156" i="29"/>
  <c r="L157" i="29"/>
  <c r="M157" i="29"/>
  <c r="L158" i="29"/>
  <c r="M158" i="29"/>
  <c r="L159" i="29"/>
  <c r="M159" i="29"/>
  <c r="L160" i="29"/>
  <c r="M160" i="29"/>
  <c r="L161" i="29"/>
  <c r="M161" i="29"/>
  <c r="L162" i="29"/>
  <c r="M162" i="29"/>
  <c r="L163" i="29"/>
  <c r="M163" i="29"/>
  <c r="L164" i="29"/>
  <c r="M164" i="29"/>
  <c r="L165" i="29"/>
  <c r="M165" i="29"/>
  <c r="L166" i="29"/>
  <c r="M166" i="29"/>
  <c r="L167" i="29"/>
  <c r="M167" i="29"/>
  <c r="L168" i="29"/>
  <c r="M168" i="29"/>
  <c r="L169" i="29"/>
  <c r="M169" i="29"/>
  <c r="L170" i="29"/>
  <c r="M170" i="29"/>
  <c r="L171" i="29"/>
  <c r="M171" i="29"/>
  <c r="L172" i="29"/>
  <c r="M172" i="29"/>
  <c r="L173" i="29"/>
  <c r="M173" i="29"/>
  <c r="L174" i="29"/>
  <c r="M174" i="29"/>
  <c r="L175" i="29"/>
  <c r="M175" i="29"/>
  <c r="L176" i="29"/>
  <c r="M176" i="29"/>
  <c r="L177" i="29"/>
  <c r="M177" i="29"/>
  <c r="L178" i="29"/>
  <c r="M178" i="29"/>
  <c r="L179" i="29"/>
  <c r="M179" i="29"/>
  <c r="L180" i="29"/>
  <c r="M180" i="29"/>
  <c r="L181" i="29"/>
  <c r="M181" i="29"/>
  <c r="L182" i="29"/>
  <c r="M182" i="29"/>
  <c r="L183" i="29"/>
  <c r="M183" i="29"/>
  <c r="L184" i="29"/>
  <c r="M184" i="29"/>
  <c r="L185" i="29"/>
  <c r="M185" i="29"/>
  <c r="L186" i="29"/>
  <c r="M186" i="29"/>
  <c r="L187" i="29"/>
  <c r="M187" i="29"/>
  <c r="L188" i="29"/>
  <c r="M188" i="29"/>
  <c r="L189" i="29"/>
  <c r="M189" i="29"/>
  <c r="L190" i="29"/>
  <c r="M190" i="29"/>
  <c r="L191" i="29"/>
  <c r="M191" i="29"/>
  <c r="L192" i="29"/>
  <c r="M192" i="29"/>
  <c r="L193" i="29"/>
  <c r="M193" i="29"/>
  <c r="L194" i="29"/>
  <c r="M194" i="29"/>
  <c r="L195" i="29"/>
  <c r="M195" i="29"/>
  <c r="L196" i="29"/>
  <c r="M196" i="29"/>
  <c r="L197" i="29"/>
  <c r="M197" i="29"/>
  <c r="L198" i="29"/>
  <c r="M198" i="29"/>
  <c r="L199" i="29"/>
  <c r="M199" i="29"/>
  <c r="L200" i="29"/>
  <c r="M200" i="29"/>
  <c r="L201" i="29"/>
  <c r="M201" i="29"/>
  <c r="L202" i="29"/>
  <c r="M202" i="29"/>
  <c r="L203" i="29"/>
  <c r="M203" i="29"/>
  <c r="L204" i="29"/>
  <c r="M204" i="29"/>
  <c r="L205" i="29"/>
  <c r="M205" i="29"/>
  <c r="L206" i="29"/>
  <c r="M206" i="29"/>
  <c r="L207" i="29"/>
  <c r="M207" i="29"/>
  <c r="L208" i="29"/>
  <c r="M208" i="29"/>
  <c r="L209" i="29"/>
  <c r="M209" i="29"/>
  <c r="L210" i="29"/>
  <c r="M210" i="29"/>
  <c r="L211" i="29"/>
  <c r="M211" i="29"/>
  <c r="L212" i="29"/>
  <c r="M212" i="29"/>
  <c r="L213" i="29"/>
  <c r="M213" i="29"/>
  <c r="L214" i="29"/>
  <c r="M214" i="29"/>
  <c r="L215" i="29"/>
  <c r="M215" i="29"/>
  <c r="L216" i="29"/>
  <c r="M216" i="29"/>
  <c r="L15" i="29"/>
  <c r="L89" i="46" s="1"/>
  <c r="L93" i="46" s="1"/>
  <c r="M15" i="29"/>
  <c r="M89" i="46" s="1"/>
  <c r="M93" i="46" s="1"/>
  <c r="F19" i="29"/>
  <c r="G19" i="29"/>
  <c r="F20" i="29"/>
  <c r="G20" i="29"/>
  <c r="F21" i="29"/>
  <c r="G21" i="29"/>
  <c r="F22" i="29"/>
  <c r="G22" i="29"/>
  <c r="F23" i="29"/>
  <c r="G23" i="29"/>
  <c r="F18" i="51"/>
  <c r="F19" i="51" s="1"/>
  <c r="G18" i="51"/>
  <c r="G19" i="51" s="1"/>
  <c r="F26" i="29"/>
  <c r="G26" i="29"/>
  <c r="F28" i="29"/>
  <c r="G28" i="29"/>
  <c r="F29" i="29"/>
  <c r="G29" i="29"/>
  <c r="F30" i="29"/>
  <c r="G30" i="29"/>
  <c r="F31" i="29"/>
  <c r="G31" i="29"/>
  <c r="F33" i="29"/>
  <c r="F123" i="31" s="1"/>
  <c r="L123" i="32" s="1"/>
  <c r="L123" i="31" s="1"/>
  <c r="G33" i="29"/>
  <c r="F34" i="29"/>
  <c r="F124" i="31" s="1"/>
  <c r="L124" i="32" s="1"/>
  <c r="G34" i="29"/>
  <c r="G124" i="31" s="1"/>
  <c r="M124" i="32" s="1"/>
  <c r="F35" i="29"/>
  <c r="F126" i="31" s="1"/>
  <c r="L126" i="32" s="1"/>
  <c r="L126" i="31" s="1"/>
  <c r="G35" i="29"/>
  <c r="F36" i="29"/>
  <c r="F125" i="31" s="1"/>
  <c r="L125" i="32" s="1"/>
  <c r="G36" i="29"/>
  <c r="G125" i="31" s="1"/>
  <c r="M125" i="32" s="1"/>
  <c r="F37" i="29"/>
  <c r="G37" i="29"/>
  <c r="F38" i="29"/>
  <c r="G38" i="29"/>
  <c r="F39" i="29"/>
  <c r="G39" i="29"/>
  <c r="F40" i="29"/>
  <c r="G40" i="29"/>
  <c r="F41" i="29"/>
  <c r="G41" i="29"/>
  <c r="F42" i="29"/>
  <c r="G42" i="29"/>
  <c r="F43" i="29"/>
  <c r="G43" i="29"/>
  <c r="F44" i="29"/>
  <c r="G44" i="29"/>
  <c r="F45" i="29"/>
  <c r="G45" i="29"/>
  <c r="F46" i="29"/>
  <c r="G46" i="29"/>
  <c r="F47" i="29"/>
  <c r="G47" i="29"/>
  <c r="F48" i="29"/>
  <c r="G48" i="29"/>
  <c r="F49" i="29"/>
  <c r="G49" i="29"/>
  <c r="F50" i="29"/>
  <c r="G50" i="29"/>
  <c r="F51" i="29"/>
  <c r="G51" i="29"/>
  <c r="F52" i="29"/>
  <c r="G52" i="29"/>
  <c r="F53" i="29"/>
  <c r="G53" i="29"/>
  <c r="F54" i="29"/>
  <c r="G54" i="29"/>
  <c r="F55" i="29"/>
  <c r="G55" i="29"/>
  <c r="F56" i="29"/>
  <c r="G56" i="29"/>
  <c r="F57" i="29"/>
  <c r="G57" i="29"/>
  <c r="F58" i="29"/>
  <c r="G58" i="29"/>
  <c r="F59" i="29"/>
  <c r="G59" i="29"/>
  <c r="F60" i="29"/>
  <c r="G60" i="29"/>
  <c r="F61" i="29"/>
  <c r="G61" i="29"/>
  <c r="F62" i="29"/>
  <c r="G62" i="29"/>
  <c r="F63" i="29"/>
  <c r="G63" i="29"/>
  <c r="F64" i="29"/>
  <c r="G64" i="29"/>
  <c r="F65" i="29"/>
  <c r="G65" i="29"/>
  <c r="F66" i="29"/>
  <c r="G66" i="29"/>
  <c r="F67" i="29"/>
  <c r="G67" i="29"/>
  <c r="F68" i="29"/>
  <c r="G68" i="29"/>
  <c r="F69" i="29"/>
  <c r="G69" i="29"/>
  <c r="F70" i="29"/>
  <c r="G70" i="29"/>
  <c r="F71" i="29"/>
  <c r="G71" i="29"/>
  <c r="F72" i="29"/>
  <c r="G72" i="29"/>
  <c r="F73" i="29"/>
  <c r="G73" i="29"/>
  <c r="F74" i="29"/>
  <c r="G74" i="29"/>
  <c r="F75" i="29"/>
  <c r="G75" i="29"/>
  <c r="F76" i="29"/>
  <c r="G76" i="29"/>
  <c r="F77" i="29"/>
  <c r="G77" i="29"/>
  <c r="F78" i="29"/>
  <c r="G78" i="29"/>
  <c r="F79" i="29"/>
  <c r="G79" i="29"/>
  <c r="F80" i="29"/>
  <c r="G80" i="29"/>
  <c r="F81" i="29"/>
  <c r="G81" i="29"/>
  <c r="F82" i="29"/>
  <c r="G82" i="29"/>
  <c r="F83" i="29"/>
  <c r="G83" i="29"/>
  <c r="F84" i="29"/>
  <c r="G84" i="29"/>
  <c r="F85" i="29"/>
  <c r="G85" i="29"/>
  <c r="F86" i="29"/>
  <c r="G86" i="29"/>
  <c r="F87" i="29"/>
  <c r="G87" i="29"/>
  <c r="F88" i="29"/>
  <c r="G88" i="29"/>
  <c r="F89" i="29"/>
  <c r="G89" i="29"/>
  <c r="F90" i="29"/>
  <c r="G90" i="29"/>
  <c r="F91" i="29"/>
  <c r="G91" i="29"/>
  <c r="F92" i="29"/>
  <c r="G92" i="29"/>
  <c r="F93" i="29"/>
  <c r="G93" i="29"/>
  <c r="F94" i="29"/>
  <c r="G94" i="29"/>
  <c r="F95" i="29"/>
  <c r="G95" i="29"/>
  <c r="F96" i="29"/>
  <c r="G96" i="29"/>
  <c r="F97" i="29"/>
  <c r="G97" i="29"/>
  <c r="F98" i="29"/>
  <c r="G98" i="29"/>
  <c r="F99" i="29"/>
  <c r="G99" i="29"/>
  <c r="F100" i="29"/>
  <c r="G100" i="29"/>
  <c r="F101" i="29"/>
  <c r="G101" i="29"/>
  <c r="F102" i="29"/>
  <c r="G102" i="29"/>
  <c r="F103" i="29"/>
  <c r="G103" i="29"/>
  <c r="F104" i="29"/>
  <c r="G104" i="29"/>
  <c r="F105" i="29"/>
  <c r="G105" i="29"/>
  <c r="F106" i="29"/>
  <c r="G106" i="29"/>
  <c r="F107" i="29"/>
  <c r="G107" i="29"/>
  <c r="F108" i="29"/>
  <c r="G108" i="29"/>
  <c r="F109" i="29"/>
  <c r="G109" i="29"/>
  <c r="F110" i="29"/>
  <c r="G110" i="29"/>
  <c r="F111" i="29"/>
  <c r="G111" i="29"/>
  <c r="F112" i="29"/>
  <c r="G112" i="29"/>
  <c r="F113" i="29"/>
  <c r="G113" i="29"/>
  <c r="F114" i="29"/>
  <c r="G114" i="29"/>
  <c r="F115" i="29"/>
  <c r="G115" i="29"/>
  <c r="F116" i="29"/>
  <c r="G116" i="29"/>
  <c r="F117" i="29"/>
  <c r="G117" i="29"/>
  <c r="F118" i="29"/>
  <c r="G118" i="29"/>
  <c r="F119" i="29"/>
  <c r="G119" i="29"/>
  <c r="F120" i="29"/>
  <c r="G120" i="29"/>
  <c r="F121" i="29"/>
  <c r="G121" i="29"/>
  <c r="F122" i="29"/>
  <c r="G122" i="29"/>
  <c r="F123" i="29"/>
  <c r="G123" i="29"/>
  <c r="F126" i="29"/>
  <c r="G126" i="29"/>
  <c r="F128" i="29"/>
  <c r="G128" i="29"/>
  <c r="F129" i="29"/>
  <c r="G129" i="29"/>
  <c r="F130" i="29"/>
  <c r="G130" i="29"/>
  <c r="F131" i="29"/>
  <c r="G131" i="29"/>
  <c r="F133" i="29"/>
  <c r="G133" i="29"/>
  <c r="F134" i="29"/>
  <c r="G134" i="29"/>
  <c r="F135" i="29"/>
  <c r="G135" i="29"/>
  <c r="F136" i="29"/>
  <c r="G136" i="29"/>
  <c r="F137" i="29"/>
  <c r="G137" i="29"/>
  <c r="F138" i="29"/>
  <c r="G138" i="29"/>
  <c r="F139" i="29"/>
  <c r="G139" i="29"/>
  <c r="F140" i="29"/>
  <c r="G140" i="29"/>
  <c r="F141" i="29"/>
  <c r="F2002" i="46" s="1"/>
  <c r="F279" i="70" s="1"/>
  <c r="G141" i="29"/>
  <c r="F142" i="29"/>
  <c r="G142" i="29"/>
  <c r="F143" i="29"/>
  <c r="G143" i="29"/>
  <c r="F144" i="29"/>
  <c r="G144" i="29"/>
  <c r="F145" i="29"/>
  <c r="G145" i="29"/>
  <c r="F146" i="29"/>
  <c r="G146" i="29"/>
  <c r="F147" i="29"/>
  <c r="G147" i="29"/>
  <c r="F148" i="29"/>
  <c r="G148" i="29"/>
  <c r="F149" i="29"/>
  <c r="G149" i="29"/>
  <c r="F150" i="29"/>
  <c r="G150" i="29"/>
  <c r="F151" i="29"/>
  <c r="G151" i="29"/>
  <c r="F152" i="29"/>
  <c r="G152" i="29"/>
  <c r="F153" i="29"/>
  <c r="G153" i="29"/>
  <c r="F154" i="29"/>
  <c r="G154" i="29"/>
  <c r="F155" i="29"/>
  <c r="G155" i="29"/>
  <c r="F156" i="29"/>
  <c r="G156" i="29"/>
  <c r="F157" i="29"/>
  <c r="G157" i="29"/>
  <c r="F158" i="29"/>
  <c r="G158" i="29"/>
  <c r="F159" i="29"/>
  <c r="G159" i="29"/>
  <c r="F160" i="29"/>
  <c r="G160" i="29"/>
  <c r="F161" i="29"/>
  <c r="G161" i="29"/>
  <c r="F162" i="29"/>
  <c r="G162" i="29"/>
  <c r="F163" i="29"/>
  <c r="G163" i="29"/>
  <c r="F164" i="29"/>
  <c r="G164" i="29"/>
  <c r="F165" i="29"/>
  <c r="G165" i="29"/>
  <c r="F166" i="29"/>
  <c r="G166" i="29"/>
  <c r="F167" i="29"/>
  <c r="G167" i="29"/>
  <c r="F168" i="29"/>
  <c r="G168" i="29"/>
  <c r="F169" i="29"/>
  <c r="G169" i="29"/>
  <c r="F170" i="29"/>
  <c r="G170" i="29"/>
  <c r="F171" i="29"/>
  <c r="G171" i="29"/>
  <c r="F172" i="29"/>
  <c r="G172" i="29"/>
  <c r="F173" i="29"/>
  <c r="G173" i="29"/>
  <c r="F174" i="29"/>
  <c r="G174" i="29"/>
  <c r="F175" i="29"/>
  <c r="G175" i="29"/>
  <c r="F176" i="29"/>
  <c r="G176" i="29"/>
  <c r="F177" i="29"/>
  <c r="G177" i="29"/>
  <c r="F178" i="29"/>
  <c r="G178" i="29"/>
  <c r="F179" i="29"/>
  <c r="G179" i="29"/>
  <c r="F180" i="29"/>
  <c r="G180" i="29"/>
  <c r="F181" i="29"/>
  <c r="G181" i="29"/>
  <c r="F182" i="29"/>
  <c r="G182" i="29"/>
  <c r="F183" i="29"/>
  <c r="G183" i="29"/>
  <c r="F184" i="29"/>
  <c r="G184" i="29"/>
  <c r="F185" i="29"/>
  <c r="G185" i="29"/>
  <c r="F186" i="29"/>
  <c r="G186" i="29"/>
  <c r="F187" i="29"/>
  <c r="G187" i="29"/>
  <c r="F188" i="29"/>
  <c r="G188" i="29"/>
  <c r="F189" i="29"/>
  <c r="G189" i="29"/>
  <c r="F190" i="29"/>
  <c r="G190" i="29"/>
  <c r="F191" i="29"/>
  <c r="G191" i="29"/>
  <c r="F192" i="29"/>
  <c r="G192" i="29"/>
  <c r="F193" i="29"/>
  <c r="G193" i="29"/>
  <c r="F194" i="29"/>
  <c r="G194" i="29"/>
  <c r="F195" i="29"/>
  <c r="G195" i="29"/>
  <c r="F196" i="29"/>
  <c r="G196" i="29"/>
  <c r="F197" i="29"/>
  <c r="G197" i="29"/>
  <c r="F198" i="29"/>
  <c r="G198" i="29"/>
  <c r="F199" i="29"/>
  <c r="G199" i="29"/>
  <c r="F200" i="29"/>
  <c r="G200" i="29"/>
  <c r="F201" i="29"/>
  <c r="G201" i="29"/>
  <c r="F202" i="29"/>
  <c r="G202" i="29"/>
  <c r="F203" i="29"/>
  <c r="G203" i="29"/>
  <c r="F204" i="29"/>
  <c r="G204" i="29"/>
  <c r="F205" i="29"/>
  <c r="G205" i="29"/>
  <c r="F206" i="29"/>
  <c r="G206" i="29"/>
  <c r="F207" i="29"/>
  <c r="G207" i="29"/>
  <c r="F208" i="29"/>
  <c r="G208" i="29"/>
  <c r="F209" i="29"/>
  <c r="G209" i="29"/>
  <c r="F210" i="29"/>
  <c r="G210" i="29"/>
  <c r="F211" i="29"/>
  <c r="G211" i="29"/>
  <c r="F212" i="29"/>
  <c r="G212" i="29"/>
  <c r="F213" i="29"/>
  <c r="G213" i="29"/>
  <c r="F214" i="29"/>
  <c r="G214" i="29"/>
  <c r="F215" i="29"/>
  <c r="G215" i="29"/>
  <c r="F216" i="29"/>
  <c r="G216" i="29"/>
  <c r="G18" i="29"/>
  <c r="F18" i="29"/>
  <c r="G16" i="29"/>
  <c r="F16" i="29"/>
  <c r="G15" i="29"/>
  <c r="F15" i="29"/>
  <c r="L125" i="31" l="1"/>
  <c r="L124" i="31"/>
  <c r="G126" i="31"/>
  <c r="M126" i="32" s="1"/>
  <c r="M126" i="31" s="1"/>
  <c r="G123" i="31"/>
  <c r="M123" i="32" s="1"/>
  <c r="M123" i="31" s="1"/>
  <c r="G328" i="31"/>
  <c r="M328" i="32" s="1"/>
  <c r="M328" i="31" s="1"/>
  <c r="G327" i="31"/>
  <c r="M327" i="32" s="1"/>
  <c r="M327" i="31" s="1"/>
  <c r="D46" i="51"/>
  <c r="F328" i="31"/>
  <c r="L328" i="32" s="1"/>
  <c r="L328" i="31" s="1"/>
  <c r="F327" i="31"/>
  <c r="L327" i="32" s="1"/>
  <c r="L327" i="31" s="1"/>
  <c r="G329" i="31"/>
  <c r="M329" i="32" s="1"/>
  <c r="M329" i="31" s="1"/>
  <c r="G326" i="31"/>
  <c r="M326" i="32" s="1"/>
  <c r="M326" i="31" s="1"/>
  <c r="F329" i="31"/>
  <c r="L329" i="32" s="1"/>
  <c r="L329" i="31" s="1"/>
  <c r="F326" i="31"/>
  <c r="L326" i="32" s="1"/>
  <c r="L326" i="31" s="1"/>
  <c r="I52" i="68"/>
  <c r="I59" i="68" s="1"/>
  <c r="M125" i="31"/>
  <c r="M124" i="31"/>
  <c r="J48" i="38"/>
  <c r="J413" i="38"/>
  <c r="J279" i="38"/>
  <c r="J70" i="38"/>
  <c r="J336" i="38"/>
  <c r="J470" i="38"/>
  <c r="J60" i="38"/>
  <c r="J442" i="38"/>
  <c r="J308" i="38"/>
  <c r="J146" i="38"/>
  <c r="J480" i="38"/>
  <c r="J346" i="38"/>
  <c r="D45" i="51"/>
  <c r="D56" i="51"/>
  <c r="J56" i="51"/>
  <c r="D44" i="51"/>
  <c r="C55" i="51"/>
  <c r="C62" i="51" s="1"/>
  <c r="C54" i="51"/>
  <c r="C61" i="51" s="1"/>
  <c r="C52" i="51"/>
  <c r="I54" i="51"/>
  <c r="I61" i="51" s="1"/>
  <c r="I52" i="51"/>
  <c r="I59" i="51" s="1"/>
  <c r="I55" i="51"/>
  <c r="I62" i="51" s="1"/>
  <c r="C53" i="51"/>
  <c r="I53" i="51"/>
  <c r="I60" i="51" s="1"/>
  <c r="I54" i="68"/>
  <c r="I61" i="68" s="1"/>
  <c r="I53" i="68"/>
  <c r="I60" i="68" s="1"/>
  <c r="I55" i="68"/>
  <c r="I62" i="68" s="1"/>
  <c r="J54" i="51" l="1"/>
  <c r="D54" i="51"/>
  <c r="C59" i="51"/>
  <c r="J52" i="51"/>
  <c r="D52" i="51"/>
  <c r="J53" i="51"/>
  <c r="D53" i="51"/>
  <c r="J55" i="51"/>
  <c r="D55" i="51"/>
  <c r="C60" i="51"/>
  <c r="M2083" i="46" l="1"/>
  <c r="L2083" i="46"/>
  <c r="M2075" i="46"/>
  <c r="L2075" i="46"/>
  <c r="M2067" i="46"/>
  <c r="L2067" i="46"/>
  <c r="M2059" i="46"/>
  <c r="L2059" i="46"/>
  <c r="M2038" i="46"/>
  <c r="L2038" i="46"/>
  <c r="L2002" i="46"/>
  <c r="L1992" i="46"/>
  <c r="M1032" i="46"/>
  <c r="L1032" i="46"/>
  <c r="M1024" i="46"/>
  <c r="L1024" i="46"/>
  <c r="M1016" i="46"/>
  <c r="L1016" i="46"/>
  <c r="M1007" i="46"/>
  <c r="L1007" i="46"/>
  <c r="M987" i="46"/>
  <c r="L987" i="46"/>
  <c r="M1987" i="46"/>
  <c r="L1987" i="46"/>
  <c r="K1987" i="46"/>
  <c r="M1986" i="46"/>
  <c r="L1986" i="46"/>
  <c r="K1986" i="46"/>
  <c r="M1985" i="46"/>
  <c r="L1985" i="46"/>
  <c r="K1985" i="46"/>
  <c r="M1984" i="46"/>
  <c r="L1984" i="46"/>
  <c r="K1984" i="46"/>
  <c r="M1983" i="46"/>
  <c r="M1996" i="46" s="1"/>
  <c r="L1983" i="46"/>
  <c r="L1996" i="46" s="1"/>
  <c r="K1983" i="46"/>
  <c r="M936" i="46"/>
  <c r="L936" i="46"/>
  <c r="K936" i="46"/>
  <c r="M935" i="46"/>
  <c r="L935" i="46"/>
  <c r="K935" i="46"/>
  <c r="M934" i="46"/>
  <c r="L934" i="46"/>
  <c r="K934" i="46"/>
  <c r="M933" i="46"/>
  <c r="L933" i="46"/>
  <c r="K933" i="46"/>
  <c r="M932" i="46"/>
  <c r="M946" i="46" s="1"/>
  <c r="L932" i="46"/>
  <c r="L946" i="46" s="1"/>
  <c r="K932" i="46"/>
  <c r="M951" i="46"/>
  <c r="L951" i="46"/>
  <c r="L106" i="70" s="1"/>
  <c r="K20" i="32"/>
  <c r="L20" i="32"/>
  <c r="M20" i="32"/>
  <c r="K21" i="32"/>
  <c r="L21" i="32"/>
  <c r="M21" i="32"/>
  <c r="L43" i="32"/>
  <c r="M43" i="32"/>
  <c r="K60" i="32"/>
  <c r="L60" i="32"/>
  <c r="M60" i="32"/>
  <c r="K61" i="32"/>
  <c r="L61" i="32"/>
  <c r="M61" i="32"/>
  <c r="K69" i="32"/>
  <c r="L69" i="32"/>
  <c r="M69" i="32"/>
  <c r="K70" i="32"/>
  <c r="L70" i="32"/>
  <c r="M70" i="32"/>
  <c r="K87" i="32"/>
  <c r="L87" i="32"/>
  <c r="M87" i="32"/>
  <c r="K88" i="32"/>
  <c r="L88" i="32"/>
  <c r="M88" i="32"/>
  <c r="K105" i="32"/>
  <c r="L105" i="32"/>
  <c r="M105" i="32"/>
  <c r="K106" i="32"/>
  <c r="L106" i="32"/>
  <c r="M106" i="32"/>
  <c r="K147" i="32"/>
  <c r="L147" i="32"/>
  <c r="M147" i="32"/>
  <c r="K148" i="32"/>
  <c r="L148" i="32"/>
  <c r="M148" i="32"/>
  <c r="K161" i="32"/>
  <c r="L161" i="32"/>
  <c r="M161" i="32"/>
  <c r="K162" i="32"/>
  <c r="L162" i="32"/>
  <c r="M162" i="32"/>
  <c r="K175" i="32"/>
  <c r="L175" i="32"/>
  <c r="M175" i="32"/>
  <c r="K176" i="32"/>
  <c r="L176" i="32"/>
  <c r="M176" i="32"/>
  <c r="K194" i="32"/>
  <c r="L194" i="32"/>
  <c r="M194" i="32"/>
  <c r="K195" i="32"/>
  <c r="L195" i="32"/>
  <c r="M195" i="32"/>
  <c r="K208" i="32"/>
  <c r="L208" i="32"/>
  <c r="M208" i="32"/>
  <c r="K209" i="32"/>
  <c r="L209" i="32"/>
  <c r="M209" i="32"/>
  <c r="K222" i="32"/>
  <c r="L222" i="32"/>
  <c r="M222" i="32"/>
  <c r="K223" i="32"/>
  <c r="L223" i="32"/>
  <c r="M223" i="32"/>
  <c r="K242" i="32"/>
  <c r="L242" i="32"/>
  <c r="M242" i="32"/>
  <c r="K243" i="32"/>
  <c r="L243" i="32"/>
  <c r="M243" i="32"/>
  <c r="K244" i="32"/>
  <c r="L244" i="32"/>
  <c r="M244" i="32"/>
  <c r="L245" i="32"/>
  <c r="M245" i="32"/>
  <c r="K262" i="32"/>
  <c r="L262" i="32"/>
  <c r="M262" i="32"/>
  <c r="K263" i="32"/>
  <c r="L263" i="32"/>
  <c r="M263" i="32"/>
  <c r="K271" i="32"/>
  <c r="L271" i="32"/>
  <c r="M271" i="32"/>
  <c r="K272" i="32"/>
  <c r="L272" i="32"/>
  <c r="M272" i="32"/>
  <c r="K289" i="32"/>
  <c r="L289" i="32"/>
  <c r="M289" i="32"/>
  <c r="K290" i="32"/>
  <c r="L290" i="32"/>
  <c r="M290" i="32"/>
  <c r="K307" i="32"/>
  <c r="L307" i="32"/>
  <c r="M307" i="32"/>
  <c r="K308" i="32"/>
  <c r="L308" i="32"/>
  <c r="M308" i="32"/>
  <c r="K309" i="32"/>
  <c r="L309" i="32"/>
  <c r="M309" i="32"/>
  <c r="K350" i="32"/>
  <c r="L350" i="32"/>
  <c r="M350" i="32"/>
  <c r="K351" i="32"/>
  <c r="L351" i="32"/>
  <c r="M351" i="32"/>
  <c r="K364" i="32"/>
  <c r="L364" i="32"/>
  <c r="M364" i="32"/>
  <c r="K365" i="32"/>
  <c r="L365" i="32"/>
  <c r="M365" i="32"/>
  <c r="K378" i="32"/>
  <c r="L378" i="32"/>
  <c r="M378" i="32"/>
  <c r="K379" i="32"/>
  <c r="L379" i="32"/>
  <c r="M379" i="32"/>
  <c r="K397" i="32"/>
  <c r="L397" i="32"/>
  <c r="M397" i="32"/>
  <c r="K398" i="32"/>
  <c r="L398" i="32"/>
  <c r="M398" i="32"/>
  <c r="K411" i="32"/>
  <c r="L411" i="32"/>
  <c r="M411" i="32"/>
  <c r="K412" i="32"/>
  <c r="L412" i="32"/>
  <c r="M412" i="32"/>
  <c r="K413" i="32"/>
  <c r="L413" i="32"/>
  <c r="M413" i="32"/>
  <c r="K414" i="32"/>
  <c r="L414" i="32"/>
  <c r="M414" i="32"/>
  <c r="K415" i="32"/>
  <c r="L415" i="32"/>
  <c r="M415" i="32"/>
  <c r="K416" i="32"/>
  <c r="L416" i="32"/>
  <c r="M416" i="32"/>
  <c r="K417" i="32"/>
  <c r="L417" i="32"/>
  <c r="M417" i="32"/>
  <c r="K418" i="32"/>
  <c r="L418" i="32"/>
  <c r="M418" i="32"/>
  <c r="K419" i="32"/>
  <c r="L419" i="32"/>
  <c r="M419" i="32"/>
  <c r="K420" i="32"/>
  <c r="L420" i="32"/>
  <c r="M420" i="32"/>
  <c r="K421" i="32"/>
  <c r="L421" i="32"/>
  <c r="M421" i="32"/>
  <c r="K422" i="32"/>
  <c r="L422" i="32"/>
  <c r="M422" i="32"/>
  <c r="K423" i="32"/>
  <c r="L423" i="32"/>
  <c r="M423" i="32"/>
  <c r="K424" i="32"/>
  <c r="L424" i="32"/>
  <c r="M424" i="32"/>
  <c r="K425" i="32"/>
  <c r="L425" i="32"/>
  <c r="M425" i="32"/>
  <c r="K426" i="32"/>
  <c r="L426" i="32"/>
  <c r="M426" i="32"/>
  <c r="K427" i="32"/>
  <c r="L427" i="32"/>
  <c r="M427" i="32"/>
  <c r="K428" i="32"/>
  <c r="L428" i="32"/>
  <c r="M428" i="32"/>
  <c r="K429" i="32"/>
  <c r="L429" i="32"/>
  <c r="M429" i="32"/>
  <c r="L14" i="32"/>
  <c r="M14" i="32"/>
  <c r="K14" i="32"/>
  <c r="O60" i="32" l="1"/>
  <c r="O61" i="32"/>
  <c r="O429" i="32"/>
  <c r="O425" i="32"/>
  <c r="O421" i="32"/>
  <c r="O417" i="32"/>
  <c r="O413" i="32"/>
  <c r="O397" i="32"/>
  <c r="O364" i="32"/>
  <c r="O330" i="32"/>
  <c r="O290" i="32"/>
  <c r="O263" i="32"/>
  <c r="O244" i="32"/>
  <c r="O222" i="32"/>
  <c r="O194" i="32"/>
  <c r="O161" i="32"/>
  <c r="O127" i="32"/>
  <c r="O87" i="32"/>
  <c r="O20" i="32"/>
  <c r="O422" i="32"/>
  <c r="O414" i="32"/>
  <c r="O398" i="32"/>
  <c r="O365" i="32"/>
  <c r="O331" i="32"/>
  <c r="O307" i="32"/>
  <c r="O271" i="32"/>
  <c r="O223" i="32"/>
  <c r="O195" i="32"/>
  <c r="O162" i="32"/>
  <c r="O128" i="32"/>
  <c r="O88" i="32"/>
  <c r="O21" i="32"/>
  <c r="O426" i="32"/>
  <c r="O418" i="32"/>
  <c r="M1997" i="46"/>
  <c r="M1993" i="46"/>
  <c r="L1995" i="46"/>
  <c r="M1995" i="46"/>
  <c r="L1993" i="46"/>
  <c r="L1997" i="46"/>
  <c r="M944" i="46"/>
  <c r="M942" i="46"/>
  <c r="L944" i="46"/>
  <c r="L942" i="46"/>
  <c r="M945" i="46"/>
  <c r="M943" i="46"/>
  <c r="L264" i="31"/>
  <c r="L279" i="70"/>
  <c r="M62" i="31"/>
  <c r="M106" i="70"/>
  <c r="L62" i="31"/>
  <c r="M938" i="46"/>
  <c r="M941" i="46"/>
  <c r="M2002" i="46"/>
  <c r="M1992" i="46"/>
  <c r="O427" i="32"/>
  <c r="O423" i="32"/>
  <c r="O419" i="32"/>
  <c r="O415" i="32"/>
  <c r="O411" i="32"/>
  <c r="O378" i="32"/>
  <c r="O350" i="32"/>
  <c r="O308" i="32"/>
  <c r="O272" i="32"/>
  <c r="O242" i="32"/>
  <c r="O208" i="32"/>
  <c r="O175" i="32"/>
  <c r="O147" i="32"/>
  <c r="O105" i="32"/>
  <c r="O69" i="32"/>
  <c r="L938" i="46"/>
  <c r="M1989" i="46"/>
  <c r="L1994" i="46"/>
  <c r="O428" i="32"/>
  <c r="O424" i="32"/>
  <c r="O420" i="32"/>
  <c r="O416" i="32"/>
  <c r="O412" i="32"/>
  <c r="O379" i="32"/>
  <c r="O351" i="32"/>
  <c r="O309" i="32"/>
  <c r="O289" i="32"/>
  <c r="O262" i="32"/>
  <c r="O243" i="32"/>
  <c r="O209" i="32"/>
  <c r="O176" i="32"/>
  <c r="O148" i="32"/>
  <c r="O106" i="32"/>
  <c r="O70" i="32"/>
  <c r="L941" i="46"/>
  <c r="L943" i="46"/>
  <c r="L945" i="46"/>
  <c r="M1994" i="46"/>
  <c r="L1989" i="46"/>
  <c r="L1999" i="46" l="1"/>
  <c r="M948" i="46"/>
  <c r="M264" i="31"/>
  <c r="M279" i="70"/>
  <c r="L948" i="46"/>
  <c r="M1999" i="46"/>
  <c r="J248" i="32" l="1"/>
  <c r="J193" i="32"/>
  <c r="J46" i="32"/>
  <c r="B147" i="30" l="1"/>
  <c r="B143" i="30"/>
  <c r="D149" i="30"/>
  <c r="D148" i="30"/>
  <c r="D145" i="30"/>
  <c r="D144" i="30"/>
  <c r="B136" i="30"/>
  <c r="D141" i="30"/>
  <c r="D140" i="30"/>
  <c r="D139" i="30"/>
  <c r="D138" i="30"/>
  <c r="D137" i="30"/>
  <c r="B129" i="30"/>
  <c r="D134" i="30"/>
  <c r="D133" i="30"/>
  <c r="D132" i="30"/>
  <c r="D131" i="30"/>
  <c r="D130" i="30"/>
  <c r="B122" i="30"/>
  <c r="D127" i="30"/>
  <c r="D126" i="30"/>
  <c r="D125" i="30"/>
  <c r="D124" i="30"/>
  <c r="D123" i="30"/>
  <c r="B115" i="30"/>
  <c r="D120" i="30"/>
  <c r="D119" i="30"/>
  <c r="D118" i="30"/>
  <c r="D117" i="30"/>
  <c r="D116" i="30"/>
  <c r="B108" i="30"/>
  <c r="D113" i="30"/>
  <c r="D112" i="30"/>
  <c r="D111" i="30"/>
  <c r="D110" i="30"/>
  <c r="D109" i="30"/>
  <c r="B101" i="30"/>
  <c r="B83" i="30"/>
  <c r="D106" i="30"/>
  <c r="D105" i="30"/>
  <c r="D104" i="30"/>
  <c r="D103" i="30"/>
  <c r="D102" i="30"/>
  <c r="D99" i="30"/>
  <c r="B94" i="30"/>
  <c r="D98" i="30"/>
  <c r="D97" i="30"/>
  <c r="D96" i="30"/>
  <c r="D95" i="30"/>
  <c r="B88" i="30"/>
  <c r="D92" i="30"/>
  <c r="D91" i="30"/>
  <c r="D90" i="30"/>
  <c r="D89" i="30"/>
  <c r="D86" i="30"/>
  <c r="D85" i="30"/>
  <c r="D84" i="30"/>
  <c r="D81" i="30"/>
  <c r="B77" i="30"/>
  <c r="D80" i="30"/>
  <c r="D79" i="30"/>
  <c r="D78" i="30"/>
  <c r="V31" i="57" l="1"/>
  <c r="V16" i="57" l="1"/>
  <c r="E8" i="58" l="1"/>
  <c r="E131" i="58"/>
  <c r="E349" i="70" s="1"/>
  <c r="E130" i="58"/>
  <c r="E129" i="58"/>
  <c r="E348" i="70" s="1"/>
  <c r="E128" i="58"/>
  <c r="E127" i="58"/>
  <c r="E377" i="70" s="1"/>
  <c r="E126" i="58"/>
  <c r="E376" i="70" s="1"/>
  <c r="E125" i="58"/>
  <c r="E375" i="70" s="1"/>
  <c r="E124" i="58"/>
  <c r="E374" i="70" s="1"/>
  <c r="E123" i="58"/>
  <c r="E373" i="70" s="1"/>
  <c r="E122" i="58"/>
  <c r="E372" i="70" s="1"/>
  <c r="E121" i="58"/>
  <c r="E371" i="70" s="1"/>
  <c r="E120" i="58"/>
  <c r="E370" i="70" s="1"/>
  <c r="E119" i="58"/>
  <c r="E369" i="70" s="1"/>
  <c r="E118" i="58"/>
  <c r="E368" i="70" s="1"/>
  <c r="E117" i="58"/>
  <c r="E367" i="70" s="1"/>
  <c r="E116" i="58"/>
  <c r="E366" i="70" s="1"/>
  <c r="E115" i="58"/>
  <c r="E363" i="70" s="1"/>
  <c r="E114" i="58"/>
  <c r="E362" i="70" s="1"/>
  <c r="E113" i="58"/>
  <c r="E361" i="70" s="1"/>
  <c r="E112" i="58"/>
  <c r="E360" i="70" s="1"/>
  <c r="E111" i="58"/>
  <c r="E359" i="70" s="1"/>
  <c r="E110" i="58"/>
  <c r="E358" i="70" s="1"/>
  <c r="E109" i="58"/>
  <c r="E357" i="70" s="1"/>
  <c r="E108" i="58"/>
  <c r="E356" i="70" s="1"/>
  <c r="E107" i="58"/>
  <c r="E355" i="70" s="1"/>
  <c r="E106" i="58"/>
  <c r="E354" i="70" s="1"/>
  <c r="E105" i="58"/>
  <c r="E353" i="70" s="1"/>
  <c r="E104" i="58"/>
  <c r="E352" i="70" s="1"/>
  <c r="E103" i="58"/>
  <c r="E391" i="70" s="1"/>
  <c r="E102" i="58"/>
  <c r="E390" i="70" s="1"/>
  <c r="E101" i="58"/>
  <c r="E389" i="70" s="1"/>
  <c r="E100" i="58"/>
  <c r="E388" i="70" s="1"/>
  <c r="E99" i="58"/>
  <c r="E387" i="70" s="1"/>
  <c r="E98" i="58"/>
  <c r="E386" i="70" s="1"/>
  <c r="E97" i="58"/>
  <c r="E385" i="70" s="1"/>
  <c r="E96" i="58"/>
  <c r="E95" i="58"/>
  <c r="E383" i="70" s="1"/>
  <c r="E94" i="58"/>
  <c r="E382" i="70" s="1"/>
  <c r="E93" i="58"/>
  <c r="E381" i="70" s="1"/>
  <c r="E92" i="58"/>
  <c r="E380" i="70" s="1"/>
  <c r="E90" i="58"/>
  <c r="E293" i="70" s="1"/>
  <c r="E89" i="58"/>
  <c r="E292" i="70" s="1"/>
  <c r="E88" i="58"/>
  <c r="E291" i="70" s="1"/>
  <c r="E87" i="58"/>
  <c r="E290" i="70" s="1"/>
  <c r="E86" i="58"/>
  <c r="E289" i="70" s="1"/>
  <c r="E85" i="58"/>
  <c r="E288" i="70" s="1"/>
  <c r="E83" i="58"/>
  <c r="E276" i="70" s="1"/>
  <c r="E82" i="58"/>
  <c r="E275" i="70" s="1"/>
  <c r="E81" i="58"/>
  <c r="E274" i="70" s="1"/>
  <c r="E80" i="58"/>
  <c r="E79" i="58"/>
  <c r="E272" i="70" s="1"/>
  <c r="E78" i="58"/>
  <c r="E77" i="58"/>
  <c r="E76" i="58"/>
  <c r="E75" i="58"/>
  <c r="E74" i="58"/>
  <c r="E70" i="58"/>
  <c r="E176" i="70" s="1"/>
  <c r="E69" i="58"/>
  <c r="E68" i="58"/>
  <c r="E175" i="70" s="1"/>
  <c r="E67" i="58"/>
  <c r="E919" i="46" s="1"/>
  <c r="E66" i="58"/>
  <c r="E204" i="70" s="1"/>
  <c r="E65" i="58"/>
  <c r="E203" i="70" s="1"/>
  <c r="E64" i="58"/>
  <c r="E202" i="70" s="1"/>
  <c r="E63" i="58"/>
  <c r="E201" i="70" s="1"/>
  <c r="E62" i="58"/>
  <c r="E200" i="70" s="1"/>
  <c r="E61" i="58"/>
  <c r="E199" i="70" s="1"/>
  <c r="E60" i="58"/>
  <c r="E198" i="70" s="1"/>
  <c r="E59" i="58"/>
  <c r="E197" i="70" s="1"/>
  <c r="E58" i="58"/>
  <c r="E196" i="70" s="1"/>
  <c r="E57" i="58"/>
  <c r="E195" i="70" s="1"/>
  <c r="E56" i="58"/>
  <c r="E194" i="70" s="1"/>
  <c r="E55" i="58"/>
  <c r="E193" i="70" s="1"/>
  <c r="E54" i="58"/>
  <c r="E190" i="70" s="1"/>
  <c r="E53" i="58"/>
  <c r="E189" i="70" s="1"/>
  <c r="E52" i="58"/>
  <c r="E188" i="70" s="1"/>
  <c r="E51" i="58"/>
  <c r="E187" i="70" s="1"/>
  <c r="E50" i="58"/>
  <c r="E186" i="70" s="1"/>
  <c r="E49" i="58"/>
  <c r="E185" i="70" s="1"/>
  <c r="E48" i="58"/>
  <c r="E184" i="70" s="1"/>
  <c r="E47" i="58"/>
  <c r="E183" i="70" s="1"/>
  <c r="E46" i="58"/>
  <c r="E182" i="70" s="1"/>
  <c r="E45" i="58"/>
  <c r="E181" i="70" s="1"/>
  <c r="E44" i="58"/>
  <c r="E180" i="70" s="1"/>
  <c r="E43" i="58"/>
  <c r="E179" i="70" s="1"/>
  <c r="E42" i="58"/>
  <c r="E218" i="70" s="1"/>
  <c r="E41" i="58"/>
  <c r="E217" i="70" s="1"/>
  <c r="E40" i="58"/>
  <c r="E216" i="70" s="1"/>
  <c r="E39" i="58"/>
  <c r="E38" i="58"/>
  <c r="E214" i="70" s="1"/>
  <c r="E37" i="58"/>
  <c r="E213" i="70" s="1"/>
  <c r="E36" i="58"/>
  <c r="E212" i="70" s="1"/>
  <c r="E35" i="58"/>
  <c r="E211" i="70" s="1"/>
  <c r="E34" i="58"/>
  <c r="E210" i="70" s="1"/>
  <c r="E33" i="58"/>
  <c r="E32" i="58"/>
  <c r="E208" i="70" s="1"/>
  <c r="E31" i="58"/>
  <c r="E207" i="70" s="1"/>
  <c r="E29" i="58"/>
  <c r="E120" i="70" s="1"/>
  <c r="E28" i="58"/>
  <c r="E119" i="70" s="1"/>
  <c r="E27" i="58"/>
  <c r="E118" i="70" s="1"/>
  <c r="E26" i="58"/>
  <c r="E117" i="70" s="1"/>
  <c r="E25" i="58"/>
  <c r="E116" i="70" s="1"/>
  <c r="E24" i="58"/>
  <c r="E115" i="70" s="1"/>
  <c r="E22" i="58"/>
  <c r="E103" i="70" s="1"/>
  <c r="E21" i="58"/>
  <c r="E102" i="70" s="1"/>
  <c r="E20" i="58"/>
  <c r="E101" i="70" s="1"/>
  <c r="E19" i="58"/>
  <c r="E18" i="58"/>
  <c r="E99" i="70" s="1"/>
  <c r="E17" i="58"/>
  <c r="E16" i="58"/>
  <c r="E15" i="58"/>
  <c r="E14" i="58"/>
  <c r="E13" i="58"/>
  <c r="E347" i="70" l="1"/>
  <c r="E1976" i="46"/>
  <c r="E346" i="70"/>
  <c r="E1970" i="46"/>
  <c r="E174" i="70"/>
  <c r="E925" i="46"/>
  <c r="E173" i="70"/>
  <c r="E215" i="70"/>
  <c r="E980" i="46"/>
  <c r="E69" i="38" s="1"/>
  <c r="E337" i="71" s="1"/>
  <c r="E77" i="70"/>
  <c r="E100" i="70"/>
  <c r="E978" i="46"/>
  <c r="E209" i="70"/>
  <c r="E273" i="70"/>
  <c r="E2029" i="46"/>
  <c r="E384" i="70"/>
  <c r="E2031" i="46"/>
  <c r="E145" i="38" s="1"/>
  <c r="E338" i="71" s="1"/>
  <c r="E252" i="70"/>
  <c r="E256" i="70"/>
  <c r="E260" i="70"/>
  <c r="E264" i="70"/>
  <c r="E268" i="70"/>
  <c r="E253" i="70"/>
  <c r="E257" i="70"/>
  <c r="E261" i="70"/>
  <c r="E265" i="70"/>
  <c r="E269" i="70"/>
  <c r="E254" i="70"/>
  <c r="E258" i="70"/>
  <c r="E262" i="70"/>
  <c r="E266" i="70"/>
  <c r="E250" i="70"/>
  <c r="E251" i="70"/>
  <c r="E255" i="70"/>
  <c r="E259" i="70"/>
  <c r="E263" i="70"/>
  <c r="E267" i="70"/>
  <c r="E5" i="70"/>
  <c r="E22" i="38"/>
  <c r="E210" i="71" s="1"/>
  <c r="E321" i="70"/>
  <c r="E148" i="70"/>
  <c r="E80" i="70"/>
  <c r="E84" i="70"/>
  <c r="E88" i="70"/>
  <c r="E92" i="70"/>
  <c r="E96" i="70"/>
  <c r="E322" i="70"/>
  <c r="E318" i="70"/>
  <c r="E147" i="70"/>
  <c r="E79" i="70"/>
  <c r="E83" i="70"/>
  <c r="E87" i="70"/>
  <c r="E91" i="70"/>
  <c r="E95" i="70"/>
  <c r="E323" i="70"/>
  <c r="E319" i="70"/>
  <c r="E150" i="70"/>
  <c r="E82" i="70"/>
  <c r="E90" i="70"/>
  <c r="E149" i="70"/>
  <c r="E85" i="70"/>
  <c r="E93" i="70"/>
  <c r="E320" i="70"/>
  <c r="E146" i="70"/>
  <c r="E78" i="70"/>
  <c r="E86" i="70"/>
  <c r="E94" i="70"/>
  <c r="E145" i="70"/>
  <c r="E81" i="70"/>
  <c r="E89" i="70"/>
  <c r="E89" i="30"/>
  <c r="E90" i="30"/>
  <c r="E91" i="30"/>
  <c r="E92" i="30"/>
  <c r="E119" i="30"/>
  <c r="E120" i="30"/>
  <c r="E117" i="30"/>
  <c r="E116" i="30"/>
  <c r="E118" i="30"/>
  <c r="E145" i="30"/>
  <c r="E144" i="30"/>
  <c r="E96" i="30"/>
  <c r="E95" i="30"/>
  <c r="E97" i="30"/>
  <c r="E98" i="30"/>
  <c r="E99" i="30"/>
  <c r="E127" i="30"/>
  <c r="E124" i="30"/>
  <c r="E123" i="30"/>
  <c r="E125" i="30"/>
  <c r="E126" i="30"/>
  <c r="E149" i="30"/>
  <c r="E148" i="30"/>
  <c r="E131" i="30"/>
  <c r="E130" i="30"/>
  <c r="E132" i="30"/>
  <c r="E133" i="30"/>
  <c r="E134" i="30"/>
  <c r="E85" i="30"/>
  <c r="E86" i="30"/>
  <c r="E84" i="30"/>
  <c r="E111" i="30"/>
  <c r="E112" i="30"/>
  <c r="E113" i="30"/>
  <c r="E110" i="30"/>
  <c r="E109" i="30"/>
  <c r="E139" i="30"/>
  <c r="E140" i="30"/>
  <c r="E141" i="30"/>
  <c r="E138" i="30"/>
  <c r="E137" i="30"/>
  <c r="E106" i="30"/>
  <c r="E103" i="30"/>
  <c r="E102" i="30"/>
  <c r="E104" i="30"/>
  <c r="E105" i="30"/>
  <c r="E79" i="30"/>
  <c r="E81" i="30"/>
  <c r="E78" i="30"/>
  <c r="E80" i="30"/>
  <c r="D1001" i="46"/>
  <c r="D983" i="46"/>
  <c r="D973" i="46"/>
  <c r="D2034" i="46"/>
  <c r="D2024" i="46"/>
  <c r="D146" i="38" l="1"/>
  <c r="D480" i="38"/>
  <c r="D346" i="38"/>
  <c r="D48" i="38"/>
  <c r="D413" i="38"/>
  <c r="D279" i="38"/>
  <c r="D70" i="38"/>
  <c r="D336" i="38"/>
  <c r="D470" i="38"/>
  <c r="D124" i="38"/>
  <c r="D422" i="38"/>
  <c r="D288" i="38"/>
  <c r="D60" i="38"/>
  <c r="D442" i="38"/>
  <c r="D308" i="38"/>
  <c r="Q33" i="66"/>
  <c r="G33" i="66"/>
  <c r="Q33" i="65"/>
  <c r="G33" i="65"/>
  <c r="V30" i="57"/>
  <c r="V29" i="57"/>
  <c r="V18" i="57"/>
  <c r="V17" i="57"/>
  <c r="L616" i="30" l="1"/>
  <c r="L617" i="30"/>
  <c r="L618" i="30"/>
  <c r="L619" i="30"/>
  <c r="L620" i="30"/>
  <c r="L621" i="30"/>
  <c r="L622" i="30"/>
  <c r="L623" i="30"/>
  <c r="L624" i="30"/>
  <c r="L625" i="30"/>
  <c r="K617" i="30"/>
  <c r="K618" i="30"/>
  <c r="K619" i="30"/>
  <c r="K620" i="30"/>
  <c r="K621" i="30"/>
  <c r="K622" i="30"/>
  <c r="K623" i="30"/>
  <c r="K624" i="30"/>
  <c r="K625" i="30"/>
  <c r="K616" i="30"/>
  <c r="D617" i="30"/>
  <c r="D616" i="30"/>
  <c r="L611" i="30"/>
  <c r="K611" i="30"/>
  <c r="L610" i="30"/>
  <c r="K610" i="30"/>
  <c r="L609" i="30"/>
  <c r="K609" i="30"/>
  <c r="L608" i="30"/>
  <c r="K608" i="30"/>
  <c r="L607" i="30"/>
  <c r="K607" i="30"/>
  <c r="L606" i="30"/>
  <c r="K606" i="30"/>
  <c r="L605" i="30"/>
  <c r="K605" i="30"/>
  <c r="L604" i="30"/>
  <c r="K604" i="30"/>
  <c r="L603" i="30"/>
  <c r="K603" i="30"/>
  <c r="D603" i="30"/>
  <c r="L602" i="30"/>
  <c r="K602" i="30"/>
  <c r="D602" i="30"/>
  <c r="K597" i="30"/>
  <c r="L597" i="30"/>
  <c r="L596" i="30"/>
  <c r="K596" i="30"/>
  <c r="D597" i="30"/>
  <c r="D596" i="30"/>
  <c r="L541" i="30"/>
  <c r="K541" i="30"/>
  <c r="L540" i="30"/>
  <c r="K540" i="30"/>
  <c r="L521" i="30"/>
  <c r="L520" i="30"/>
  <c r="L496" i="30"/>
  <c r="K496" i="30"/>
  <c r="L495" i="30"/>
  <c r="K495" i="30"/>
  <c r="L494" i="30"/>
  <c r="K494" i="30"/>
  <c r="L493" i="30"/>
  <c r="K493" i="30"/>
  <c r="L487" i="30"/>
  <c r="K487" i="30"/>
  <c r="L486" i="30"/>
  <c r="K486" i="30"/>
  <c r="L485" i="30"/>
  <c r="K485" i="30"/>
  <c r="L484" i="30"/>
  <c r="K484" i="30"/>
  <c r="L479" i="30"/>
  <c r="K479" i="30"/>
  <c r="L478" i="30"/>
  <c r="K478" i="30"/>
  <c r="L477" i="30"/>
  <c r="K477" i="30"/>
  <c r="L471" i="30"/>
  <c r="K471" i="30"/>
  <c r="L470" i="30"/>
  <c r="K470" i="30"/>
  <c r="L469" i="30"/>
  <c r="K469" i="30"/>
  <c r="L468" i="30"/>
  <c r="K468" i="30"/>
  <c r="L463" i="30"/>
  <c r="K463" i="30"/>
  <c r="L462" i="30"/>
  <c r="K462" i="30"/>
  <c r="L461" i="30"/>
  <c r="K461" i="30"/>
  <c r="L433" i="30"/>
  <c r="K433" i="30"/>
  <c r="L432" i="30"/>
  <c r="K432" i="30"/>
  <c r="L431" i="30"/>
  <c r="K431" i="30"/>
  <c r="L430" i="30"/>
  <c r="K430" i="30"/>
  <c r="L424" i="30"/>
  <c r="K424" i="30"/>
  <c r="L423" i="30"/>
  <c r="K423" i="30"/>
  <c r="L422" i="30"/>
  <c r="K422" i="30"/>
  <c r="L411" i="30"/>
  <c r="K411" i="30"/>
  <c r="L402" i="30"/>
  <c r="K402" i="30"/>
  <c r="L381" i="30"/>
  <c r="K381" i="30"/>
  <c r="L372" i="30"/>
  <c r="K372" i="30"/>
  <c r="L336" i="30"/>
  <c r="K336" i="30"/>
  <c r="L335" i="30"/>
  <c r="K335" i="30"/>
  <c r="L334" i="30"/>
  <c r="K334" i="30"/>
  <c r="L333" i="30"/>
  <c r="K333" i="30"/>
  <c r="L327" i="30"/>
  <c r="K327" i="30"/>
  <c r="L326" i="30"/>
  <c r="K326" i="30"/>
  <c r="L325" i="30"/>
  <c r="K325" i="30"/>
  <c r="L324" i="30"/>
  <c r="K324" i="30"/>
  <c r="L319" i="30"/>
  <c r="K319" i="30"/>
  <c r="L318" i="30"/>
  <c r="K318" i="30"/>
  <c r="L317" i="30"/>
  <c r="K317" i="30"/>
  <c r="L311" i="30"/>
  <c r="K311" i="30"/>
  <c r="L310" i="30"/>
  <c r="K310" i="30"/>
  <c r="L309" i="30"/>
  <c r="K309" i="30"/>
  <c r="L308" i="30"/>
  <c r="K308" i="30"/>
  <c r="L303" i="30"/>
  <c r="K303" i="30"/>
  <c r="L302" i="30"/>
  <c r="K302" i="30"/>
  <c r="L301" i="30"/>
  <c r="K301" i="30"/>
  <c r="L273" i="30"/>
  <c r="K273" i="30"/>
  <c r="L272" i="30"/>
  <c r="K272" i="30"/>
  <c r="L271" i="30"/>
  <c r="K271" i="30"/>
  <c r="L270" i="30"/>
  <c r="K270" i="30"/>
  <c r="L264" i="30"/>
  <c r="K264" i="30"/>
  <c r="L263" i="30"/>
  <c r="K263" i="30"/>
  <c r="L262" i="30"/>
  <c r="K262" i="30"/>
  <c r="L251" i="30"/>
  <c r="K251" i="30"/>
  <c r="L242" i="30"/>
  <c r="K242" i="30"/>
  <c r="L221" i="30"/>
  <c r="K221" i="30"/>
  <c r="L212" i="30"/>
  <c r="K212" i="30"/>
  <c r="K521" i="30"/>
  <c r="K520" i="30"/>
  <c r="L590" i="30"/>
  <c r="K590" i="30"/>
  <c r="L589" i="30"/>
  <c r="K589" i="30"/>
  <c r="L588" i="30"/>
  <c r="K588" i="30"/>
  <c r="L587" i="30"/>
  <c r="K587" i="30"/>
  <c r="L586" i="30"/>
  <c r="K586" i="30"/>
  <c r="L585" i="30"/>
  <c r="K585" i="30"/>
  <c r="L584" i="30"/>
  <c r="K584" i="30"/>
  <c r="L583" i="30"/>
  <c r="K583" i="30"/>
  <c r="L582" i="30"/>
  <c r="K582" i="30"/>
  <c r="D582" i="30"/>
  <c r="L581" i="30"/>
  <c r="K581" i="30"/>
  <c r="D581" i="30"/>
  <c r="L574" i="30"/>
  <c r="K574" i="30"/>
  <c r="L573" i="30"/>
  <c r="K573" i="30"/>
  <c r="L572" i="30"/>
  <c r="K572" i="30"/>
  <c r="L571" i="30"/>
  <c r="K571" i="30"/>
  <c r="L570" i="30"/>
  <c r="K570" i="30"/>
  <c r="L569" i="30"/>
  <c r="K569" i="30"/>
  <c r="L568" i="30"/>
  <c r="K568" i="30"/>
  <c r="L567" i="30"/>
  <c r="K567" i="30"/>
  <c r="L566" i="30"/>
  <c r="K566" i="30"/>
  <c r="L565" i="30"/>
  <c r="K565" i="30"/>
  <c r="L564" i="30"/>
  <c r="K564" i="30"/>
  <c r="L563" i="30"/>
  <c r="K563" i="30"/>
  <c r="D566" i="30"/>
  <c r="D565" i="30"/>
  <c r="D564" i="30"/>
  <c r="D563" i="30"/>
  <c r="L558" i="30"/>
  <c r="K558" i="30"/>
  <c r="L557" i="30"/>
  <c r="K557" i="30"/>
  <c r="L556" i="30"/>
  <c r="K556" i="30"/>
  <c r="L555" i="30"/>
  <c r="K555" i="30"/>
  <c r="L554" i="30"/>
  <c r="K554" i="30"/>
  <c r="L553" i="30"/>
  <c r="K553" i="30"/>
  <c r="L552" i="30"/>
  <c r="K552" i="30"/>
  <c r="L551" i="30"/>
  <c r="K551" i="30"/>
  <c r="L550" i="30"/>
  <c r="K550" i="30"/>
  <c r="D550" i="30"/>
  <c r="L549" i="30"/>
  <c r="K549" i="30"/>
  <c r="D549" i="30"/>
  <c r="L548" i="30"/>
  <c r="K548" i="30"/>
  <c r="D548" i="30"/>
  <c r="L547" i="30"/>
  <c r="K547" i="30"/>
  <c r="D547" i="30"/>
  <c r="D541" i="30"/>
  <c r="D540" i="30"/>
  <c r="L537" i="30"/>
  <c r="K537" i="30"/>
  <c r="L536" i="30"/>
  <c r="K536" i="30"/>
  <c r="L535" i="30"/>
  <c r="K535" i="30"/>
  <c r="L534" i="30"/>
  <c r="K534" i="30"/>
  <c r="L533" i="30"/>
  <c r="K533" i="30"/>
  <c r="L532" i="30"/>
  <c r="K532" i="30"/>
  <c r="L531" i="30"/>
  <c r="K531" i="30"/>
  <c r="L530" i="30"/>
  <c r="K530" i="30"/>
  <c r="L529" i="30"/>
  <c r="K529" i="30"/>
  <c r="D529" i="30"/>
  <c r="L528" i="30"/>
  <c r="K528" i="30"/>
  <c r="D528" i="30"/>
  <c r="L526" i="30"/>
  <c r="L527" i="30"/>
  <c r="K527" i="30"/>
  <c r="K526" i="30"/>
  <c r="D527" i="30"/>
  <c r="D526" i="30"/>
  <c r="D521" i="30"/>
  <c r="D520" i="30"/>
  <c r="K15" i="57"/>
  <c r="E45" i="70" s="1"/>
  <c r="E134" i="58" l="1"/>
  <c r="E13" i="71"/>
  <c r="D48" i="69"/>
  <c r="C48" i="69"/>
  <c r="D47" i="69"/>
  <c r="C47" i="69"/>
  <c r="E12" i="69"/>
  <c r="E10" i="69"/>
  <c r="D51" i="69" s="1"/>
  <c r="E43" i="69"/>
  <c r="E29" i="69" s="1"/>
  <c r="E31" i="69"/>
  <c r="E52" i="69" s="1"/>
  <c r="E47" i="69" l="1"/>
  <c r="C51" i="69" s="1"/>
  <c r="E51" i="69"/>
  <c r="D52" i="69"/>
  <c r="E48" i="69"/>
  <c r="C52" i="69" s="1"/>
  <c r="E519" i="30"/>
  <c r="E518" i="30"/>
  <c r="E525" i="30"/>
  <c r="E524" i="30"/>
  <c r="D185" i="30"/>
  <c r="D184" i="30"/>
  <c r="D182" i="30"/>
  <c r="D181" i="30"/>
  <c r="D175" i="30"/>
  <c r="D170" i="30"/>
  <c r="D167" i="30"/>
  <c r="D166" i="30"/>
  <c r="P216" i="29" l="1"/>
  <c r="P116" i="29"/>
  <c r="G2080" i="46"/>
  <c r="F2080" i="46"/>
  <c r="E2080" i="46"/>
  <c r="G2072" i="46"/>
  <c r="F2072" i="46"/>
  <c r="E2072" i="46"/>
  <c r="G2064" i="46"/>
  <c r="F2064" i="46"/>
  <c r="E2064" i="46"/>
  <c r="G2056" i="46"/>
  <c r="F2056" i="46"/>
  <c r="E2056" i="46"/>
  <c r="G1029" i="46"/>
  <c r="F1029" i="46"/>
  <c r="E1029" i="46"/>
  <c r="G1021" i="46"/>
  <c r="F1021" i="46"/>
  <c r="E1021" i="46"/>
  <c r="G1013" i="46"/>
  <c r="F1013" i="46"/>
  <c r="E1013" i="46"/>
  <c r="F1004" i="46"/>
  <c r="G1004" i="46"/>
  <c r="E1004" i="46"/>
  <c r="B20" i="30"/>
  <c r="F44" i="31" l="1"/>
  <c r="L44" i="32" s="1"/>
  <c r="L44" i="31" s="1"/>
  <c r="F45" i="31"/>
  <c r="L45" i="32" s="1"/>
  <c r="L45" i="31" s="1"/>
  <c r="F246" i="31"/>
  <c r="L246" i="32" s="1"/>
  <c r="L246" i="31" s="1"/>
  <c r="F247" i="31"/>
  <c r="L247" i="32" s="1"/>
  <c r="L247" i="31" s="1"/>
  <c r="L512" i="30"/>
  <c r="K512" i="30"/>
  <c r="D512" i="30"/>
  <c r="L511" i="30"/>
  <c r="K511" i="30"/>
  <c r="D511" i="30"/>
  <c r="L510" i="30"/>
  <c r="K510" i="30"/>
  <c r="L509" i="30"/>
  <c r="K509" i="30"/>
  <c r="L508" i="30"/>
  <c r="K508" i="30"/>
  <c r="L507" i="30"/>
  <c r="K507" i="30"/>
  <c r="L506" i="30"/>
  <c r="K506" i="30"/>
  <c r="D506" i="30"/>
  <c r="L505" i="30"/>
  <c r="K505" i="30"/>
  <c r="D505" i="30"/>
  <c r="L504" i="30"/>
  <c r="K504" i="30"/>
  <c r="D504" i="30"/>
  <c r="L501" i="30"/>
  <c r="K501" i="30"/>
  <c r="D501" i="30"/>
  <c r="L500" i="30"/>
  <c r="K500" i="30"/>
  <c r="L499" i="30"/>
  <c r="K499" i="30"/>
  <c r="L498" i="30"/>
  <c r="K498" i="30"/>
  <c r="L497" i="30"/>
  <c r="K497" i="30"/>
  <c r="L492" i="30"/>
  <c r="K492" i="30"/>
  <c r="D492" i="30"/>
  <c r="L491" i="30"/>
  <c r="K491" i="30"/>
  <c r="D491" i="30"/>
  <c r="L488" i="30"/>
  <c r="K488" i="30"/>
  <c r="D488" i="30"/>
  <c r="L483" i="30"/>
  <c r="K483" i="30"/>
  <c r="D483" i="30"/>
  <c r="L482" i="30"/>
  <c r="K482" i="30"/>
  <c r="D482" i="30"/>
  <c r="L476" i="30"/>
  <c r="K476" i="30"/>
  <c r="D476" i="30"/>
  <c r="L475" i="30"/>
  <c r="K475" i="30"/>
  <c r="L474" i="30"/>
  <c r="K474" i="30"/>
  <c r="L473" i="30"/>
  <c r="K473" i="30"/>
  <c r="L472" i="30"/>
  <c r="K472" i="30"/>
  <c r="L467" i="30"/>
  <c r="K467" i="30"/>
  <c r="D467" i="30"/>
  <c r="L466" i="30"/>
  <c r="K466" i="30"/>
  <c r="D466" i="30"/>
  <c r="L460" i="30"/>
  <c r="K460" i="30"/>
  <c r="D460" i="30"/>
  <c r="L459" i="30"/>
  <c r="K459" i="30"/>
  <c r="L458" i="30"/>
  <c r="K458" i="30"/>
  <c r="L457" i="30"/>
  <c r="K457" i="30"/>
  <c r="L456" i="30"/>
  <c r="K456" i="30"/>
  <c r="L455" i="30"/>
  <c r="K455" i="30"/>
  <c r="D455" i="30"/>
  <c r="L454" i="30"/>
  <c r="K454" i="30"/>
  <c r="D454" i="30"/>
  <c r="L453" i="30"/>
  <c r="K453" i="30"/>
  <c r="D453" i="30"/>
  <c r="L450" i="30"/>
  <c r="K450" i="30"/>
  <c r="D450" i="30"/>
  <c r="L449" i="30"/>
  <c r="K449" i="30"/>
  <c r="D449" i="30"/>
  <c r="L446" i="30"/>
  <c r="K446" i="30"/>
  <c r="D446" i="30"/>
  <c r="L445" i="30"/>
  <c r="K445" i="30"/>
  <c r="D445" i="30"/>
  <c r="L442" i="30"/>
  <c r="K442" i="30"/>
  <c r="D442" i="30"/>
  <c r="L441" i="30"/>
  <c r="K441" i="30"/>
  <c r="D441" i="30"/>
  <c r="L438" i="30"/>
  <c r="K438" i="30"/>
  <c r="D438" i="30"/>
  <c r="L437" i="30"/>
  <c r="K437" i="30"/>
  <c r="D437" i="30"/>
  <c r="L434" i="30"/>
  <c r="K434" i="30"/>
  <c r="D434" i="30"/>
  <c r="L429" i="30"/>
  <c r="K429" i="30"/>
  <c r="D429" i="30"/>
  <c r="L428" i="30"/>
  <c r="K428" i="30"/>
  <c r="D428" i="30"/>
  <c r="L427" i="30"/>
  <c r="K427" i="30"/>
  <c r="D427" i="30"/>
  <c r="L421" i="30"/>
  <c r="K421" i="30"/>
  <c r="D421" i="30"/>
  <c r="L420" i="30"/>
  <c r="K420" i="30"/>
  <c r="L419" i="30"/>
  <c r="K419" i="30"/>
  <c r="L418" i="30"/>
  <c r="K418" i="30"/>
  <c r="D418" i="30"/>
  <c r="L417" i="30"/>
  <c r="K417" i="30"/>
  <c r="D417" i="30"/>
  <c r="L416" i="30"/>
  <c r="K416" i="30"/>
  <c r="D416" i="30"/>
  <c r="L413" i="30"/>
  <c r="K413" i="30"/>
  <c r="D413" i="30"/>
  <c r="L412" i="30"/>
  <c r="K412" i="30"/>
  <c r="D412" i="30"/>
  <c r="D411" i="30"/>
  <c r="L410" i="30"/>
  <c r="K410" i="30"/>
  <c r="D410" i="30"/>
  <c r="L409" i="30"/>
  <c r="K409" i="30"/>
  <c r="D409" i="30"/>
  <c r="L408" i="30"/>
  <c r="K408" i="30"/>
  <c r="D408" i="30"/>
  <c r="L407" i="30"/>
  <c r="K407" i="30"/>
  <c r="D407" i="30"/>
  <c r="L404" i="30"/>
  <c r="K404" i="30"/>
  <c r="D404" i="30"/>
  <c r="L403" i="30"/>
  <c r="K403" i="30"/>
  <c r="D403" i="30"/>
  <c r="D402" i="30"/>
  <c r="L401" i="30"/>
  <c r="K401" i="30"/>
  <c r="D401" i="30"/>
  <c r="L400" i="30"/>
  <c r="K400" i="30"/>
  <c r="D400" i="30"/>
  <c r="L399" i="30"/>
  <c r="K399" i="30"/>
  <c r="D399" i="30"/>
  <c r="L398" i="30"/>
  <c r="K398" i="30"/>
  <c r="D398" i="30"/>
  <c r="D395" i="30"/>
  <c r="L394" i="30"/>
  <c r="K394" i="30"/>
  <c r="D394" i="30"/>
  <c r="L391" i="30"/>
  <c r="K391" i="30"/>
  <c r="D391" i="30"/>
  <c r="L390" i="30"/>
  <c r="K390" i="30"/>
  <c r="D390" i="30"/>
  <c r="L389" i="30"/>
  <c r="K389" i="30"/>
  <c r="D389" i="30"/>
  <c r="L386" i="30"/>
  <c r="K386" i="30"/>
  <c r="D386" i="30"/>
  <c r="L385" i="30"/>
  <c r="K385" i="30"/>
  <c r="D385" i="30"/>
  <c r="L384" i="30"/>
  <c r="K384" i="30"/>
  <c r="D384" i="30"/>
  <c r="D381" i="30"/>
  <c r="L380" i="30"/>
  <c r="K380" i="30"/>
  <c r="D380" i="30"/>
  <c r="L379" i="30"/>
  <c r="K379" i="30"/>
  <c r="D379" i="30"/>
  <c r="L378" i="30"/>
  <c r="K378" i="30"/>
  <c r="D378" i="30"/>
  <c r="L377" i="30"/>
  <c r="K377" i="30"/>
  <c r="D377" i="30"/>
  <c r="L376" i="30"/>
  <c r="K376" i="30"/>
  <c r="D376" i="30"/>
  <c r="L375" i="30"/>
  <c r="K375" i="30"/>
  <c r="D375" i="30"/>
  <c r="D372" i="30"/>
  <c r="L371" i="30"/>
  <c r="K371" i="30"/>
  <c r="D371" i="30"/>
  <c r="L370" i="30"/>
  <c r="K370" i="30"/>
  <c r="D370" i="30"/>
  <c r="L369" i="30"/>
  <c r="K369" i="30"/>
  <c r="D369" i="30"/>
  <c r="L368" i="30"/>
  <c r="K368" i="30"/>
  <c r="D368" i="30"/>
  <c r="L367" i="30"/>
  <c r="K367" i="30"/>
  <c r="D367" i="30"/>
  <c r="L366" i="30"/>
  <c r="K366" i="30"/>
  <c r="D366" i="30"/>
  <c r="L363" i="30"/>
  <c r="K363" i="30"/>
  <c r="D363" i="30"/>
  <c r="L362" i="30"/>
  <c r="K362" i="30"/>
  <c r="D362" i="30"/>
  <c r="L361" i="30"/>
  <c r="K361" i="30"/>
  <c r="D361" i="30"/>
  <c r="L360" i="30"/>
  <c r="K360" i="30"/>
  <c r="D360" i="30"/>
  <c r="L357" i="30"/>
  <c r="K357" i="30"/>
  <c r="D357" i="30"/>
  <c r="L356" i="30"/>
  <c r="K356" i="30"/>
  <c r="D356" i="30"/>
  <c r="L355" i="30"/>
  <c r="K355" i="30"/>
  <c r="D355" i="30"/>
  <c r="S215" i="29"/>
  <c r="Q215" i="29"/>
  <c r="E215" i="29" s="1"/>
  <c r="P215" i="29"/>
  <c r="S214" i="29"/>
  <c r="Q214" i="29"/>
  <c r="E214" i="29" s="1"/>
  <c r="P214" i="29"/>
  <c r="S213" i="29"/>
  <c r="Q213" i="29"/>
  <c r="E213" i="29" s="1"/>
  <c r="P213" i="29"/>
  <c r="S212" i="29"/>
  <c r="Q212" i="29"/>
  <c r="E212" i="29" s="1"/>
  <c r="P212" i="29"/>
  <c r="S211" i="29"/>
  <c r="Q211" i="29"/>
  <c r="E211" i="29" s="1"/>
  <c r="P211" i="29"/>
  <c r="S210" i="29"/>
  <c r="P210" i="29"/>
  <c r="S209" i="29"/>
  <c r="Q209" i="29"/>
  <c r="E209" i="29" s="1"/>
  <c r="P209" i="29"/>
  <c r="S208" i="29"/>
  <c r="Q208" i="29"/>
  <c r="E208" i="29" s="1"/>
  <c r="P208" i="29"/>
  <c r="S207" i="29"/>
  <c r="Q207" i="29"/>
  <c r="E207" i="29" s="1"/>
  <c r="P207" i="29"/>
  <c r="S206" i="29"/>
  <c r="Q206" i="29"/>
  <c r="E206" i="29" s="1"/>
  <c r="P206" i="29"/>
  <c r="S205" i="29"/>
  <c r="Q205" i="29"/>
  <c r="E205" i="29" s="1"/>
  <c r="P205" i="29"/>
  <c r="S204" i="29"/>
  <c r="Q204" i="29"/>
  <c r="E204" i="29" s="1"/>
  <c r="P204" i="29"/>
  <c r="S203" i="29"/>
  <c r="R203" i="29"/>
  <c r="Q203" i="29"/>
  <c r="E203" i="29" s="1"/>
  <c r="P203" i="29"/>
  <c r="S202" i="29"/>
  <c r="R202" i="29"/>
  <c r="Q202" i="29"/>
  <c r="E202" i="29" s="1"/>
  <c r="P202" i="29"/>
  <c r="S201" i="29"/>
  <c r="Q201" i="29"/>
  <c r="E201" i="29" s="1"/>
  <c r="P201" i="29"/>
  <c r="S200" i="29"/>
  <c r="Q200" i="29"/>
  <c r="E200" i="29" s="1"/>
  <c r="P200" i="29"/>
  <c r="S199" i="29"/>
  <c r="Q199" i="29"/>
  <c r="E199" i="29" s="1"/>
  <c r="P199" i="29"/>
  <c r="S198" i="29"/>
  <c r="Q198" i="29"/>
  <c r="E198" i="29" s="1"/>
  <c r="P198" i="29"/>
  <c r="S197" i="29"/>
  <c r="P197" i="29"/>
  <c r="S196" i="29"/>
  <c r="Q196" i="29"/>
  <c r="E196" i="29" s="1"/>
  <c r="P196" i="29"/>
  <c r="S195" i="29"/>
  <c r="Q195" i="29"/>
  <c r="E195" i="29" s="1"/>
  <c r="P195" i="29"/>
  <c r="S194" i="29"/>
  <c r="Q194" i="29"/>
  <c r="E194" i="29" s="1"/>
  <c r="P194" i="29"/>
  <c r="S193" i="29"/>
  <c r="Q193" i="29"/>
  <c r="E193" i="29" s="1"/>
  <c r="P193" i="29"/>
  <c r="S192" i="29"/>
  <c r="Q192" i="29"/>
  <c r="E192" i="29" s="1"/>
  <c r="P192" i="29"/>
  <c r="B71" i="30"/>
  <c r="B67" i="30"/>
  <c r="B63" i="30"/>
  <c r="D61" i="30"/>
  <c r="B58" i="30"/>
  <c r="D56" i="30"/>
  <c r="B53" i="30"/>
  <c r="D51" i="30"/>
  <c r="D32" i="30"/>
  <c r="B49" i="30"/>
  <c r="D47" i="30"/>
  <c r="D42" i="30"/>
  <c r="D23" i="30"/>
  <c r="S115" i="29"/>
  <c r="Q115" i="29"/>
  <c r="E115" i="29" s="1"/>
  <c r="P115" i="29"/>
  <c r="S114" i="29"/>
  <c r="Q114" i="29"/>
  <c r="E114" i="29" s="1"/>
  <c r="P114" i="29"/>
  <c r="S113" i="29"/>
  <c r="Q113" i="29"/>
  <c r="E113" i="29" s="1"/>
  <c r="P113" i="29"/>
  <c r="S112" i="29"/>
  <c r="Q112" i="29"/>
  <c r="E112" i="29" s="1"/>
  <c r="P112" i="29"/>
  <c r="S111" i="29"/>
  <c r="Q111" i="29"/>
  <c r="E111" i="29" s="1"/>
  <c r="P111" i="29"/>
  <c r="S110" i="29"/>
  <c r="P110" i="29"/>
  <c r="S109" i="29"/>
  <c r="Q109" i="29"/>
  <c r="E109" i="29" s="1"/>
  <c r="P109" i="29"/>
  <c r="S108" i="29"/>
  <c r="Q108" i="29"/>
  <c r="E108" i="29" s="1"/>
  <c r="P108" i="29"/>
  <c r="S107" i="29"/>
  <c r="Q107" i="29"/>
  <c r="E107" i="29" s="1"/>
  <c r="P107" i="29"/>
  <c r="S106" i="29"/>
  <c r="P106" i="29"/>
  <c r="S105" i="29"/>
  <c r="Q105" i="29"/>
  <c r="E105" i="29" s="1"/>
  <c r="P105" i="29"/>
  <c r="S104" i="29"/>
  <c r="Q104" i="29"/>
  <c r="E104" i="29" s="1"/>
  <c r="P104" i="29"/>
  <c r="S103" i="29"/>
  <c r="R103" i="29"/>
  <c r="Q103" i="29"/>
  <c r="E103" i="29" s="1"/>
  <c r="P103" i="29"/>
  <c r="S102" i="29"/>
  <c r="R102" i="29"/>
  <c r="Q102" i="29"/>
  <c r="E102" i="29" s="1"/>
  <c r="P102" i="29"/>
  <c r="S101" i="29"/>
  <c r="R101" i="29"/>
  <c r="Q101" i="29"/>
  <c r="E101" i="29" s="1"/>
  <c r="P101" i="29"/>
  <c r="S100" i="29"/>
  <c r="R100" i="29"/>
  <c r="Q100" i="29"/>
  <c r="E100" i="29" s="1"/>
  <c r="P100" i="29"/>
  <c r="S99" i="29"/>
  <c r="R99" i="29"/>
  <c r="Q99" i="29"/>
  <c r="E99" i="29" s="1"/>
  <c r="P99" i="29"/>
  <c r="S98" i="29"/>
  <c r="R98" i="29"/>
  <c r="Q98" i="29"/>
  <c r="E98" i="29" s="1"/>
  <c r="P98" i="29"/>
  <c r="S97" i="29"/>
  <c r="P97" i="29"/>
  <c r="S96" i="29"/>
  <c r="P96" i="29"/>
  <c r="S95" i="29"/>
  <c r="R95" i="29"/>
  <c r="Q95" i="29"/>
  <c r="E95" i="29" s="1"/>
  <c r="P95" i="29"/>
  <c r="S94" i="29"/>
  <c r="R94" i="29"/>
  <c r="Q94" i="29"/>
  <c r="E94" i="29" s="1"/>
  <c r="P94" i="29"/>
  <c r="S93" i="29"/>
  <c r="R93" i="29"/>
  <c r="Q93" i="29"/>
  <c r="E93" i="29" s="1"/>
  <c r="P93" i="29"/>
  <c r="S92" i="29"/>
  <c r="P92" i="29"/>
  <c r="B44" i="30"/>
  <c r="B39" i="30"/>
  <c r="K94" i="29" l="1"/>
  <c r="K95" i="29"/>
  <c r="K98" i="29"/>
  <c r="K99" i="29"/>
  <c r="K101" i="29"/>
  <c r="K102" i="29"/>
  <c r="K202" i="29"/>
  <c r="K203" i="29"/>
  <c r="K103" i="29"/>
  <c r="K100" i="29"/>
  <c r="K93" i="29"/>
  <c r="B34" i="30"/>
  <c r="B30" i="30"/>
  <c r="B25" i="30"/>
  <c r="D37" i="30" l="1"/>
  <c r="D28" i="30"/>
  <c r="G90" i="47" l="1"/>
  <c r="F90" i="47"/>
  <c r="E90" i="47"/>
  <c r="G89" i="47"/>
  <c r="F89" i="47"/>
  <c r="E89" i="47"/>
  <c r="G88" i="47"/>
  <c r="F88" i="47"/>
  <c r="E88" i="47"/>
  <c r="G83" i="47"/>
  <c r="F83" i="47"/>
  <c r="E83" i="47"/>
  <c r="G82" i="47"/>
  <c r="F82" i="47"/>
  <c r="E82" i="47"/>
  <c r="G81" i="47"/>
  <c r="F81" i="47"/>
  <c r="E81" i="47"/>
  <c r="G76" i="47"/>
  <c r="F76" i="47"/>
  <c r="E76" i="47"/>
  <c r="G75" i="47"/>
  <c r="F75" i="47"/>
  <c r="E75" i="47"/>
  <c r="G74" i="47"/>
  <c r="F74" i="47"/>
  <c r="E74" i="47"/>
  <c r="G23" i="47"/>
  <c r="F23" i="47"/>
  <c r="E23" i="47"/>
  <c r="G22" i="47"/>
  <c r="F22" i="47"/>
  <c r="E22" i="47"/>
  <c r="G21" i="47"/>
  <c r="F21" i="47"/>
  <c r="E21" i="47"/>
  <c r="G16" i="47"/>
  <c r="F16" i="47"/>
  <c r="E16" i="47"/>
  <c r="G15" i="47"/>
  <c r="F15" i="47"/>
  <c r="E15" i="47"/>
  <c r="G14" i="47"/>
  <c r="F14" i="47"/>
  <c r="E14" i="47"/>
  <c r="G9" i="47"/>
  <c r="F9" i="47"/>
  <c r="E9" i="47"/>
  <c r="G8" i="47"/>
  <c r="F8" i="47"/>
  <c r="E8" i="47"/>
  <c r="G7" i="47"/>
  <c r="F7" i="47"/>
  <c r="E7" i="47"/>
  <c r="S191" i="29"/>
  <c r="G2083" i="46" s="1"/>
  <c r="R191" i="29"/>
  <c r="F2083" i="46" s="1"/>
  <c r="Q191" i="29"/>
  <c r="E191" i="29" s="1"/>
  <c r="P191" i="29"/>
  <c r="S190" i="29"/>
  <c r="G2075" i="46" s="1"/>
  <c r="R190" i="29"/>
  <c r="F2075" i="46" s="1"/>
  <c r="Q190" i="29"/>
  <c r="E190" i="29" s="1"/>
  <c r="P190" i="29"/>
  <c r="S189" i="29"/>
  <c r="G2067" i="46" s="1"/>
  <c r="R189" i="29"/>
  <c r="F2067" i="46" s="1"/>
  <c r="Q189" i="29"/>
  <c r="E189" i="29" s="1"/>
  <c r="P189" i="29"/>
  <c r="S188" i="29"/>
  <c r="G2059" i="46" s="1"/>
  <c r="R188" i="29"/>
  <c r="F2059" i="46" s="1"/>
  <c r="Q188" i="29"/>
  <c r="E188" i="29" s="1"/>
  <c r="P188" i="29"/>
  <c r="S91" i="29"/>
  <c r="G1032" i="46" s="1"/>
  <c r="R91" i="29"/>
  <c r="F1032" i="46" s="1"/>
  <c r="Q91" i="29"/>
  <c r="E91" i="29" s="1"/>
  <c r="P91" i="29"/>
  <c r="S90" i="29"/>
  <c r="G1024" i="46" s="1"/>
  <c r="R90" i="29"/>
  <c r="F1024" i="46" s="1"/>
  <c r="Q90" i="29"/>
  <c r="E90" i="29" s="1"/>
  <c r="P90" i="29"/>
  <c r="S89" i="29"/>
  <c r="G1016" i="46" s="1"/>
  <c r="R89" i="29"/>
  <c r="F1016" i="46" s="1"/>
  <c r="Q89" i="29"/>
  <c r="E89" i="29" s="1"/>
  <c r="P89" i="29"/>
  <c r="S88" i="29"/>
  <c r="G1007" i="46" s="1"/>
  <c r="R88" i="29"/>
  <c r="F1007" i="46" s="1"/>
  <c r="Q88" i="29"/>
  <c r="E88" i="29" s="1"/>
  <c r="P88" i="29"/>
  <c r="L352" i="30"/>
  <c r="K352" i="30"/>
  <c r="D352" i="30"/>
  <c r="S187" i="29"/>
  <c r="G229" i="31" s="1"/>
  <c r="M229" i="32" s="1"/>
  <c r="M229" i="31" s="1"/>
  <c r="P187" i="29"/>
  <c r="S186" i="29"/>
  <c r="G228" i="31" s="1"/>
  <c r="M228" i="32" s="1"/>
  <c r="M228" i="31" s="1"/>
  <c r="P186" i="29"/>
  <c r="S185" i="29"/>
  <c r="G227" i="31" s="1"/>
  <c r="M227" i="32" s="1"/>
  <c r="M227" i="31" s="1"/>
  <c r="P185" i="29"/>
  <c r="S87" i="29"/>
  <c r="G27" i="31" s="1"/>
  <c r="M27" i="32" s="1"/>
  <c r="M27" i="31" s="1"/>
  <c r="P87" i="29"/>
  <c r="S86" i="29"/>
  <c r="G26" i="31" s="1"/>
  <c r="M26" i="32" s="1"/>
  <c r="M26" i="31" s="1"/>
  <c r="P86" i="29"/>
  <c r="S85" i="29"/>
  <c r="G25" i="31" s="1"/>
  <c r="M25" i="32" s="1"/>
  <c r="M25" i="31" s="1"/>
  <c r="P85" i="29"/>
  <c r="D221" i="30"/>
  <c r="L220" i="30"/>
  <c r="K220" i="30"/>
  <c r="D220" i="30"/>
  <c r="L211" i="30"/>
  <c r="K211" i="30"/>
  <c r="D211" i="30"/>
  <c r="D212" i="30"/>
  <c r="L210" i="30"/>
  <c r="K210" i="30"/>
  <c r="D210" i="30"/>
  <c r="L219" i="30"/>
  <c r="K219" i="30"/>
  <c r="D219" i="30"/>
  <c r="E976" i="46"/>
  <c r="L203" i="30"/>
  <c r="K203" i="30"/>
  <c r="D203" i="30"/>
  <c r="L197" i="30"/>
  <c r="K197" i="30"/>
  <c r="D197" i="30"/>
  <c r="I9" i="47" l="1"/>
  <c r="I21" i="47"/>
  <c r="I75" i="47"/>
  <c r="I83" i="47"/>
  <c r="I8" i="47"/>
  <c r="I16" i="47"/>
  <c r="I74" i="47"/>
  <c r="I82" i="47"/>
  <c r="I90" i="47"/>
  <c r="I7" i="47"/>
  <c r="I15" i="47"/>
  <c r="I23" i="47"/>
  <c r="I81" i="47"/>
  <c r="I89" i="47"/>
  <c r="I14" i="47"/>
  <c r="I22" i="47"/>
  <c r="I76" i="47"/>
  <c r="I88" i="47"/>
  <c r="E1007" i="46"/>
  <c r="K88" i="29"/>
  <c r="K1007" i="46" s="1"/>
  <c r="E1016" i="46"/>
  <c r="K89" i="29"/>
  <c r="K1016" i="46" s="1"/>
  <c r="E1024" i="46"/>
  <c r="K90" i="29"/>
  <c r="K1024" i="46" s="1"/>
  <c r="E1032" i="46"/>
  <c r="K91" i="29"/>
  <c r="K1032" i="46" s="1"/>
  <c r="E2059" i="46"/>
  <c r="K188" i="29"/>
  <c r="K2059" i="46" s="1"/>
  <c r="E2067" i="46"/>
  <c r="K189" i="29"/>
  <c r="K2067" i="46" s="1"/>
  <c r="E2075" i="46"/>
  <c r="K190" i="29"/>
  <c r="K2075" i="46" s="1"/>
  <c r="E2083" i="46"/>
  <c r="K191" i="29"/>
  <c r="K2083" i="46" s="1"/>
  <c r="F78" i="47"/>
  <c r="F92" i="47"/>
  <c r="F85" i="47"/>
  <c r="G78" i="47"/>
  <c r="E85" i="47"/>
  <c r="E92" i="47"/>
  <c r="E78" i="47"/>
  <c r="G85" i="47"/>
  <c r="G92" i="47"/>
  <c r="F25" i="47"/>
  <c r="G25" i="47"/>
  <c r="E25" i="47"/>
  <c r="E18" i="47"/>
  <c r="G18" i="47"/>
  <c r="E11" i="47"/>
  <c r="F18" i="47"/>
  <c r="G11" i="47"/>
  <c r="F11" i="47"/>
  <c r="I92" i="47" l="1"/>
  <c r="I18" i="47"/>
  <c r="I85" i="47"/>
  <c r="I25" i="47"/>
  <c r="I11" i="47"/>
  <c r="I78" i="47"/>
  <c r="S184" i="29"/>
  <c r="R184" i="29"/>
  <c r="Q184" i="29"/>
  <c r="E184" i="29" s="1"/>
  <c r="P184" i="29"/>
  <c r="S183" i="29"/>
  <c r="R183" i="29"/>
  <c r="Q183" i="29"/>
  <c r="E183" i="29" s="1"/>
  <c r="P183" i="29"/>
  <c r="S182" i="29"/>
  <c r="R182" i="29"/>
  <c r="Q182" i="29"/>
  <c r="E182" i="29" s="1"/>
  <c r="P182" i="29"/>
  <c r="S181" i="29"/>
  <c r="R181" i="29"/>
  <c r="Q181" i="29"/>
  <c r="E181" i="29" s="1"/>
  <c r="P181" i="29"/>
  <c r="S180" i="29"/>
  <c r="R180" i="29"/>
  <c r="Q180" i="29"/>
  <c r="E180" i="29" s="1"/>
  <c r="P180" i="29"/>
  <c r="S179" i="29"/>
  <c r="R179" i="29"/>
  <c r="Q179" i="29"/>
  <c r="E179" i="29" s="1"/>
  <c r="P179" i="29"/>
  <c r="S178" i="29"/>
  <c r="R178" i="29"/>
  <c r="Q178" i="29"/>
  <c r="E178" i="29" s="1"/>
  <c r="P178" i="29"/>
  <c r="S177" i="29"/>
  <c r="R177" i="29"/>
  <c r="Q177" i="29"/>
  <c r="E177" i="29" s="1"/>
  <c r="P177" i="29"/>
  <c r="S176" i="29"/>
  <c r="R176" i="29"/>
  <c r="Q176" i="29"/>
  <c r="E176" i="29" s="1"/>
  <c r="P176" i="29"/>
  <c r="S175" i="29"/>
  <c r="R175" i="29"/>
  <c r="Q175" i="29"/>
  <c r="E175" i="29" s="1"/>
  <c r="P175" i="29"/>
  <c r="S174" i="29"/>
  <c r="R174" i="29"/>
  <c r="Q174" i="29"/>
  <c r="E174" i="29" s="1"/>
  <c r="P174" i="29"/>
  <c r="S173" i="29"/>
  <c r="R173" i="29"/>
  <c r="Q173" i="29"/>
  <c r="E173" i="29" s="1"/>
  <c r="P173" i="29"/>
  <c r="S172" i="29"/>
  <c r="R172" i="29"/>
  <c r="Q172" i="29"/>
  <c r="E172" i="29" s="1"/>
  <c r="P172" i="29"/>
  <c r="S171" i="29"/>
  <c r="R171" i="29"/>
  <c r="Q171" i="29"/>
  <c r="E171" i="29" s="1"/>
  <c r="P171" i="29"/>
  <c r="S170" i="29"/>
  <c r="R170" i="29"/>
  <c r="Q170" i="29"/>
  <c r="E170" i="29" s="1"/>
  <c r="P170" i="29"/>
  <c r="S169" i="29"/>
  <c r="R169" i="29"/>
  <c r="Q169" i="29"/>
  <c r="E169" i="29" s="1"/>
  <c r="P169" i="29"/>
  <c r="S168" i="29"/>
  <c r="R168" i="29"/>
  <c r="Q168" i="29"/>
  <c r="E168" i="29" s="1"/>
  <c r="P168" i="29"/>
  <c r="S167" i="29"/>
  <c r="R167" i="29"/>
  <c r="Q167" i="29"/>
  <c r="E167" i="29" s="1"/>
  <c r="P167" i="29"/>
  <c r="S84" i="29"/>
  <c r="R84" i="29"/>
  <c r="Q84" i="29"/>
  <c r="E84" i="29" s="1"/>
  <c r="P84" i="29"/>
  <c r="S83" i="29"/>
  <c r="R83" i="29"/>
  <c r="Q83" i="29"/>
  <c r="E83" i="29" s="1"/>
  <c r="P83" i="29"/>
  <c r="S82" i="29"/>
  <c r="R82" i="29"/>
  <c r="Q82" i="29"/>
  <c r="E82" i="29" s="1"/>
  <c r="P82" i="29"/>
  <c r="S81" i="29"/>
  <c r="R81" i="29"/>
  <c r="Q81" i="29"/>
  <c r="E81" i="29" s="1"/>
  <c r="P81" i="29"/>
  <c r="S80" i="29"/>
  <c r="R80" i="29"/>
  <c r="Q80" i="29"/>
  <c r="E80" i="29" s="1"/>
  <c r="P80" i="29"/>
  <c r="S79" i="29"/>
  <c r="R79" i="29"/>
  <c r="Q79" i="29"/>
  <c r="E79" i="29" s="1"/>
  <c r="P79" i="29"/>
  <c r="S78" i="29"/>
  <c r="R78" i="29"/>
  <c r="Q78" i="29"/>
  <c r="E78" i="29" s="1"/>
  <c r="P78" i="29"/>
  <c r="S77" i="29"/>
  <c r="R77" i="29"/>
  <c r="Q77" i="29"/>
  <c r="E77" i="29" s="1"/>
  <c r="P77" i="29"/>
  <c r="S76" i="29"/>
  <c r="R76" i="29"/>
  <c r="Q76" i="29"/>
  <c r="E76" i="29" s="1"/>
  <c r="P76" i="29"/>
  <c r="S75" i="29"/>
  <c r="R75" i="29"/>
  <c r="Q75" i="29"/>
  <c r="E75" i="29" s="1"/>
  <c r="P75" i="29"/>
  <c r="S74" i="29"/>
  <c r="R74" i="29"/>
  <c r="Q74" i="29"/>
  <c r="E74" i="29" s="1"/>
  <c r="P74" i="29"/>
  <c r="S73" i="29"/>
  <c r="R73" i="29"/>
  <c r="Q73" i="29"/>
  <c r="E73" i="29" s="1"/>
  <c r="P73" i="29"/>
  <c r="S72" i="29"/>
  <c r="R72" i="29"/>
  <c r="Q72" i="29"/>
  <c r="E72" i="29" s="1"/>
  <c r="P72" i="29"/>
  <c r="S71" i="29"/>
  <c r="R71" i="29"/>
  <c r="Q71" i="29"/>
  <c r="E71" i="29" s="1"/>
  <c r="P71" i="29"/>
  <c r="S70" i="29"/>
  <c r="R70" i="29"/>
  <c r="Q70" i="29"/>
  <c r="E70" i="29" s="1"/>
  <c r="P70" i="29"/>
  <c r="S69" i="29"/>
  <c r="R69" i="29"/>
  <c r="Q69" i="29"/>
  <c r="E69" i="29" s="1"/>
  <c r="P69" i="29"/>
  <c r="S68" i="29"/>
  <c r="R68" i="29"/>
  <c r="Q68" i="29"/>
  <c r="E68" i="29" s="1"/>
  <c r="P68" i="29"/>
  <c r="S67" i="29"/>
  <c r="R67" i="29"/>
  <c r="Q67" i="29"/>
  <c r="E67" i="29" s="1"/>
  <c r="P67" i="29"/>
  <c r="K67" i="29" l="1"/>
  <c r="K68" i="29"/>
  <c r="K69" i="29"/>
  <c r="K70" i="29"/>
  <c r="K71" i="29"/>
  <c r="K72" i="29"/>
  <c r="K73" i="29"/>
  <c r="K74" i="29"/>
  <c r="K75" i="29"/>
  <c r="K76" i="29"/>
  <c r="K77" i="29"/>
  <c r="K78" i="29"/>
  <c r="K79" i="29"/>
  <c r="K80" i="29"/>
  <c r="K81" i="29"/>
  <c r="K82" i="29"/>
  <c r="K83" i="29"/>
  <c r="K84" i="29"/>
  <c r="K167" i="29"/>
  <c r="K168" i="29"/>
  <c r="K169" i="29"/>
  <c r="K170" i="29"/>
  <c r="K171" i="29"/>
  <c r="K172" i="29"/>
  <c r="K173" i="29"/>
  <c r="K174" i="29"/>
  <c r="K175" i="29"/>
  <c r="K176" i="29"/>
  <c r="K177" i="29"/>
  <c r="K178" i="29"/>
  <c r="K179" i="29"/>
  <c r="K180" i="29"/>
  <c r="K181" i="29"/>
  <c r="K182" i="29"/>
  <c r="K183" i="29"/>
  <c r="K184" i="29"/>
  <c r="D73" i="30"/>
  <c r="D69" i="30"/>
  <c r="D65" i="30"/>
  <c r="D60" i="30"/>
  <c r="D55" i="30"/>
  <c r="D46" i="30"/>
  <c r="D41" i="30"/>
  <c r="D36" i="30"/>
  <c r="D27" i="30"/>
  <c r="D22" i="30"/>
  <c r="D72" i="30"/>
  <c r="D26" i="30"/>
  <c r="D31" i="30"/>
  <c r="D35" i="30"/>
  <c r="D40" i="30"/>
  <c r="D45" i="30"/>
  <c r="D50" i="30"/>
  <c r="D54" i="30"/>
  <c r="D59" i="30"/>
  <c r="D64" i="30"/>
  <c r="D68" i="30"/>
  <c r="D21" i="30"/>
  <c r="C52" i="52"/>
  <c r="F255" i="31"/>
  <c r="L255" i="32" s="1"/>
  <c r="L255" i="31" s="1"/>
  <c r="G255" i="31"/>
  <c r="M255" i="32" s="1"/>
  <c r="M255" i="31" s="1"/>
  <c r="F256" i="31"/>
  <c r="L256" i="32" s="1"/>
  <c r="L256" i="31" s="1"/>
  <c r="G256" i="31"/>
  <c r="M256" i="32" s="1"/>
  <c r="M256" i="31" s="1"/>
  <c r="F392" i="31"/>
  <c r="L392" i="32" s="1"/>
  <c r="L392" i="31" s="1"/>
  <c r="G392" i="31"/>
  <c r="M392" i="32" s="1"/>
  <c r="M392" i="31" s="1"/>
  <c r="F393" i="31"/>
  <c r="L393" i="32" s="1"/>
  <c r="L393" i="31" s="1"/>
  <c r="G393" i="31"/>
  <c r="M393" i="32" s="1"/>
  <c r="M393" i="31" s="1"/>
  <c r="F394" i="31"/>
  <c r="L394" i="32" s="1"/>
  <c r="L394" i="31" s="1"/>
  <c r="G394" i="31"/>
  <c r="M394" i="32" s="1"/>
  <c r="M394" i="31" s="1"/>
  <c r="F395" i="31"/>
  <c r="L395" i="32" s="1"/>
  <c r="L395" i="31" s="1"/>
  <c r="G395" i="31"/>
  <c r="M395" i="32" s="1"/>
  <c r="M395" i="31" s="1"/>
  <c r="F303" i="32"/>
  <c r="F303" i="31" s="1"/>
  <c r="L303" i="32" s="1"/>
  <c r="L303" i="31" s="1"/>
  <c r="G303" i="32"/>
  <c r="G303" i="31" s="1"/>
  <c r="M303" i="32" s="1"/>
  <c r="M303" i="31" s="1"/>
  <c r="F304" i="32"/>
  <c r="G304" i="32"/>
  <c r="G304" i="31" s="1"/>
  <c r="M304" i="32" s="1"/>
  <c r="M304" i="31" s="1"/>
  <c r="F305" i="32"/>
  <c r="G305" i="32"/>
  <c r="F306" i="32"/>
  <c r="G306" i="32"/>
  <c r="G306" i="31" s="1"/>
  <c r="M306" i="32" s="1"/>
  <c r="M306" i="31" s="1"/>
  <c r="E304" i="32"/>
  <c r="E305" i="32"/>
  <c r="E305" i="31" s="1"/>
  <c r="E306" i="32"/>
  <c r="E303" i="32"/>
  <c r="F285" i="32"/>
  <c r="G285" i="32"/>
  <c r="F286" i="32"/>
  <c r="G286" i="32"/>
  <c r="F287" i="32"/>
  <c r="G287" i="32"/>
  <c r="F288" i="32"/>
  <c r="G288" i="32"/>
  <c r="E286" i="32"/>
  <c r="E287" i="32"/>
  <c r="E288" i="32"/>
  <c r="E285" i="32"/>
  <c r="F305" i="31"/>
  <c r="L305" i="32" s="1"/>
  <c r="L305" i="31" s="1"/>
  <c r="I54" i="32" l="1"/>
  <c r="I285" i="32"/>
  <c r="I288" i="32"/>
  <c r="E395" i="31"/>
  <c r="I395" i="32"/>
  <c r="E256" i="31"/>
  <c r="I256" i="32"/>
  <c r="K305" i="32"/>
  <c r="I287" i="32"/>
  <c r="I305" i="32"/>
  <c r="E394" i="31"/>
  <c r="I394" i="32"/>
  <c r="I286" i="32"/>
  <c r="E304" i="31"/>
  <c r="I304" i="32"/>
  <c r="E393" i="31"/>
  <c r="I393" i="32"/>
  <c r="E306" i="31"/>
  <c r="I306" i="32"/>
  <c r="I53" i="32"/>
  <c r="E303" i="31"/>
  <c r="I303" i="32"/>
  <c r="E392" i="31"/>
  <c r="I392" i="32"/>
  <c r="E255" i="31"/>
  <c r="I255" i="32"/>
  <c r="E54" i="31"/>
  <c r="L53" i="32"/>
  <c r="L53" i="31" s="1"/>
  <c r="G54" i="31"/>
  <c r="M54" i="32" s="1"/>
  <c r="M54" i="31" s="1"/>
  <c r="L54" i="32"/>
  <c r="L54" i="31" s="1"/>
  <c r="E53" i="31"/>
  <c r="G53" i="31"/>
  <c r="M53" i="32" s="1"/>
  <c r="M53" i="31" s="1"/>
  <c r="F306" i="31"/>
  <c r="L306" i="32" s="1"/>
  <c r="L306" i="31" s="1"/>
  <c r="F304" i="31"/>
  <c r="L304" i="32" s="1"/>
  <c r="L304" i="31" s="1"/>
  <c r="G305" i="31"/>
  <c r="M305" i="32" s="1"/>
  <c r="M305" i="31" s="1"/>
  <c r="G286" i="31"/>
  <c r="M286" i="32" s="1"/>
  <c r="E288" i="31"/>
  <c r="G285" i="31"/>
  <c r="M285" i="32" s="1"/>
  <c r="F288" i="31"/>
  <c r="E285" i="31"/>
  <c r="F286" i="31"/>
  <c r="L286" i="32" s="1"/>
  <c r="G287" i="31"/>
  <c r="F285" i="31"/>
  <c r="L285" i="32" s="1"/>
  <c r="E287" i="31"/>
  <c r="E286" i="31"/>
  <c r="F287" i="31"/>
  <c r="G288" i="31"/>
  <c r="F189" i="32"/>
  <c r="F189" i="31" s="1"/>
  <c r="L189" i="32" s="1"/>
  <c r="L189" i="31" s="1"/>
  <c r="G189" i="32"/>
  <c r="G189" i="31" s="1"/>
  <c r="M189" i="32" s="1"/>
  <c r="M189" i="31" s="1"/>
  <c r="F190" i="32"/>
  <c r="F190" i="31" s="1"/>
  <c r="L190" i="32" s="1"/>
  <c r="L190" i="31" s="1"/>
  <c r="G190" i="32"/>
  <c r="G190" i="31" s="1"/>
  <c r="M190" i="32" s="1"/>
  <c r="M190" i="31" s="1"/>
  <c r="F191" i="32"/>
  <c r="F191" i="31" s="1"/>
  <c r="L191" i="32" s="1"/>
  <c r="L191" i="31" s="1"/>
  <c r="G191" i="32"/>
  <c r="G191" i="31" s="1"/>
  <c r="M191" i="32" s="1"/>
  <c r="M191" i="31" s="1"/>
  <c r="F192" i="32"/>
  <c r="F192" i="31" s="1"/>
  <c r="L192" i="32" s="1"/>
  <c r="L192" i="31" s="1"/>
  <c r="G192" i="32"/>
  <c r="G192" i="31" s="1"/>
  <c r="M192" i="32" s="1"/>
  <c r="M192" i="31" s="1"/>
  <c r="E190" i="32"/>
  <c r="E191" i="32"/>
  <c r="E192" i="32"/>
  <c r="E189" i="32"/>
  <c r="F101" i="32"/>
  <c r="F101" i="31" s="1"/>
  <c r="L101" i="32" s="1"/>
  <c r="L101" i="31" s="1"/>
  <c r="G101" i="32"/>
  <c r="G101" i="31" s="1"/>
  <c r="M101" i="32" s="1"/>
  <c r="M101" i="31" s="1"/>
  <c r="F102" i="32"/>
  <c r="F102" i="31" s="1"/>
  <c r="L102" i="32" s="1"/>
  <c r="L102" i="31" s="1"/>
  <c r="G102" i="32"/>
  <c r="F103" i="32"/>
  <c r="F103" i="31" s="1"/>
  <c r="L103" i="32" s="1"/>
  <c r="L103" i="31" s="1"/>
  <c r="G103" i="32"/>
  <c r="G103" i="31" s="1"/>
  <c r="M103" i="32" s="1"/>
  <c r="M103" i="31" s="1"/>
  <c r="F104" i="32"/>
  <c r="F104" i="31" s="1"/>
  <c r="L104" i="32" s="1"/>
  <c r="L104" i="31" s="1"/>
  <c r="G104" i="32"/>
  <c r="E102" i="32"/>
  <c r="E103" i="32"/>
  <c r="E104" i="32"/>
  <c r="E101" i="32"/>
  <c r="G86" i="32"/>
  <c r="F86" i="32"/>
  <c r="E86" i="32"/>
  <c r="G85" i="32"/>
  <c r="F85" i="32"/>
  <c r="E85" i="32"/>
  <c r="G84" i="32"/>
  <c r="F84" i="32"/>
  <c r="E84" i="32"/>
  <c r="G83" i="32"/>
  <c r="F83" i="32"/>
  <c r="E83" i="32"/>
  <c r="S166" i="29"/>
  <c r="P166" i="29"/>
  <c r="S66" i="29"/>
  <c r="P66" i="29"/>
  <c r="D235" i="30"/>
  <c r="L234" i="30"/>
  <c r="K234" i="30"/>
  <c r="D234" i="30"/>
  <c r="M288" i="32" l="1"/>
  <c r="M288" i="31" s="1"/>
  <c r="L288" i="32"/>
  <c r="L288" i="31" s="1"/>
  <c r="L287" i="32"/>
  <c r="L287" i="31" s="1"/>
  <c r="M287" i="32"/>
  <c r="M287" i="31" s="1"/>
  <c r="I85" i="32"/>
  <c r="I84" i="32"/>
  <c r="E102" i="31"/>
  <c r="I102" i="32"/>
  <c r="E192" i="31"/>
  <c r="I192" i="32"/>
  <c r="M285" i="31"/>
  <c r="K306" i="32"/>
  <c r="I306" i="31"/>
  <c r="K304" i="32"/>
  <c r="I304" i="31"/>
  <c r="K394" i="32"/>
  <c r="I394" i="31"/>
  <c r="I305" i="31"/>
  <c r="L285" i="31"/>
  <c r="K53" i="32"/>
  <c r="I53" i="31"/>
  <c r="K54" i="32"/>
  <c r="I54" i="31"/>
  <c r="K392" i="32"/>
  <c r="I392" i="31"/>
  <c r="K256" i="32"/>
  <c r="I256" i="31"/>
  <c r="I83" i="32"/>
  <c r="E101" i="31"/>
  <c r="I101" i="32"/>
  <c r="E191" i="31"/>
  <c r="I191" i="32"/>
  <c r="K286" i="32"/>
  <c r="I286" i="31"/>
  <c r="L286" i="31"/>
  <c r="K288" i="32"/>
  <c r="I288" i="31"/>
  <c r="K255" i="32"/>
  <c r="I255" i="31"/>
  <c r="K303" i="32"/>
  <c r="I303" i="31"/>
  <c r="O305" i="32"/>
  <c r="K305" i="31"/>
  <c r="O305" i="31" s="1"/>
  <c r="K395" i="32"/>
  <c r="I395" i="31"/>
  <c r="E103" i="31"/>
  <c r="I103" i="32"/>
  <c r="E189" i="31"/>
  <c r="I189" i="32"/>
  <c r="I86" i="32"/>
  <c r="E104" i="31"/>
  <c r="I104" i="32"/>
  <c r="E190" i="31"/>
  <c r="I190" i="32"/>
  <c r="K287" i="32"/>
  <c r="I287" i="31"/>
  <c r="K285" i="32"/>
  <c r="I285" i="31"/>
  <c r="M286" i="31"/>
  <c r="K393" i="32"/>
  <c r="I393" i="31"/>
  <c r="E86" i="31"/>
  <c r="F84" i="31"/>
  <c r="L84" i="32" s="1"/>
  <c r="L84" i="31" s="1"/>
  <c r="F83" i="31"/>
  <c r="L83" i="32" s="1"/>
  <c r="L83" i="31" s="1"/>
  <c r="G84" i="31"/>
  <c r="M84" i="32" s="1"/>
  <c r="M84" i="31" s="1"/>
  <c r="F86" i="31"/>
  <c r="L86" i="32" s="1"/>
  <c r="L86" i="31" s="1"/>
  <c r="E84" i="31"/>
  <c r="G86" i="31"/>
  <c r="M86" i="32" s="1"/>
  <c r="M86" i="31" s="1"/>
  <c r="I144" i="32"/>
  <c r="I142" i="32"/>
  <c r="G85" i="31"/>
  <c r="G102" i="31"/>
  <c r="M102" i="32" s="1"/>
  <c r="M102" i="31" s="1"/>
  <c r="G104" i="31"/>
  <c r="M104" i="32" s="1"/>
  <c r="M104" i="31" s="1"/>
  <c r="E85" i="31"/>
  <c r="G83" i="31"/>
  <c r="M83" i="32" s="1"/>
  <c r="M83" i="31" s="1"/>
  <c r="F85" i="31"/>
  <c r="E83" i="31"/>
  <c r="V32" i="52"/>
  <c r="V33" i="52"/>
  <c r="V34" i="52"/>
  <c r="V35" i="52"/>
  <c r="V36" i="52"/>
  <c r="V37" i="52"/>
  <c r="V38" i="52"/>
  <c r="V39" i="52"/>
  <c r="V24" i="52"/>
  <c r="V25" i="52"/>
  <c r="V26" i="52"/>
  <c r="V27" i="52"/>
  <c r="V28" i="52"/>
  <c r="V29" i="52"/>
  <c r="V30" i="52"/>
  <c r="V31" i="52"/>
  <c r="V23" i="52"/>
  <c r="U54" i="52"/>
  <c r="M85" i="32" l="1"/>
  <c r="M85" i="31" s="1"/>
  <c r="L85" i="32"/>
  <c r="L85" i="31" s="1"/>
  <c r="I141" i="32"/>
  <c r="K83" i="32"/>
  <c r="I83" i="31"/>
  <c r="K189" i="32"/>
  <c r="I189" i="31"/>
  <c r="O395" i="32"/>
  <c r="K395" i="31"/>
  <c r="O395" i="31" s="1"/>
  <c r="O303" i="32"/>
  <c r="K303" i="31"/>
  <c r="O303" i="31" s="1"/>
  <c r="O288" i="32"/>
  <c r="K288" i="31"/>
  <c r="O288" i="31" s="1"/>
  <c r="O286" i="32"/>
  <c r="K286" i="31"/>
  <c r="O286" i="31" s="1"/>
  <c r="K101" i="32"/>
  <c r="I101" i="31"/>
  <c r="O394" i="32"/>
  <c r="K394" i="31"/>
  <c r="O394" i="31" s="1"/>
  <c r="O306" i="32"/>
  <c r="K306" i="31"/>
  <c r="O306" i="31" s="1"/>
  <c r="K192" i="32"/>
  <c r="I192" i="31"/>
  <c r="I344" i="32"/>
  <c r="I345" i="32"/>
  <c r="I347" i="32"/>
  <c r="O393" i="32"/>
  <c r="K393" i="31"/>
  <c r="O393" i="31" s="1"/>
  <c r="O285" i="32"/>
  <c r="K285" i="31"/>
  <c r="O285" i="31" s="1"/>
  <c r="K190" i="32"/>
  <c r="I190" i="31"/>
  <c r="O392" i="32"/>
  <c r="K392" i="31"/>
  <c r="O392" i="31" s="1"/>
  <c r="O53" i="32"/>
  <c r="K53" i="31"/>
  <c r="O53" i="31" s="1"/>
  <c r="K84" i="32"/>
  <c r="I84" i="31"/>
  <c r="K103" i="32"/>
  <c r="I103" i="31"/>
  <c r="O255" i="32"/>
  <c r="K255" i="31"/>
  <c r="O255" i="31" s="1"/>
  <c r="K191" i="32"/>
  <c r="I191" i="31"/>
  <c r="O304" i="32"/>
  <c r="K304" i="31"/>
  <c r="O304" i="31" s="1"/>
  <c r="K102" i="32"/>
  <c r="I102" i="31"/>
  <c r="K85" i="32"/>
  <c r="I85" i="31"/>
  <c r="I143" i="32"/>
  <c r="K86" i="32"/>
  <c r="I86" i="31"/>
  <c r="I346" i="32"/>
  <c r="O287" i="32"/>
  <c r="K287" i="31"/>
  <c r="O287" i="31" s="1"/>
  <c r="K104" i="32"/>
  <c r="I104" i="31"/>
  <c r="O256" i="32"/>
  <c r="K256" i="31"/>
  <c r="O256" i="31" s="1"/>
  <c r="O54" i="32"/>
  <c r="K54" i="31"/>
  <c r="O54" i="31" s="1"/>
  <c r="F352" i="32"/>
  <c r="F352" i="31" s="1"/>
  <c r="L352" i="32" s="1"/>
  <c r="L352" i="31" s="1"/>
  <c r="G352" i="32"/>
  <c r="G352" i="31" s="1"/>
  <c r="M352" i="32" s="1"/>
  <c r="M352" i="31" s="1"/>
  <c r="F353" i="32"/>
  <c r="F353" i="31" s="1"/>
  <c r="L353" i="32" s="1"/>
  <c r="L353" i="31" s="1"/>
  <c r="G353" i="32"/>
  <c r="G353" i="31" s="1"/>
  <c r="M353" i="32" s="1"/>
  <c r="M353" i="31" s="1"/>
  <c r="F354" i="32"/>
  <c r="F354" i="31" s="1"/>
  <c r="L354" i="32" s="1"/>
  <c r="L354" i="31" s="1"/>
  <c r="G354" i="32"/>
  <c r="G354" i="31" s="1"/>
  <c r="M354" i="32" s="1"/>
  <c r="M354" i="31" s="1"/>
  <c r="F355" i="32"/>
  <c r="F355" i="31" s="1"/>
  <c r="L355" i="32" s="1"/>
  <c r="L355" i="31" s="1"/>
  <c r="G355" i="32"/>
  <c r="G355" i="31" s="1"/>
  <c r="M355" i="32" s="1"/>
  <c r="M355" i="31" s="1"/>
  <c r="F356" i="32"/>
  <c r="F356" i="31" s="1"/>
  <c r="L356" i="32" s="1"/>
  <c r="L356" i="31" s="1"/>
  <c r="G356" i="32"/>
  <c r="G356" i="31" s="1"/>
  <c r="M356" i="32" s="1"/>
  <c r="M356" i="31" s="1"/>
  <c r="F357" i="32"/>
  <c r="F357" i="31" s="1"/>
  <c r="L357" i="32" s="1"/>
  <c r="L357" i="31" s="1"/>
  <c r="G357" i="32"/>
  <c r="G357" i="31" s="1"/>
  <c r="M357" i="32" s="1"/>
  <c r="M357" i="31" s="1"/>
  <c r="F358" i="32"/>
  <c r="F358" i="31" s="1"/>
  <c r="L358" i="32" s="1"/>
  <c r="L358" i="31" s="1"/>
  <c r="G358" i="32"/>
  <c r="G358" i="31" s="1"/>
  <c r="M358" i="32" s="1"/>
  <c r="M358" i="31" s="1"/>
  <c r="F359" i="32"/>
  <c r="F359" i="31" s="1"/>
  <c r="L359" i="32" s="1"/>
  <c r="L359" i="31" s="1"/>
  <c r="G359" i="32"/>
  <c r="G359" i="31" s="1"/>
  <c r="M359" i="32" s="1"/>
  <c r="M359" i="31" s="1"/>
  <c r="F360" i="32"/>
  <c r="F360" i="31" s="1"/>
  <c r="L360" i="32" s="1"/>
  <c r="L360" i="31" s="1"/>
  <c r="G360" i="32"/>
  <c r="G360" i="31" s="1"/>
  <c r="M360" i="32" s="1"/>
  <c r="M360" i="31" s="1"/>
  <c r="F361" i="32"/>
  <c r="F361" i="31" s="1"/>
  <c r="L361" i="32" s="1"/>
  <c r="L361" i="31" s="1"/>
  <c r="G361" i="32"/>
  <c r="G361" i="31" s="1"/>
  <c r="M361" i="32" s="1"/>
  <c r="M361" i="31" s="1"/>
  <c r="F362" i="32"/>
  <c r="F362" i="31" s="1"/>
  <c r="L362" i="32" s="1"/>
  <c r="L362" i="31" s="1"/>
  <c r="G362" i="32"/>
  <c r="G362" i="31" s="1"/>
  <c r="M362" i="32" s="1"/>
  <c r="M362" i="31" s="1"/>
  <c r="F363" i="32"/>
  <c r="F363" i="31" s="1"/>
  <c r="L363" i="32" s="1"/>
  <c r="L363" i="31" s="1"/>
  <c r="G363" i="32"/>
  <c r="G363" i="31" s="1"/>
  <c r="M363" i="32" s="1"/>
  <c r="M363" i="31" s="1"/>
  <c r="E353" i="32"/>
  <c r="E354" i="32"/>
  <c r="E355" i="32"/>
  <c r="E356" i="32"/>
  <c r="E357" i="32"/>
  <c r="E358" i="32"/>
  <c r="E359" i="32"/>
  <c r="E360" i="32"/>
  <c r="E361" i="32"/>
  <c r="E362" i="32"/>
  <c r="E363" i="32"/>
  <c r="E352" i="32"/>
  <c r="G160" i="32"/>
  <c r="F160" i="32"/>
  <c r="F160" i="31" s="1"/>
  <c r="L160" i="32" s="1"/>
  <c r="L160" i="31" s="1"/>
  <c r="E160" i="32"/>
  <c r="G159" i="32"/>
  <c r="G159" i="31" s="1"/>
  <c r="M159" i="32" s="1"/>
  <c r="M159" i="31" s="1"/>
  <c r="F159" i="32"/>
  <c r="F159" i="31" s="1"/>
  <c r="L159" i="32" s="1"/>
  <c r="L159" i="31" s="1"/>
  <c r="E159" i="32"/>
  <c r="G158" i="32"/>
  <c r="G158" i="31" s="1"/>
  <c r="M158" i="32" s="1"/>
  <c r="M158" i="31" s="1"/>
  <c r="F158" i="32"/>
  <c r="F158" i="31" s="1"/>
  <c r="L158" i="32" s="1"/>
  <c r="L158" i="31" s="1"/>
  <c r="E158" i="32"/>
  <c r="G157" i="32"/>
  <c r="G157" i="31" s="1"/>
  <c r="M157" i="32" s="1"/>
  <c r="M157" i="31" s="1"/>
  <c r="F157" i="32"/>
  <c r="F157" i="31" s="1"/>
  <c r="L157" i="32" s="1"/>
  <c r="L157" i="31" s="1"/>
  <c r="E157" i="32"/>
  <c r="G156" i="32"/>
  <c r="G156" i="31" s="1"/>
  <c r="M156" i="32" s="1"/>
  <c r="M156" i="31" s="1"/>
  <c r="F156" i="32"/>
  <c r="F156" i="31" s="1"/>
  <c r="L156" i="32" s="1"/>
  <c r="L156" i="31" s="1"/>
  <c r="E156" i="32"/>
  <c r="G155" i="32"/>
  <c r="G155" i="31" s="1"/>
  <c r="M155" i="32" s="1"/>
  <c r="M155" i="31" s="1"/>
  <c r="F155" i="32"/>
  <c r="F155" i="31" s="1"/>
  <c r="L155" i="32" s="1"/>
  <c r="L155" i="31" s="1"/>
  <c r="E155" i="32"/>
  <c r="G154" i="32"/>
  <c r="G154" i="31" s="1"/>
  <c r="M154" i="32" s="1"/>
  <c r="M154" i="31" s="1"/>
  <c r="F154" i="32"/>
  <c r="E154" i="32"/>
  <c r="G153" i="32"/>
  <c r="G153" i="31" s="1"/>
  <c r="M153" i="32" s="1"/>
  <c r="M153" i="31" s="1"/>
  <c r="F153" i="32"/>
  <c r="E153" i="32"/>
  <c r="G152" i="32"/>
  <c r="G152" i="31" s="1"/>
  <c r="M152" i="32" s="1"/>
  <c r="M152" i="31" s="1"/>
  <c r="F152" i="32"/>
  <c r="F152" i="31" s="1"/>
  <c r="L152" i="32" s="1"/>
  <c r="L152" i="31" s="1"/>
  <c r="E152" i="32"/>
  <c r="G151" i="32"/>
  <c r="G151" i="31" s="1"/>
  <c r="M151" i="32" s="1"/>
  <c r="M151" i="31" s="1"/>
  <c r="F151" i="32"/>
  <c r="F151" i="31" s="1"/>
  <c r="L151" i="32" s="1"/>
  <c r="L151" i="31" s="1"/>
  <c r="E151" i="32"/>
  <c r="G150" i="32"/>
  <c r="G150" i="31" s="1"/>
  <c r="M150" i="32" s="1"/>
  <c r="M150" i="31" s="1"/>
  <c r="F150" i="32"/>
  <c r="F150" i="31" s="1"/>
  <c r="L150" i="32" s="1"/>
  <c r="L150" i="31" s="1"/>
  <c r="E150" i="32"/>
  <c r="G149" i="32"/>
  <c r="G149" i="31" s="1"/>
  <c r="M149" i="32" s="1"/>
  <c r="M149" i="31" s="1"/>
  <c r="F149" i="32"/>
  <c r="E149" i="32"/>
  <c r="I363" i="32" l="1"/>
  <c r="I362" i="32"/>
  <c r="E151" i="31"/>
  <c r="I151" i="31" s="1"/>
  <c r="I151" i="32"/>
  <c r="E155" i="31"/>
  <c r="I155" i="31" s="1"/>
  <c r="I155" i="32"/>
  <c r="E150" i="31"/>
  <c r="K150" i="32" s="1"/>
  <c r="I150" i="32"/>
  <c r="I154" i="32"/>
  <c r="E158" i="31"/>
  <c r="K158" i="32" s="1"/>
  <c r="I158" i="32"/>
  <c r="E361" i="31"/>
  <c r="K361" i="32" s="1"/>
  <c r="O361" i="32" s="1"/>
  <c r="I361" i="32"/>
  <c r="I357" i="32"/>
  <c r="E353" i="31"/>
  <c r="K353" i="32" s="1"/>
  <c r="O353" i="32" s="1"/>
  <c r="I353" i="32"/>
  <c r="O86" i="32"/>
  <c r="K86" i="31"/>
  <c r="O86" i="31" s="1"/>
  <c r="O85" i="32"/>
  <c r="K85" i="31"/>
  <c r="O85" i="31" s="1"/>
  <c r="O84" i="32"/>
  <c r="K84" i="31"/>
  <c r="O84" i="31" s="1"/>
  <c r="O192" i="32"/>
  <c r="K192" i="31"/>
  <c r="O192" i="31" s="1"/>
  <c r="O189" i="32"/>
  <c r="K189" i="31"/>
  <c r="O189" i="31" s="1"/>
  <c r="E159" i="31"/>
  <c r="K159" i="32" s="1"/>
  <c r="I159" i="32"/>
  <c r="E358" i="31"/>
  <c r="I358" i="31" s="1"/>
  <c r="I358" i="32"/>
  <c r="I153" i="32"/>
  <c r="E157" i="31"/>
  <c r="K157" i="32" s="1"/>
  <c r="I157" i="32"/>
  <c r="E352" i="31"/>
  <c r="K352" i="32" s="1"/>
  <c r="O352" i="32" s="1"/>
  <c r="I352" i="32"/>
  <c r="E360" i="31"/>
  <c r="K360" i="32" s="1"/>
  <c r="O360" i="32" s="1"/>
  <c r="I360" i="32"/>
  <c r="E356" i="31"/>
  <c r="K356" i="32" s="1"/>
  <c r="O356" i="32" s="1"/>
  <c r="I356" i="32"/>
  <c r="E354" i="31"/>
  <c r="K354" i="32" s="1"/>
  <c r="O354" i="32" s="1"/>
  <c r="I354" i="32"/>
  <c r="I149" i="32"/>
  <c r="E152" i="31"/>
  <c r="K152" i="32" s="1"/>
  <c r="I152" i="32"/>
  <c r="E156" i="31"/>
  <c r="K156" i="32" s="1"/>
  <c r="I156" i="32"/>
  <c r="E160" i="31"/>
  <c r="K160" i="32" s="1"/>
  <c r="I160" i="32"/>
  <c r="E359" i="31"/>
  <c r="K359" i="32" s="1"/>
  <c r="O359" i="32" s="1"/>
  <c r="I359" i="32"/>
  <c r="E355" i="31"/>
  <c r="K355" i="32" s="1"/>
  <c r="O355" i="32" s="1"/>
  <c r="I355" i="32"/>
  <c r="O104" i="32"/>
  <c r="K104" i="31"/>
  <c r="O104" i="31" s="1"/>
  <c r="O102" i="32"/>
  <c r="K102" i="31"/>
  <c r="O102" i="31" s="1"/>
  <c r="O191" i="32"/>
  <c r="K191" i="31"/>
  <c r="O191" i="31" s="1"/>
  <c r="O103" i="32"/>
  <c r="K103" i="31"/>
  <c r="O103" i="31" s="1"/>
  <c r="O190" i="32"/>
  <c r="K190" i="31"/>
  <c r="O190" i="31" s="1"/>
  <c r="O101" i="32"/>
  <c r="K101" i="31"/>
  <c r="O101" i="31" s="1"/>
  <c r="O83" i="32"/>
  <c r="K83" i="31"/>
  <c r="O83" i="31" s="1"/>
  <c r="E377" i="32"/>
  <c r="E363" i="31"/>
  <c r="E376" i="32"/>
  <c r="E362" i="31"/>
  <c r="G174" i="32"/>
  <c r="G160" i="31"/>
  <c r="M160" i="32" s="1"/>
  <c r="M160" i="31" s="1"/>
  <c r="G376" i="32"/>
  <c r="F376" i="32"/>
  <c r="G377" i="32"/>
  <c r="F377" i="32"/>
  <c r="F174" i="32"/>
  <c r="G173" i="32"/>
  <c r="E173" i="32"/>
  <c r="E174" i="32"/>
  <c r="F173" i="32"/>
  <c r="K103" i="58"/>
  <c r="K391" i="70" s="1"/>
  <c r="K102" i="58"/>
  <c r="K390" i="70" s="1"/>
  <c r="K101" i="58"/>
  <c r="K389" i="70" s="1"/>
  <c r="K100" i="58"/>
  <c r="K388" i="70" s="1"/>
  <c r="K99" i="58"/>
  <c r="K387" i="70" s="1"/>
  <c r="K98" i="58"/>
  <c r="K386" i="70" s="1"/>
  <c r="K97" i="58"/>
  <c r="K385" i="70" s="1"/>
  <c r="K96" i="58"/>
  <c r="K384" i="70" s="1"/>
  <c r="K95" i="58"/>
  <c r="K383" i="70" s="1"/>
  <c r="K94" i="58"/>
  <c r="K382" i="70" s="1"/>
  <c r="K93" i="58"/>
  <c r="K381" i="70" s="1"/>
  <c r="K92" i="58"/>
  <c r="K42" i="58"/>
  <c r="K218" i="70" s="1"/>
  <c r="K41" i="58"/>
  <c r="K217" i="70" s="1"/>
  <c r="K40" i="58"/>
  <c r="K216" i="70" s="1"/>
  <c r="K39" i="58"/>
  <c r="K215" i="70" s="1"/>
  <c r="K38" i="58"/>
  <c r="K214" i="70" s="1"/>
  <c r="K37" i="58"/>
  <c r="K213" i="70" s="1"/>
  <c r="K36" i="58"/>
  <c r="K212" i="70" s="1"/>
  <c r="K35" i="58"/>
  <c r="K211" i="70" s="1"/>
  <c r="K34" i="58"/>
  <c r="K210" i="70" s="1"/>
  <c r="K33" i="58"/>
  <c r="K209" i="70" s="1"/>
  <c r="K32" i="58"/>
  <c r="K208" i="70" s="1"/>
  <c r="K31" i="58"/>
  <c r="K127" i="58"/>
  <c r="K377" i="70" s="1"/>
  <c r="K126" i="58"/>
  <c r="K376" i="70" s="1"/>
  <c r="K115" i="58"/>
  <c r="K363" i="70" s="1"/>
  <c r="K114" i="58"/>
  <c r="K362" i="70" s="1"/>
  <c r="K66" i="58"/>
  <c r="K204" i="70" s="1"/>
  <c r="K65" i="58"/>
  <c r="K203" i="70" s="1"/>
  <c r="K54" i="58"/>
  <c r="K190" i="70" s="1"/>
  <c r="K53" i="58"/>
  <c r="K189" i="70" s="1"/>
  <c r="K380" i="70" l="1"/>
  <c r="K2012" i="46"/>
  <c r="K2031" i="46" s="1"/>
  <c r="K145" i="38" s="1"/>
  <c r="K340" i="71" s="1"/>
  <c r="K207" i="70"/>
  <c r="K961" i="46"/>
  <c r="K980" i="46" s="1"/>
  <c r="K69" i="38" s="1"/>
  <c r="K339" i="71" s="1"/>
  <c r="K151" i="32"/>
  <c r="K151" i="31" s="1"/>
  <c r="O151" i="31" s="1"/>
  <c r="I174" i="32"/>
  <c r="I353" i="31"/>
  <c r="I355" i="31"/>
  <c r="I150" i="31"/>
  <c r="I159" i="31"/>
  <c r="I152" i="31"/>
  <c r="I157" i="31"/>
  <c r="I158" i="31"/>
  <c r="K155" i="32"/>
  <c r="K155" i="31" s="1"/>
  <c r="O155" i="31" s="1"/>
  <c r="I360" i="31"/>
  <c r="K358" i="32"/>
  <c r="O358" i="32" s="1"/>
  <c r="I359" i="31"/>
  <c r="I361" i="31"/>
  <c r="I156" i="31"/>
  <c r="I354" i="31"/>
  <c r="I376" i="32"/>
  <c r="I160" i="31"/>
  <c r="I356" i="31"/>
  <c r="I352" i="31"/>
  <c r="I173" i="32"/>
  <c r="I377" i="32"/>
  <c r="K158" i="31"/>
  <c r="O158" i="31" s="1"/>
  <c r="O158" i="32"/>
  <c r="K152" i="31"/>
  <c r="O152" i="31" s="1"/>
  <c r="O152" i="32"/>
  <c r="K157" i="31"/>
  <c r="O157" i="31" s="1"/>
  <c r="O157" i="32"/>
  <c r="K159" i="31"/>
  <c r="O159" i="31" s="1"/>
  <c r="O159" i="32"/>
  <c r="K150" i="31"/>
  <c r="O150" i="31" s="1"/>
  <c r="O150" i="32"/>
  <c r="K160" i="31"/>
  <c r="O160" i="31" s="1"/>
  <c r="O160" i="32"/>
  <c r="K156" i="31"/>
  <c r="O156" i="31" s="1"/>
  <c r="O156" i="32"/>
  <c r="K363" i="32"/>
  <c r="I363" i="31"/>
  <c r="K362" i="32"/>
  <c r="I362" i="31"/>
  <c r="L657" i="46"/>
  <c r="L501" i="46"/>
  <c r="L263" i="46"/>
  <c r="L251" i="46"/>
  <c r="M658" i="46"/>
  <c r="M502" i="46"/>
  <c r="M264" i="46"/>
  <c r="M252" i="46"/>
  <c r="K660" i="46"/>
  <c r="K504" i="46"/>
  <c r="K266" i="46"/>
  <c r="K254" i="46"/>
  <c r="L661" i="46"/>
  <c r="L505" i="46"/>
  <c r="L267" i="46"/>
  <c r="L255" i="46"/>
  <c r="M662" i="46"/>
  <c r="M506" i="46"/>
  <c r="M268" i="46"/>
  <c r="M256" i="46"/>
  <c r="K664" i="46"/>
  <c r="K508" i="46"/>
  <c r="K270" i="46"/>
  <c r="K258" i="46"/>
  <c r="L665" i="46"/>
  <c r="L509" i="46"/>
  <c r="L271" i="46"/>
  <c r="L259" i="46"/>
  <c r="M666" i="46"/>
  <c r="M510" i="46"/>
  <c r="M272" i="46"/>
  <c r="M260" i="46"/>
  <c r="K668" i="46"/>
  <c r="K512" i="46"/>
  <c r="K274" i="46"/>
  <c r="K262" i="46"/>
  <c r="M1694" i="46"/>
  <c r="M1538" i="46"/>
  <c r="M1299" i="46"/>
  <c r="M1287" i="46"/>
  <c r="L1695" i="46"/>
  <c r="L1539" i="46"/>
  <c r="L1300" i="46"/>
  <c r="L1288" i="46"/>
  <c r="K1696" i="46"/>
  <c r="K1540" i="46"/>
  <c r="K1301" i="46"/>
  <c r="K1289" i="46"/>
  <c r="M1698" i="46"/>
  <c r="M1542" i="46"/>
  <c r="M1303" i="46"/>
  <c r="M1291" i="46"/>
  <c r="L1699" i="46"/>
  <c r="L1543" i="46"/>
  <c r="L1304" i="46"/>
  <c r="L1292" i="46"/>
  <c r="K1700" i="46"/>
  <c r="K1544" i="46"/>
  <c r="K1305" i="46"/>
  <c r="K1293" i="46"/>
  <c r="M1702" i="46"/>
  <c r="M1546" i="46"/>
  <c r="M1307" i="46"/>
  <c r="M1295" i="46"/>
  <c r="L1703" i="46"/>
  <c r="L1547" i="46"/>
  <c r="L1308" i="46"/>
  <c r="L1296" i="46"/>
  <c r="K1704" i="46"/>
  <c r="K1548" i="46"/>
  <c r="K1309" i="46"/>
  <c r="K1297" i="46"/>
  <c r="F144" i="30"/>
  <c r="F145" i="30"/>
  <c r="M501" i="46"/>
  <c r="M251" i="46"/>
  <c r="M657" i="46"/>
  <c r="M263" i="46"/>
  <c r="K659" i="46"/>
  <c r="K265" i="46"/>
  <c r="K503" i="46"/>
  <c r="K253" i="46"/>
  <c r="L504" i="46"/>
  <c r="L254" i="46"/>
  <c r="L660" i="46"/>
  <c r="L266" i="46"/>
  <c r="M661" i="46"/>
  <c r="M267" i="46"/>
  <c r="M505" i="46"/>
  <c r="M255" i="46"/>
  <c r="K507" i="46"/>
  <c r="K257" i="46"/>
  <c r="K663" i="46"/>
  <c r="K269" i="46"/>
  <c r="L664" i="46"/>
  <c r="L270" i="46"/>
  <c r="L508" i="46"/>
  <c r="L258" i="46"/>
  <c r="M509" i="46"/>
  <c r="M259" i="46"/>
  <c r="M665" i="46"/>
  <c r="M271" i="46"/>
  <c r="K667" i="46"/>
  <c r="K273" i="46"/>
  <c r="K511" i="46"/>
  <c r="K261" i="46"/>
  <c r="L512" i="46"/>
  <c r="L262" i="46"/>
  <c r="L668" i="46"/>
  <c r="L274" i="46"/>
  <c r="K1537" i="46"/>
  <c r="K1286" i="46"/>
  <c r="K1693" i="46"/>
  <c r="K1298" i="46"/>
  <c r="M1539" i="46"/>
  <c r="M1288" i="46"/>
  <c r="M1695" i="46"/>
  <c r="M1300" i="46"/>
  <c r="L1696" i="46"/>
  <c r="L1301" i="46"/>
  <c r="L1540" i="46"/>
  <c r="L1289" i="46"/>
  <c r="K1697" i="46"/>
  <c r="K1302" i="46"/>
  <c r="K1541" i="46"/>
  <c r="K1290" i="46"/>
  <c r="M1699" i="46"/>
  <c r="M1304" i="46"/>
  <c r="M1543" i="46"/>
  <c r="M1292" i="46"/>
  <c r="L1544" i="46"/>
  <c r="L1293" i="46"/>
  <c r="L1700" i="46"/>
  <c r="L1305" i="46"/>
  <c r="K1545" i="46"/>
  <c r="K1294" i="46"/>
  <c r="K1701" i="46"/>
  <c r="K1306" i="46"/>
  <c r="M1547" i="46"/>
  <c r="M1296" i="46"/>
  <c r="M1703" i="46"/>
  <c r="M1308" i="46"/>
  <c r="L1704" i="46"/>
  <c r="L1309" i="46"/>
  <c r="L1548" i="46"/>
  <c r="L1297" i="46"/>
  <c r="F149" i="30"/>
  <c r="R165" i="29" s="1"/>
  <c r="K165" i="29" s="1"/>
  <c r="F148" i="30"/>
  <c r="R153" i="29" s="1"/>
  <c r="K153" i="29" s="1"/>
  <c r="K658" i="46"/>
  <c r="K502" i="46"/>
  <c r="K264" i="46"/>
  <c r="K252" i="46"/>
  <c r="L659" i="46"/>
  <c r="L503" i="46"/>
  <c r="L265" i="46"/>
  <c r="L253" i="46"/>
  <c r="M660" i="46"/>
  <c r="M504" i="46"/>
  <c r="M266" i="46"/>
  <c r="M254" i="46"/>
  <c r="K662" i="46"/>
  <c r="K506" i="46"/>
  <c r="K268" i="46"/>
  <c r="K256" i="46"/>
  <c r="L663" i="46"/>
  <c r="L507" i="46"/>
  <c r="L269" i="46"/>
  <c r="L257" i="46"/>
  <c r="M664" i="46"/>
  <c r="M508" i="46"/>
  <c r="M270" i="46"/>
  <c r="M258" i="46"/>
  <c r="K666" i="46"/>
  <c r="K510" i="46"/>
  <c r="K272" i="46"/>
  <c r="K260" i="46"/>
  <c r="L667" i="46"/>
  <c r="L511" i="46"/>
  <c r="L273" i="46"/>
  <c r="L261" i="46"/>
  <c r="M668" i="46"/>
  <c r="M512" i="46"/>
  <c r="M274" i="46"/>
  <c r="M262" i="46"/>
  <c r="L1693" i="46"/>
  <c r="L1537" i="46"/>
  <c r="L1298" i="46"/>
  <c r="L1286" i="46"/>
  <c r="K1694" i="46"/>
  <c r="K1538" i="46"/>
  <c r="K1299" i="46"/>
  <c r="K1287" i="46"/>
  <c r="M1696" i="46"/>
  <c r="M1540" i="46"/>
  <c r="M1301" i="46"/>
  <c r="M1289" i="46"/>
  <c r="L1697" i="46"/>
  <c r="L1541" i="46"/>
  <c r="L1302" i="46"/>
  <c r="L1290" i="46"/>
  <c r="K1698" i="46"/>
  <c r="K1542" i="46"/>
  <c r="K1303" i="46"/>
  <c r="K1291" i="46"/>
  <c r="M1700" i="46"/>
  <c r="M1544" i="46"/>
  <c r="M1305" i="46"/>
  <c r="M1293" i="46"/>
  <c r="L1701" i="46"/>
  <c r="L1545" i="46"/>
  <c r="L1306" i="46"/>
  <c r="L1294" i="46"/>
  <c r="K1702" i="46"/>
  <c r="K1546" i="46"/>
  <c r="K1307" i="46"/>
  <c r="K1295" i="46"/>
  <c r="M1704" i="46"/>
  <c r="M1548" i="46"/>
  <c r="M1309" i="46"/>
  <c r="M1297" i="46"/>
  <c r="K501" i="46"/>
  <c r="K251" i="46"/>
  <c r="K657" i="46"/>
  <c r="K263" i="46"/>
  <c r="L502" i="46"/>
  <c r="L252" i="46"/>
  <c r="L658" i="46"/>
  <c r="L264" i="46"/>
  <c r="M659" i="46"/>
  <c r="M265" i="46"/>
  <c r="M503" i="46"/>
  <c r="M253" i="46"/>
  <c r="K661" i="46"/>
  <c r="K505" i="46"/>
  <c r="K255" i="46"/>
  <c r="K267" i="46"/>
  <c r="L506" i="46"/>
  <c r="L256" i="46"/>
  <c r="L662" i="46"/>
  <c r="L268" i="46"/>
  <c r="M269" i="46"/>
  <c r="M507" i="46"/>
  <c r="M257" i="46"/>
  <c r="M663" i="46"/>
  <c r="K665" i="46"/>
  <c r="K271" i="46"/>
  <c r="K509" i="46"/>
  <c r="K259" i="46"/>
  <c r="L666" i="46"/>
  <c r="L510" i="46"/>
  <c r="L260" i="46"/>
  <c r="L272" i="46"/>
  <c r="M511" i="46"/>
  <c r="M261" i="46"/>
  <c r="M667" i="46"/>
  <c r="M273" i="46"/>
  <c r="M1693" i="46"/>
  <c r="M1298" i="46"/>
  <c r="M1537" i="46"/>
  <c r="M1286" i="46"/>
  <c r="L1694" i="46"/>
  <c r="L1299" i="46"/>
  <c r="L1538" i="46"/>
  <c r="L1287" i="46"/>
  <c r="K1288" i="46"/>
  <c r="K1695" i="46"/>
  <c r="K1300" i="46"/>
  <c r="K1539" i="46"/>
  <c r="M1541" i="46"/>
  <c r="M1290" i="46"/>
  <c r="M1697" i="46"/>
  <c r="M1302" i="46"/>
  <c r="L1542" i="46"/>
  <c r="L1291" i="46"/>
  <c r="L1698" i="46"/>
  <c r="L1303" i="46"/>
  <c r="K1699" i="46"/>
  <c r="K1304" i="46"/>
  <c r="K1543" i="46"/>
  <c r="K1292" i="46"/>
  <c r="M1701" i="46"/>
  <c r="M1306" i="46"/>
  <c r="M1545" i="46"/>
  <c r="M1294" i="46"/>
  <c r="L1702" i="46"/>
  <c r="L1307" i="46"/>
  <c r="L1546" i="46"/>
  <c r="L1295" i="46"/>
  <c r="K1547" i="46"/>
  <c r="K1296" i="46"/>
  <c r="K1703" i="46"/>
  <c r="K1308" i="46"/>
  <c r="Q165" i="29"/>
  <c r="E165" i="29" s="1"/>
  <c r="Q153" i="29"/>
  <c r="E153" i="29" s="1"/>
  <c r="E69" i="30"/>
  <c r="E68" i="30"/>
  <c r="F72" i="30"/>
  <c r="R53" i="29" s="1"/>
  <c r="K53" i="29" s="1"/>
  <c r="F73" i="30"/>
  <c r="R65" i="29" s="1"/>
  <c r="K65" i="29" s="1"/>
  <c r="E73" i="30"/>
  <c r="Q65" i="29" s="1"/>
  <c r="E65" i="29" s="1"/>
  <c r="E72" i="30"/>
  <c r="Q53" i="29" s="1"/>
  <c r="E53" i="29" s="1"/>
  <c r="F68" i="30"/>
  <c r="F69" i="30"/>
  <c r="F1299" i="46"/>
  <c r="F1287" i="46"/>
  <c r="F1538" i="46"/>
  <c r="F1694" i="46"/>
  <c r="F1301" i="46"/>
  <c r="F1289" i="46"/>
  <c r="F1696" i="46"/>
  <c r="F1540" i="46"/>
  <c r="F1303" i="46"/>
  <c r="F1291" i="46"/>
  <c r="F1542" i="46"/>
  <c r="F1698" i="46"/>
  <c r="F1544" i="46"/>
  <c r="F1305" i="46"/>
  <c r="F1293" i="46"/>
  <c r="F1700" i="46"/>
  <c r="F1307" i="46"/>
  <c r="F1295" i="46"/>
  <c r="F1546" i="46"/>
  <c r="F1702" i="46"/>
  <c r="F1704" i="46"/>
  <c r="F1309" i="46"/>
  <c r="F1548" i="46"/>
  <c r="F1297" i="46"/>
  <c r="E1298" i="46"/>
  <c r="E1286" i="46"/>
  <c r="E1537" i="46"/>
  <c r="E1693" i="46"/>
  <c r="G1299" i="46"/>
  <c r="G1287" i="46"/>
  <c r="G1538" i="46"/>
  <c r="G1694" i="46"/>
  <c r="E1539" i="46"/>
  <c r="E1300" i="46"/>
  <c r="E1288" i="46"/>
  <c r="E1695" i="46"/>
  <c r="G1301" i="46"/>
  <c r="G1540" i="46"/>
  <c r="G1289" i="46"/>
  <c r="G1696" i="46"/>
  <c r="E1302" i="46"/>
  <c r="E1290" i="46"/>
  <c r="E1541" i="46"/>
  <c r="E1697" i="46"/>
  <c r="G1303" i="46"/>
  <c r="G1291" i="46"/>
  <c r="G1542" i="46"/>
  <c r="G1698" i="46"/>
  <c r="E1292" i="46"/>
  <c r="E1699" i="46"/>
  <c r="E1304" i="46"/>
  <c r="E1543" i="46"/>
  <c r="G1305" i="46"/>
  <c r="G1293" i="46"/>
  <c r="G1700" i="46"/>
  <c r="G1544" i="46"/>
  <c r="E1306" i="46"/>
  <c r="E1294" i="46"/>
  <c r="E1545" i="46"/>
  <c r="E1701" i="46"/>
  <c r="G1307" i="46"/>
  <c r="G1295" i="46"/>
  <c r="G1546" i="46"/>
  <c r="G1702" i="46"/>
  <c r="E1296" i="46"/>
  <c r="E1547" i="46"/>
  <c r="E1703" i="46"/>
  <c r="E1308" i="46"/>
  <c r="G1309" i="46"/>
  <c r="G1297" i="46"/>
  <c r="G1548" i="46"/>
  <c r="G1704" i="46"/>
  <c r="F1298" i="46"/>
  <c r="F1286" i="46"/>
  <c r="F1537" i="46"/>
  <c r="F1693" i="46"/>
  <c r="F1300" i="46"/>
  <c r="F1288" i="46"/>
  <c r="F1695" i="46"/>
  <c r="F1539" i="46"/>
  <c r="F1302" i="46"/>
  <c r="F1290" i="46"/>
  <c r="F1541" i="46"/>
  <c r="F1697" i="46"/>
  <c r="F1304" i="46"/>
  <c r="F1543" i="46"/>
  <c r="F1292" i="46"/>
  <c r="F1699" i="46"/>
  <c r="F1306" i="46"/>
  <c r="F1294" i="46"/>
  <c r="F1545" i="46"/>
  <c r="F1701" i="46"/>
  <c r="F1308" i="46"/>
  <c r="F1296" i="46"/>
  <c r="F1703" i="46"/>
  <c r="F1547" i="46"/>
  <c r="G1286" i="46"/>
  <c r="G1693" i="46"/>
  <c r="G1298" i="46"/>
  <c r="G1537" i="46"/>
  <c r="E1299" i="46"/>
  <c r="E1538" i="46"/>
  <c r="E1287" i="46"/>
  <c r="E1694" i="46"/>
  <c r="G1300" i="46"/>
  <c r="G1288" i="46"/>
  <c r="G1539" i="46"/>
  <c r="G1695" i="46"/>
  <c r="E1301" i="46"/>
  <c r="E1289" i="46"/>
  <c r="E1540" i="46"/>
  <c r="E1696" i="46"/>
  <c r="G1541" i="46"/>
  <c r="G1290" i="46"/>
  <c r="G1697" i="46"/>
  <c r="G1302" i="46"/>
  <c r="E1303" i="46"/>
  <c r="E1291" i="46"/>
  <c r="E1698" i="46"/>
  <c r="E1542" i="46"/>
  <c r="G1304" i="46"/>
  <c r="G1292" i="46"/>
  <c r="G1543" i="46"/>
  <c r="G1699" i="46"/>
  <c r="E1305" i="46"/>
  <c r="E1293" i="46"/>
  <c r="E1544" i="46"/>
  <c r="E1700" i="46"/>
  <c r="G1306" i="46"/>
  <c r="G1701" i="46"/>
  <c r="G1294" i="46"/>
  <c r="G1545" i="46"/>
  <c r="E1307" i="46"/>
  <c r="E1295" i="46"/>
  <c r="E1546" i="46"/>
  <c r="E1702" i="46"/>
  <c r="G1308" i="46"/>
  <c r="G1296" i="46"/>
  <c r="G1547" i="46"/>
  <c r="G1703" i="46"/>
  <c r="E1309" i="46"/>
  <c r="E1297" i="46"/>
  <c r="E1548" i="46"/>
  <c r="E1704" i="46"/>
  <c r="F994" i="46"/>
  <c r="G994" i="46"/>
  <c r="G18" i="32"/>
  <c r="F18" i="32"/>
  <c r="E18" i="32"/>
  <c r="G2045" i="46"/>
  <c r="F2045" i="46"/>
  <c r="E2045" i="46"/>
  <c r="G2037" i="46"/>
  <c r="F2037" i="46"/>
  <c r="E2037" i="46"/>
  <c r="G2027" i="46"/>
  <c r="F2027" i="46"/>
  <c r="E2027" i="46"/>
  <c r="G2016" i="46"/>
  <c r="F2016" i="46"/>
  <c r="E2016" i="46"/>
  <c r="G1987" i="46"/>
  <c r="F1987" i="46"/>
  <c r="E1987" i="46"/>
  <c r="G1986" i="46"/>
  <c r="F1986" i="46"/>
  <c r="E1986" i="46"/>
  <c r="G1985" i="46"/>
  <c r="F1985" i="46"/>
  <c r="E1985" i="46"/>
  <c r="G1984" i="46"/>
  <c r="F1984" i="46"/>
  <c r="E1984" i="46"/>
  <c r="G1983" i="46"/>
  <c r="F1983" i="46"/>
  <c r="E1983" i="46"/>
  <c r="E1982" i="46"/>
  <c r="S165" i="29"/>
  <c r="P165" i="29"/>
  <c r="S164" i="29"/>
  <c r="P164" i="29"/>
  <c r="S163" i="29"/>
  <c r="P163" i="29"/>
  <c r="S162" i="29"/>
  <c r="P162" i="29"/>
  <c r="S161" i="29"/>
  <c r="P161" i="29"/>
  <c r="S160" i="29"/>
  <c r="P160" i="29"/>
  <c r="S159" i="29"/>
  <c r="P159" i="29"/>
  <c r="S158" i="29"/>
  <c r="P158" i="29"/>
  <c r="S157" i="29"/>
  <c r="P157" i="29"/>
  <c r="S156" i="29"/>
  <c r="P156" i="29"/>
  <c r="S155" i="29"/>
  <c r="P155" i="29"/>
  <c r="S154" i="29"/>
  <c r="P154" i="29"/>
  <c r="S153" i="29"/>
  <c r="P153" i="29"/>
  <c r="S152" i="29"/>
  <c r="P152" i="29"/>
  <c r="S151" i="29"/>
  <c r="P151" i="29"/>
  <c r="S150" i="29"/>
  <c r="P150" i="29"/>
  <c r="S149" i="29"/>
  <c r="P149" i="29"/>
  <c r="S148" i="29"/>
  <c r="P148" i="29"/>
  <c r="S147" i="29"/>
  <c r="P147" i="29"/>
  <c r="S146" i="29"/>
  <c r="P146" i="29"/>
  <c r="S145" i="29"/>
  <c r="P145" i="29"/>
  <c r="S144" i="29"/>
  <c r="P144" i="29"/>
  <c r="S143" i="29"/>
  <c r="P143" i="29"/>
  <c r="S142" i="29"/>
  <c r="P142" i="29"/>
  <c r="S141" i="29"/>
  <c r="R141" i="29"/>
  <c r="Q141" i="29"/>
  <c r="E141" i="29" s="1"/>
  <c r="P141" i="29"/>
  <c r="S140" i="29"/>
  <c r="P140" i="29"/>
  <c r="S139" i="29"/>
  <c r="P139" i="29"/>
  <c r="S138" i="29"/>
  <c r="P138" i="29"/>
  <c r="S137" i="29"/>
  <c r="P137" i="29"/>
  <c r="S136" i="29"/>
  <c r="P136" i="29"/>
  <c r="S135" i="29"/>
  <c r="P135" i="29"/>
  <c r="S134" i="29"/>
  <c r="P134" i="29"/>
  <c r="S133" i="29"/>
  <c r="P133" i="29"/>
  <c r="S132" i="29"/>
  <c r="P132" i="29"/>
  <c r="S131" i="29"/>
  <c r="P131" i="29"/>
  <c r="S130" i="29"/>
  <c r="P130" i="29"/>
  <c r="S129" i="29"/>
  <c r="P129" i="29"/>
  <c r="S128" i="29"/>
  <c r="P128" i="29"/>
  <c r="S127" i="29"/>
  <c r="P127" i="29"/>
  <c r="S126" i="29"/>
  <c r="P126" i="29"/>
  <c r="S125" i="29"/>
  <c r="P125" i="29"/>
  <c r="S124" i="29"/>
  <c r="G18" i="68" s="1"/>
  <c r="G19" i="68" s="1"/>
  <c r="P124" i="29"/>
  <c r="S123" i="29"/>
  <c r="P123" i="29"/>
  <c r="S122" i="29"/>
  <c r="P122" i="29"/>
  <c r="S121" i="29"/>
  <c r="P121" i="29"/>
  <c r="S120" i="29"/>
  <c r="P120" i="29"/>
  <c r="S119" i="29"/>
  <c r="P119" i="29"/>
  <c r="S118" i="29"/>
  <c r="R118" i="29"/>
  <c r="Q118" i="29"/>
  <c r="E118" i="29" s="1"/>
  <c r="P118" i="29"/>
  <c r="S117" i="29"/>
  <c r="R117" i="29"/>
  <c r="Q117" i="29"/>
  <c r="E117" i="29" s="1"/>
  <c r="P117" i="29"/>
  <c r="K125" i="58"/>
  <c r="K375" i="70" s="1"/>
  <c r="K124" i="58"/>
  <c r="K374" i="70" s="1"/>
  <c r="K123" i="58"/>
  <c r="K373" i="70" s="1"/>
  <c r="K122" i="58"/>
  <c r="K372" i="70" s="1"/>
  <c r="K121" i="58"/>
  <c r="K371" i="70" s="1"/>
  <c r="K120" i="58"/>
  <c r="K370" i="70" s="1"/>
  <c r="K119" i="58"/>
  <c r="K369" i="70" s="1"/>
  <c r="K118" i="58"/>
  <c r="K368" i="70" s="1"/>
  <c r="K117" i="58"/>
  <c r="K367" i="70" s="1"/>
  <c r="K116" i="58"/>
  <c r="K366" i="70" s="1"/>
  <c r="K64" i="58"/>
  <c r="K202" i="70" s="1"/>
  <c r="K63" i="58"/>
  <c r="K201" i="70" s="1"/>
  <c r="K62" i="58"/>
  <c r="K200" i="70" s="1"/>
  <c r="K61" i="58"/>
  <c r="K199" i="70" s="1"/>
  <c r="K60" i="58"/>
  <c r="K198" i="70" s="1"/>
  <c r="K59" i="58"/>
  <c r="K197" i="70" s="1"/>
  <c r="K58" i="58"/>
  <c r="K196" i="70" s="1"/>
  <c r="K57" i="58"/>
  <c r="K195" i="70" s="1"/>
  <c r="K56" i="58"/>
  <c r="K194" i="70" s="1"/>
  <c r="K55" i="58"/>
  <c r="K193" i="70" s="1"/>
  <c r="S65" i="29"/>
  <c r="P65" i="29"/>
  <c r="S64" i="29"/>
  <c r="P64" i="29"/>
  <c r="S63" i="29"/>
  <c r="P63" i="29"/>
  <c r="S62" i="29"/>
  <c r="P62" i="29"/>
  <c r="S61" i="29"/>
  <c r="P61" i="29"/>
  <c r="S60" i="29"/>
  <c r="P60" i="29"/>
  <c r="S59" i="29"/>
  <c r="P59" i="29"/>
  <c r="S58" i="29"/>
  <c r="P58" i="29"/>
  <c r="S57" i="29"/>
  <c r="P57" i="29"/>
  <c r="S56" i="29"/>
  <c r="P56" i="29"/>
  <c r="S55" i="29"/>
  <c r="P55" i="29"/>
  <c r="S54" i="29"/>
  <c r="P54" i="29"/>
  <c r="S53" i="29"/>
  <c r="P53" i="29"/>
  <c r="S52" i="29"/>
  <c r="P52" i="29"/>
  <c r="S51" i="29"/>
  <c r="P51" i="29"/>
  <c r="S50" i="29"/>
  <c r="P50" i="29"/>
  <c r="S49" i="29"/>
  <c r="P49" i="29"/>
  <c r="S48" i="29"/>
  <c r="P48" i="29"/>
  <c r="S47" i="29"/>
  <c r="P47" i="29"/>
  <c r="S46" i="29"/>
  <c r="P46" i="29"/>
  <c r="S45" i="29"/>
  <c r="P45" i="29"/>
  <c r="S44" i="29"/>
  <c r="P44" i="29"/>
  <c r="S43" i="29"/>
  <c r="P43" i="29"/>
  <c r="S42" i="29"/>
  <c r="P42" i="29"/>
  <c r="F220" i="32"/>
  <c r="G220" i="32"/>
  <c r="F221" i="32"/>
  <c r="G221" i="32"/>
  <c r="E220" i="32"/>
  <c r="E221" i="32"/>
  <c r="I18" i="32" l="1"/>
  <c r="F108" i="1"/>
  <c r="K118" i="29"/>
  <c r="K141" i="29"/>
  <c r="O151" i="32"/>
  <c r="O155" i="32"/>
  <c r="I221" i="32"/>
  <c r="I220" i="32"/>
  <c r="K363" i="31"/>
  <c r="O363" i="31" s="1"/>
  <c r="O363" i="32"/>
  <c r="K362" i="31"/>
  <c r="O362" i="31" s="1"/>
  <c r="O362" i="32"/>
  <c r="K117" i="29"/>
  <c r="G2038" i="46"/>
  <c r="G1995" i="46"/>
  <c r="G1992" i="46"/>
  <c r="G1993" i="46"/>
  <c r="G1996" i="46"/>
  <c r="G2002" i="46"/>
  <c r="G279" i="70" s="1"/>
  <c r="F1989" i="46"/>
  <c r="G1997" i="46"/>
  <c r="E1989" i="46"/>
  <c r="G1989" i="46"/>
  <c r="G1994" i="46"/>
  <c r="E2002" i="46"/>
  <c r="E1992" i="46"/>
  <c r="F1992" i="46"/>
  <c r="E994" i="46"/>
  <c r="E986" i="46"/>
  <c r="F986" i="46"/>
  <c r="G986" i="46"/>
  <c r="F966" i="46"/>
  <c r="G966" i="46"/>
  <c r="F976" i="46"/>
  <c r="G976" i="46"/>
  <c r="E966" i="46"/>
  <c r="Q16" i="29"/>
  <c r="E16" i="29" s="1"/>
  <c r="R16" i="29"/>
  <c r="S16" i="29"/>
  <c r="Q18" i="29"/>
  <c r="R18" i="29"/>
  <c r="S18" i="29"/>
  <c r="S19" i="29"/>
  <c r="S20" i="29"/>
  <c r="S21" i="29"/>
  <c r="S22" i="29"/>
  <c r="S23" i="29"/>
  <c r="S24" i="29"/>
  <c r="S25" i="29"/>
  <c r="S26" i="29"/>
  <c r="S27" i="29"/>
  <c r="S28" i="29"/>
  <c r="S29" i="29"/>
  <c r="S30" i="29"/>
  <c r="S31" i="29"/>
  <c r="S32" i="29"/>
  <c r="S33" i="29"/>
  <c r="S34" i="29"/>
  <c r="S35" i="29"/>
  <c r="S36" i="29"/>
  <c r="S37" i="29"/>
  <c r="S38" i="29"/>
  <c r="S39" i="29"/>
  <c r="S40" i="29"/>
  <c r="Q41" i="29"/>
  <c r="R41" i="29"/>
  <c r="S41" i="29"/>
  <c r="R15" i="29"/>
  <c r="S15" i="29"/>
  <c r="Q15" i="29"/>
  <c r="E15" i="29" s="1"/>
  <c r="E264" i="31" l="1"/>
  <c r="K264" i="32" s="1"/>
  <c r="E279" i="70"/>
  <c r="K15" i="29"/>
  <c r="K16" i="29"/>
  <c r="G264" i="31"/>
  <c r="M264" i="32" s="1"/>
  <c r="F264" i="31"/>
  <c r="L264" i="32" s="1"/>
  <c r="I20" i="66"/>
  <c r="E132" i="71" s="1"/>
  <c r="G1999" i="46"/>
  <c r="E20" i="66"/>
  <c r="E41" i="29"/>
  <c r="K41" i="29" s="1"/>
  <c r="P41" i="29"/>
  <c r="F932" i="46"/>
  <c r="G932" i="46"/>
  <c r="F933" i="46"/>
  <c r="G933" i="46"/>
  <c r="F934" i="46"/>
  <c r="G934" i="46"/>
  <c r="F935" i="46"/>
  <c r="G935" i="46"/>
  <c r="F936" i="46"/>
  <c r="G936" i="46"/>
  <c r="E932" i="46"/>
  <c r="E933" i="46"/>
  <c r="E934" i="46"/>
  <c r="E935" i="46"/>
  <c r="E936" i="46"/>
  <c r="E931" i="46"/>
  <c r="P16" i="29"/>
  <c r="P18" i="29"/>
  <c r="P19" i="29"/>
  <c r="P20" i="29"/>
  <c r="P21" i="29"/>
  <c r="P22" i="29"/>
  <c r="P23" i="29"/>
  <c r="P24" i="29"/>
  <c r="P25" i="29"/>
  <c r="P26" i="29"/>
  <c r="P27" i="29"/>
  <c r="P28" i="29"/>
  <c r="P29" i="29"/>
  <c r="P30" i="29"/>
  <c r="P31" i="29"/>
  <c r="P32" i="29"/>
  <c r="P33" i="29"/>
  <c r="P34" i="29"/>
  <c r="P35" i="29"/>
  <c r="P36" i="29"/>
  <c r="P37" i="29"/>
  <c r="P38" i="29"/>
  <c r="P39" i="29"/>
  <c r="P40" i="29"/>
  <c r="P15" i="29"/>
  <c r="E941" i="46" l="1"/>
  <c r="I264" i="31"/>
  <c r="O264" i="32"/>
  <c r="G951" i="46"/>
  <c r="G941" i="46"/>
  <c r="E951" i="46"/>
  <c r="E106" i="70" s="1"/>
  <c r="F941" i="46"/>
  <c r="F951" i="46"/>
  <c r="F938" i="46"/>
  <c r="E938" i="46"/>
  <c r="G938" i="46"/>
  <c r="L345" i="30"/>
  <c r="K345" i="30"/>
  <c r="D345" i="30"/>
  <c r="L351" i="30"/>
  <c r="K351" i="30"/>
  <c r="D351" i="30"/>
  <c r="L350" i="30"/>
  <c r="K350" i="30"/>
  <c r="L349" i="30"/>
  <c r="K349" i="30"/>
  <c r="L348" i="30"/>
  <c r="K348" i="30"/>
  <c r="L347" i="30"/>
  <c r="K347" i="30"/>
  <c r="L346" i="30"/>
  <c r="K346" i="30"/>
  <c r="D346" i="30"/>
  <c r="L344" i="30"/>
  <c r="K344" i="30"/>
  <c r="D344" i="30"/>
  <c r="L341" i="30"/>
  <c r="K341" i="30"/>
  <c r="D341" i="30"/>
  <c r="L340" i="30"/>
  <c r="K340" i="30"/>
  <c r="L339" i="30"/>
  <c r="K339" i="30"/>
  <c r="L338" i="30"/>
  <c r="K338" i="30"/>
  <c r="L337" i="30"/>
  <c r="K337" i="30"/>
  <c r="L332" i="30"/>
  <c r="K332" i="30"/>
  <c r="D332" i="30"/>
  <c r="L331" i="30"/>
  <c r="K331" i="30"/>
  <c r="D331" i="30"/>
  <c r="L328" i="30"/>
  <c r="K328" i="30"/>
  <c r="D328" i="30"/>
  <c r="L323" i="30"/>
  <c r="K323" i="30"/>
  <c r="D323" i="30"/>
  <c r="L322" i="30"/>
  <c r="K322" i="30"/>
  <c r="D322" i="30"/>
  <c r="L274" i="30"/>
  <c r="K274" i="30"/>
  <c r="L316" i="30"/>
  <c r="K316" i="30"/>
  <c r="D316" i="30"/>
  <c r="L315" i="30"/>
  <c r="K315" i="30"/>
  <c r="L314" i="30"/>
  <c r="K314" i="30"/>
  <c r="L313" i="30"/>
  <c r="K313" i="30"/>
  <c r="L312" i="30"/>
  <c r="K312" i="30"/>
  <c r="L307" i="30"/>
  <c r="K307" i="30"/>
  <c r="D307" i="30"/>
  <c r="L306" i="30"/>
  <c r="K306" i="30"/>
  <c r="E306" i="30" s="1"/>
  <c r="D306" i="30"/>
  <c r="L299" i="30"/>
  <c r="K299" i="30"/>
  <c r="L298" i="30"/>
  <c r="K298" i="30"/>
  <c r="L300" i="30"/>
  <c r="K300" i="30"/>
  <c r="D300" i="30"/>
  <c r="L297" i="30"/>
  <c r="K297" i="30"/>
  <c r="L296" i="30"/>
  <c r="K296" i="30"/>
  <c r="L295" i="30"/>
  <c r="K295" i="30"/>
  <c r="D295" i="30"/>
  <c r="L294" i="30"/>
  <c r="K294" i="30"/>
  <c r="D294" i="30"/>
  <c r="L293" i="30"/>
  <c r="K293" i="30"/>
  <c r="D293" i="30"/>
  <c r="L290" i="30"/>
  <c r="K290" i="30"/>
  <c r="D290" i="30"/>
  <c r="L289" i="30"/>
  <c r="K289" i="30"/>
  <c r="D289" i="30"/>
  <c r="L286" i="30"/>
  <c r="K286" i="30"/>
  <c r="D286" i="30"/>
  <c r="L285" i="30"/>
  <c r="K285" i="30"/>
  <c r="D285" i="30"/>
  <c r="L282" i="30"/>
  <c r="K282" i="30"/>
  <c r="D282" i="30"/>
  <c r="L281" i="30"/>
  <c r="K281" i="30"/>
  <c r="D281" i="30"/>
  <c r="L278" i="30"/>
  <c r="K278" i="30"/>
  <c r="D278" i="30"/>
  <c r="L277" i="30"/>
  <c r="K277" i="30"/>
  <c r="D277" i="30"/>
  <c r="D274" i="30"/>
  <c r="L269" i="30"/>
  <c r="K269" i="30"/>
  <c r="D269" i="30"/>
  <c r="L268" i="30"/>
  <c r="K268" i="30"/>
  <c r="D268" i="30"/>
  <c r="L267" i="30"/>
  <c r="K267" i="30"/>
  <c r="D267" i="30"/>
  <c r="L259" i="30"/>
  <c r="K259" i="30"/>
  <c r="L261" i="30"/>
  <c r="K261" i="30"/>
  <c r="D261" i="30"/>
  <c r="L260" i="30"/>
  <c r="K260" i="30"/>
  <c r="L258" i="30"/>
  <c r="K258" i="30"/>
  <c r="D258" i="30"/>
  <c r="L257" i="30"/>
  <c r="K257" i="30"/>
  <c r="D257" i="30"/>
  <c r="L256" i="30"/>
  <c r="K256" i="30"/>
  <c r="D256" i="30"/>
  <c r="L253" i="30"/>
  <c r="K253" i="30"/>
  <c r="D253" i="30"/>
  <c r="L252" i="30"/>
  <c r="K252" i="30"/>
  <c r="D252" i="30"/>
  <c r="D251" i="30"/>
  <c r="L250" i="30"/>
  <c r="K250" i="30"/>
  <c r="D250" i="30"/>
  <c r="L249" i="30"/>
  <c r="K249" i="30"/>
  <c r="D249" i="30"/>
  <c r="L248" i="30"/>
  <c r="K248" i="30"/>
  <c r="D248" i="30"/>
  <c r="L247" i="30"/>
  <c r="K247" i="30"/>
  <c r="D247" i="30"/>
  <c r="K243" i="30"/>
  <c r="L243" i="30"/>
  <c r="K244" i="30"/>
  <c r="L244" i="30"/>
  <c r="D244" i="30"/>
  <c r="D242" i="30"/>
  <c r="L241" i="30"/>
  <c r="K241" i="30"/>
  <c r="D241" i="30"/>
  <c r="L240" i="30"/>
  <c r="K240" i="30"/>
  <c r="D240" i="30"/>
  <c r="L239" i="30"/>
  <c r="K239" i="30"/>
  <c r="D239" i="30"/>
  <c r="L238" i="30"/>
  <c r="K238" i="30"/>
  <c r="D238" i="30"/>
  <c r="L231" i="30"/>
  <c r="K231" i="30"/>
  <c r="D231" i="30"/>
  <c r="L230" i="30"/>
  <c r="K230" i="30"/>
  <c r="D230" i="30"/>
  <c r="L229" i="30"/>
  <c r="K229" i="30"/>
  <c r="D229" i="30"/>
  <c r="L226" i="30"/>
  <c r="K226" i="30"/>
  <c r="D226" i="30"/>
  <c r="L225" i="30"/>
  <c r="K225" i="30"/>
  <c r="D225" i="30"/>
  <c r="L224" i="30"/>
  <c r="K224" i="30"/>
  <c r="D224" i="30"/>
  <c r="L218" i="30"/>
  <c r="K218" i="30"/>
  <c r="D218" i="30"/>
  <c r="L217" i="30"/>
  <c r="K217" i="30"/>
  <c r="D217" i="30"/>
  <c r="L216" i="30"/>
  <c r="K216" i="30"/>
  <c r="D216" i="30"/>
  <c r="L215" i="30"/>
  <c r="K215" i="30"/>
  <c r="D215" i="30"/>
  <c r="G62" i="31" l="1"/>
  <c r="M62" i="32" s="1"/>
  <c r="G106" i="70"/>
  <c r="F62" i="31"/>
  <c r="L62" i="32" s="1"/>
  <c r="F106" i="70"/>
  <c r="I20" i="65"/>
  <c r="E35" i="71" s="1"/>
  <c r="E62" i="31"/>
  <c r="E20" i="65"/>
  <c r="L206" i="30"/>
  <c r="K206" i="30"/>
  <c r="L209" i="30"/>
  <c r="K209" i="30"/>
  <c r="D209" i="30"/>
  <c r="L208" i="30"/>
  <c r="K208" i="30"/>
  <c r="D208" i="30"/>
  <c r="L207" i="30"/>
  <c r="K207" i="30"/>
  <c r="D207" i="30"/>
  <c r="D243" i="30"/>
  <c r="D206" i="30"/>
  <c r="D202" i="30"/>
  <c r="D201" i="30"/>
  <c r="D200" i="30"/>
  <c r="D196" i="30"/>
  <c r="D195" i="30"/>
  <c r="L202" i="30"/>
  <c r="K202" i="30"/>
  <c r="L201" i="30"/>
  <c r="K201" i="30"/>
  <c r="L200" i="30"/>
  <c r="K200" i="30"/>
  <c r="L196" i="30"/>
  <c r="K196" i="30"/>
  <c r="L195" i="30"/>
  <c r="K195" i="30"/>
  <c r="K62" i="32" l="1"/>
  <c r="O62" i="32" s="1"/>
  <c r="I62" i="31"/>
  <c r="G987" i="46"/>
  <c r="M1977" i="46"/>
  <c r="L1977" i="46"/>
  <c r="K131" i="58"/>
  <c r="G1977" i="46"/>
  <c r="F1977" i="46"/>
  <c r="E1977" i="46"/>
  <c r="K130" i="58"/>
  <c r="K1976" i="46" s="1"/>
  <c r="M926" i="46"/>
  <c r="L926" i="46"/>
  <c r="K70" i="58"/>
  <c r="G926" i="46"/>
  <c r="F926" i="46"/>
  <c r="E926" i="46"/>
  <c r="K69" i="58"/>
  <c r="K925" i="46" s="1"/>
  <c r="M1971" i="46"/>
  <c r="L1971" i="46"/>
  <c r="K129" i="58"/>
  <c r="G1971" i="46"/>
  <c r="F1971" i="46"/>
  <c r="E1971" i="46"/>
  <c r="K128" i="58"/>
  <c r="K1970" i="46" s="1"/>
  <c r="K68" i="58"/>
  <c r="K67" i="58"/>
  <c r="F920" i="46"/>
  <c r="G920" i="46"/>
  <c r="E920" i="46"/>
  <c r="K173" i="70" l="1"/>
  <c r="K919" i="46"/>
  <c r="K346" i="70"/>
  <c r="K347" i="70"/>
  <c r="K1971" i="46"/>
  <c r="K348" i="70"/>
  <c r="K1977" i="46"/>
  <c r="K349" i="70"/>
  <c r="K174" i="70"/>
  <c r="K926" i="46"/>
  <c r="K176" i="70"/>
  <c r="L1979" i="46"/>
  <c r="M928" i="46"/>
  <c r="M82" i="31" s="1"/>
  <c r="M1979" i="46"/>
  <c r="M173" i="70"/>
  <c r="L920" i="46"/>
  <c r="L175" i="70"/>
  <c r="K920" i="46"/>
  <c r="K175" i="70"/>
  <c r="L922" i="46"/>
  <c r="L173" i="70"/>
  <c r="M920" i="46"/>
  <c r="M175" i="70"/>
  <c r="L1973" i="46"/>
  <c r="M1973" i="46"/>
  <c r="L928" i="46"/>
  <c r="L82" i="31" s="1"/>
  <c r="G1973" i="46"/>
  <c r="E1979" i="46"/>
  <c r="E922" i="46"/>
  <c r="E117" i="31" s="1"/>
  <c r="E1973" i="46"/>
  <c r="G1979" i="46"/>
  <c r="F1973" i="46"/>
  <c r="F1979" i="46"/>
  <c r="G928" i="46"/>
  <c r="G146" i="31" s="1"/>
  <c r="M146" i="32" s="1"/>
  <c r="E928" i="46"/>
  <c r="F928" i="46"/>
  <c r="G922" i="46"/>
  <c r="G145" i="31" s="1"/>
  <c r="M145" i="32" s="1"/>
  <c r="F922" i="46"/>
  <c r="F302" i="31" l="1"/>
  <c r="F391" i="31"/>
  <c r="F321" i="31"/>
  <c r="F284" i="31"/>
  <c r="F349" i="31"/>
  <c r="F283" i="31"/>
  <c r="F348" i="31"/>
  <c r="F301" i="31"/>
  <c r="L301" i="32" s="1"/>
  <c r="F390" i="31"/>
  <c r="F320" i="31"/>
  <c r="L301" i="31"/>
  <c r="L390" i="31"/>
  <c r="L320" i="31"/>
  <c r="L283" i="31"/>
  <c r="L348" i="31"/>
  <c r="L284" i="31"/>
  <c r="L349" i="31"/>
  <c r="L302" i="31"/>
  <c r="L391" i="31"/>
  <c r="L321" i="31"/>
  <c r="G302" i="31"/>
  <c r="G391" i="31"/>
  <c r="G321" i="31"/>
  <c r="G284" i="31"/>
  <c r="G349" i="31"/>
  <c r="G283" i="31"/>
  <c r="G348" i="31"/>
  <c r="G301" i="31"/>
  <c r="M301" i="32" s="1"/>
  <c r="G390" i="31"/>
  <c r="G320" i="31"/>
  <c r="M391" i="31"/>
  <c r="M284" i="31"/>
  <c r="M349" i="31"/>
  <c r="M321" i="31"/>
  <c r="M302" i="31"/>
  <c r="M283" i="31"/>
  <c r="M301" i="31"/>
  <c r="M390" i="31"/>
  <c r="M320" i="31"/>
  <c r="M348" i="31"/>
  <c r="E391" i="31"/>
  <c r="E284" i="31"/>
  <c r="E302" i="31"/>
  <c r="E321" i="31"/>
  <c r="E409" i="31"/>
  <c r="K409" i="32" s="1"/>
  <c r="E301" i="31"/>
  <c r="E283" i="31"/>
  <c r="E390" i="31"/>
  <c r="E320" i="31"/>
  <c r="L1498" i="46"/>
  <c r="L1561" i="46" s="1"/>
  <c r="L1640" i="46" s="1"/>
  <c r="L1654" i="46"/>
  <c r="L1717" i="46" s="1"/>
  <c r="L1796" i="46" s="1"/>
  <c r="L463" i="46"/>
  <c r="L526" i="46" s="1"/>
  <c r="L605" i="46" s="1"/>
  <c r="L619" i="46"/>
  <c r="L682" i="46" s="1"/>
  <c r="L761" i="46" s="1"/>
  <c r="M463" i="46"/>
  <c r="M526" i="46" s="1"/>
  <c r="M605" i="46" s="1"/>
  <c r="M619" i="46"/>
  <c r="M682" i="46" s="1"/>
  <c r="M761" i="46" s="1"/>
  <c r="K1979" i="46"/>
  <c r="K1973" i="46"/>
  <c r="K928" i="46"/>
  <c r="K100" i="31" s="1"/>
  <c r="L100" i="31"/>
  <c r="L410" i="31"/>
  <c r="K922" i="46"/>
  <c r="K81" i="31" s="1"/>
  <c r="L146" i="31"/>
  <c r="L188" i="31"/>
  <c r="M410" i="31"/>
  <c r="L207" i="31"/>
  <c r="L118" i="31"/>
  <c r="M188" i="31"/>
  <c r="M146" i="31"/>
  <c r="M409" i="31"/>
  <c r="G410" i="31"/>
  <c r="M410" i="32" s="1"/>
  <c r="M349" i="32"/>
  <c r="G409" i="31"/>
  <c r="M409" i="32" s="1"/>
  <c r="M348" i="32"/>
  <c r="M118" i="31"/>
  <c r="M207" i="31"/>
  <c r="F410" i="31"/>
  <c r="L410" i="32" s="1"/>
  <c r="M100" i="31"/>
  <c r="F409" i="31"/>
  <c r="L409" i="32" s="1"/>
  <c r="L409" i="31"/>
  <c r="M922" i="46"/>
  <c r="L174" i="46"/>
  <c r="L288" i="46" s="1"/>
  <c r="L437" i="46" s="1"/>
  <c r="L187" i="46"/>
  <c r="L1209" i="46"/>
  <c r="L1323" i="46" s="1"/>
  <c r="L1472" i="46" s="1"/>
  <c r="L1222" i="46"/>
  <c r="L1336" i="46" s="1"/>
  <c r="L1484" i="46" s="1"/>
  <c r="M187" i="46"/>
  <c r="M174" i="46"/>
  <c r="M288" i="46" s="1"/>
  <c r="M437" i="46" s="1"/>
  <c r="L206" i="31"/>
  <c r="L145" i="31"/>
  <c r="L117" i="31"/>
  <c r="L81" i="31"/>
  <c r="L99" i="31"/>
  <c r="L187" i="31"/>
  <c r="G206" i="31"/>
  <c r="M206" i="32" s="1"/>
  <c r="G207" i="31"/>
  <c r="M207" i="32" s="1"/>
  <c r="E410" i="31"/>
  <c r="M302" i="32"/>
  <c r="M390" i="32"/>
  <c r="M391" i="32"/>
  <c r="M320" i="32"/>
  <c r="E187" i="31"/>
  <c r="E99" i="31"/>
  <c r="M321" i="32"/>
  <c r="E81" i="31"/>
  <c r="L302" i="32"/>
  <c r="L391" i="32"/>
  <c r="L321" i="32"/>
  <c r="L390" i="32"/>
  <c r="L320" i="32"/>
  <c r="G118" i="31"/>
  <c r="M118" i="32" s="1"/>
  <c r="G188" i="31"/>
  <c r="M188" i="32" s="1"/>
  <c r="G100" i="31"/>
  <c r="M100" i="32" s="1"/>
  <c r="G82" i="31"/>
  <c r="F188" i="31"/>
  <c r="L188" i="32" s="1"/>
  <c r="F100" i="31"/>
  <c r="L100" i="32" s="1"/>
  <c r="F82" i="31"/>
  <c r="F118" i="31"/>
  <c r="L118" i="32" s="1"/>
  <c r="E118" i="31"/>
  <c r="E100" i="31"/>
  <c r="E188" i="31"/>
  <c r="E82" i="31"/>
  <c r="F187" i="31"/>
  <c r="L187" i="32" s="1"/>
  <c r="F99" i="31"/>
  <c r="L99" i="32" s="1"/>
  <c r="F81" i="31"/>
  <c r="F117" i="31"/>
  <c r="L117" i="32" s="1"/>
  <c r="G117" i="31"/>
  <c r="M117" i="32" s="1"/>
  <c r="G99" i="31"/>
  <c r="M99" i="32" s="1"/>
  <c r="G81" i="31"/>
  <c r="G187" i="31"/>
  <c r="M187" i="32" s="1"/>
  <c r="G241" i="31"/>
  <c r="M241" i="32" s="1"/>
  <c r="M241" i="31" s="1"/>
  <c r="F241" i="31"/>
  <c r="L241" i="32" s="1"/>
  <c r="L241" i="31" s="1"/>
  <c r="E241" i="31"/>
  <c r="G240" i="31"/>
  <c r="M240" i="32" s="1"/>
  <c r="M240" i="31" s="1"/>
  <c r="F240" i="31"/>
  <c r="L240" i="32" s="1"/>
  <c r="L240" i="31" s="1"/>
  <c r="E240" i="31"/>
  <c r="G239" i="31"/>
  <c r="M239" i="32" s="1"/>
  <c r="M239" i="31" s="1"/>
  <c r="F239" i="31"/>
  <c r="E239" i="31"/>
  <c r="K239" i="32" s="1"/>
  <c r="G238" i="31"/>
  <c r="M238" i="32" s="1"/>
  <c r="F238" i="31"/>
  <c r="E238" i="31"/>
  <c r="K238" i="32" s="1"/>
  <c r="G237" i="31"/>
  <c r="M237" i="32" s="1"/>
  <c r="F237" i="31"/>
  <c r="E237" i="31"/>
  <c r="K237" i="32" s="1"/>
  <c r="G236" i="31"/>
  <c r="M236" i="32" s="1"/>
  <c r="F236" i="31"/>
  <c r="E236" i="31"/>
  <c r="K236" i="32" s="1"/>
  <c r="G235" i="31"/>
  <c r="M235" i="32" s="1"/>
  <c r="F235" i="31"/>
  <c r="E235" i="31"/>
  <c r="K235" i="32" s="1"/>
  <c r="G234" i="31"/>
  <c r="M234" i="32" s="1"/>
  <c r="F234" i="31"/>
  <c r="E234" i="31"/>
  <c r="K234" i="32" s="1"/>
  <c r="G233" i="31"/>
  <c r="M233" i="32" s="1"/>
  <c r="F233" i="31"/>
  <c r="E233" i="31"/>
  <c r="K233" i="32" s="1"/>
  <c r="G232" i="31"/>
  <c r="M232" i="32" s="1"/>
  <c r="F232" i="31"/>
  <c r="E232" i="31"/>
  <c r="K232" i="32" s="1"/>
  <c r="G231" i="31"/>
  <c r="M231" i="32" s="1"/>
  <c r="F231" i="31"/>
  <c r="E231" i="31"/>
  <c r="K231" i="32" s="1"/>
  <c r="G230" i="31"/>
  <c r="M230" i="32" s="1"/>
  <c r="F230" i="31"/>
  <c r="E230" i="31"/>
  <c r="K230" i="32" s="1"/>
  <c r="K283" i="31" l="1"/>
  <c r="K301" i="31"/>
  <c r="O301" i="31" s="1"/>
  <c r="K390" i="31"/>
  <c r="O390" i="31" s="1"/>
  <c r="K320" i="31"/>
  <c r="AN20" i="64" s="1"/>
  <c r="K302" i="31"/>
  <c r="O302" i="31" s="1"/>
  <c r="K391" i="31"/>
  <c r="O391" i="31" s="1"/>
  <c r="K321" i="31"/>
  <c r="O321" i="31" s="1"/>
  <c r="K284" i="31"/>
  <c r="AA20" i="64"/>
  <c r="M1499" i="46"/>
  <c r="M1655" i="46"/>
  <c r="M1718" i="46" s="1"/>
  <c r="M1797" i="46" s="1"/>
  <c r="M81" i="32"/>
  <c r="G462" i="46"/>
  <c r="G525" i="46" s="1"/>
  <c r="G604" i="46" s="1"/>
  <c r="G618" i="46"/>
  <c r="G681" i="46" s="1"/>
  <c r="G760" i="46" s="1"/>
  <c r="L82" i="32"/>
  <c r="F463" i="46"/>
  <c r="F526" i="46" s="1"/>
  <c r="F605" i="46" s="1"/>
  <c r="F619" i="46"/>
  <c r="F1498" i="46"/>
  <c r="F1654" i="46"/>
  <c r="F1717" i="46" s="1"/>
  <c r="F1796" i="46" s="1"/>
  <c r="F1655" i="46"/>
  <c r="F1718" i="46" s="1"/>
  <c r="F1797" i="46" s="1"/>
  <c r="F1499" i="46"/>
  <c r="M82" i="32"/>
  <c r="G463" i="46"/>
  <c r="G526" i="46" s="1"/>
  <c r="G605" i="46" s="1"/>
  <c r="G619" i="46"/>
  <c r="G682" i="46" s="1"/>
  <c r="G761" i="46" s="1"/>
  <c r="L1499" i="46"/>
  <c r="L1579" i="46" s="1"/>
  <c r="L1655" i="46"/>
  <c r="L81" i="32"/>
  <c r="F462" i="46"/>
  <c r="F525" i="46" s="1"/>
  <c r="F604" i="46" s="1"/>
  <c r="F618" i="46"/>
  <c r="G1655" i="46"/>
  <c r="G1718" i="46" s="1"/>
  <c r="G1797" i="46" s="1"/>
  <c r="G1499" i="46"/>
  <c r="L462" i="46"/>
  <c r="L525" i="46" s="1"/>
  <c r="L604" i="46" s="1"/>
  <c r="L618" i="46"/>
  <c r="L681" i="46" s="1"/>
  <c r="L760" i="46" s="1"/>
  <c r="G1498" i="46"/>
  <c r="G1654" i="46"/>
  <c r="G1717" i="46" s="1"/>
  <c r="G1796" i="46" s="1"/>
  <c r="M1498" i="46"/>
  <c r="M1561" i="46" s="1"/>
  <c r="M1640" i="46" s="1"/>
  <c r="M1654" i="46"/>
  <c r="M1717" i="46" s="1"/>
  <c r="M1796" i="46" s="1"/>
  <c r="M1210" i="46"/>
  <c r="K99" i="31"/>
  <c r="K82" i="31"/>
  <c r="K188" i="31"/>
  <c r="O188" i="31" s="1"/>
  <c r="K118" i="31"/>
  <c r="AN21" i="63" s="1"/>
  <c r="I190" i="70" s="1"/>
  <c r="K117" i="31"/>
  <c r="AN20" i="63" s="1"/>
  <c r="O100" i="31"/>
  <c r="M699" i="46"/>
  <c r="M714" i="46"/>
  <c r="L558" i="46"/>
  <c r="L543" i="46"/>
  <c r="M543" i="46"/>
  <c r="M558" i="46"/>
  <c r="M1223" i="46"/>
  <c r="L331" i="46"/>
  <c r="L359" i="46"/>
  <c r="L301" i="46"/>
  <c r="L449" i="46" s="1"/>
  <c r="M775" i="46"/>
  <c r="M346" i="46"/>
  <c r="M318" i="46"/>
  <c r="L775" i="46"/>
  <c r="L318" i="46"/>
  <c r="L346" i="46"/>
  <c r="M359" i="46"/>
  <c r="M301" i="46"/>
  <c r="M449" i="46" s="1"/>
  <c r="M331" i="46"/>
  <c r="L714" i="46"/>
  <c r="L699" i="46"/>
  <c r="K187" i="31"/>
  <c r="L1210" i="46"/>
  <c r="L1223" i="46"/>
  <c r="I410" i="31"/>
  <c r="I409" i="31"/>
  <c r="O409" i="32"/>
  <c r="M81" i="31"/>
  <c r="M206" i="31"/>
  <c r="M99" i="31"/>
  <c r="M187" i="31"/>
  <c r="M117" i="31"/>
  <c r="M145" i="31"/>
  <c r="I118" i="31"/>
  <c r="I320" i="31"/>
  <c r="I321" i="31"/>
  <c r="K232" i="31"/>
  <c r="K236" i="31"/>
  <c r="K240" i="32"/>
  <c r="I240" i="31"/>
  <c r="K100" i="32"/>
  <c r="O100" i="32" s="1"/>
  <c r="I100" i="31"/>
  <c r="M284" i="32"/>
  <c r="G1223" i="46"/>
  <c r="G1210" i="46"/>
  <c r="K187" i="32"/>
  <c r="O187" i="32" s="1"/>
  <c r="I187" i="31"/>
  <c r="M1209" i="46"/>
  <c r="M1323" i="46" s="1"/>
  <c r="M1472" i="46" s="1"/>
  <c r="M1222" i="46"/>
  <c r="M1336" i="46" s="1"/>
  <c r="M1484" i="46" s="1"/>
  <c r="K231" i="31"/>
  <c r="K235" i="31"/>
  <c r="L284" i="32"/>
  <c r="F1223" i="46"/>
  <c r="F1210" i="46"/>
  <c r="K81" i="32"/>
  <c r="I81" i="31"/>
  <c r="K391" i="32"/>
  <c r="I391" i="31"/>
  <c r="K230" i="31"/>
  <c r="K234" i="31"/>
  <c r="K238" i="31"/>
  <c r="K82" i="32"/>
  <c r="I82" i="31"/>
  <c r="I117" i="31"/>
  <c r="K390" i="32"/>
  <c r="O390" i="32" s="1"/>
  <c r="I390" i="31"/>
  <c r="K284" i="32"/>
  <c r="I284" i="31"/>
  <c r="K239" i="31"/>
  <c r="K302" i="32"/>
  <c r="O302" i="32" s="1"/>
  <c r="I302" i="31"/>
  <c r="K233" i="31"/>
  <c r="K237" i="31"/>
  <c r="K241" i="32"/>
  <c r="I241" i="31"/>
  <c r="K188" i="32"/>
  <c r="O188" i="32" s="1"/>
  <c r="I188" i="31"/>
  <c r="K301" i="32"/>
  <c r="O301" i="32" s="1"/>
  <c r="I301" i="31"/>
  <c r="I283" i="31"/>
  <c r="K99" i="32"/>
  <c r="O99" i="32" s="1"/>
  <c r="I99" i="31"/>
  <c r="L230" i="32"/>
  <c r="O230" i="32" s="1"/>
  <c r="I230" i="31"/>
  <c r="M81" i="47"/>
  <c r="M231" i="31"/>
  <c r="L234" i="32"/>
  <c r="O234" i="32" s="1"/>
  <c r="I234" i="31"/>
  <c r="M89" i="47"/>
  <c r="M235" i="31"/>
  <c r="L238" i="32"/>
  <c r="O238" i="32" s="1"/>
  <c r="I238" i="31"/>
  <c r="M74" i="47"/>
  <c r="M230" i="31"/>
  <c r="L233" i="32"/>
  <c r="O233" i="32" s="1"/>
  <c r="I233" i="31"/>
  <c r="M82" i="47"/>
  <c r="M234" i="31"/>
  <c r="L237" i="32"/>
  <c r="O237" i="32" s="1"/>
  <c r="I237" i="31"/>
  <c r="M90" i="47"/>
  <c r="M238" i="31"/>
  <c r="L232" i="32"/>
  <c r="O232" i="32" s="1"/>
  <c r="I232" i="31"/>
  <c r="M75" i="47"/>
  <c r="M233" i="31"/>
  <c r="L236" i="32"/>
  <c r="O236" i="32" s="1"/>
  <c r="I236" i="31"/>
  <c r="M83" i="47"/>
  <c r="M237" i="31"/>
  <c r="L231" i="32"/>
  <c r="O231" i="32" s="1"/>
  <c r="I231" i="31"/>
  <c r="M88" i="47"/>
  <c r="M92" i="47" s="1"/>
  <c r="M232" i="31"/>
  <c r="L235" i="32"/>
  <c r="O235" i="32" s="1"/>
  <c r="I235" i="31"/>
  <c r="M76" i="47"/>
  <c r="M78" i="47" s="1"/>
  <c r="M236" i="31"/>
  <c r="L239" i="32"/>
  <c r="L239" i="31" s="1"/>
  <c r="I239" i="31"/>
  <c r="L186" i="46"/>
  <c r="L173" i="46"/>
  <c r="L287" i="46" s="1"/>
  <c r="L436" i="46" s="1"/>
  <c r="M283" i="32"/>
  <c r="G1222" i="46"/>
  <c r="G1336" i="46" s="1"/>
  <c r="G1484" i="46" s="1"/>
  <c r="G1209" i="46"/>
  <c r="L283" i="32"/>
  <c r="F1209" i="46"/>
  <c r="K283" i="32"/>
  <c r="K20" i="63"/>
  <c r="K117" i="32"/>
  <c r="O117" i="32" s="1"/>
  <c r="K21" i="64"/>
  <c r="K321" i="32"/>
  <c r="O321" i="32" s="1"/>
  <c r="K20" i="64"/>
  <c r="K320" i="32"/>
  <c r="O320" i="32" s="1"/>
  <c r="K21" i="63"/>
  <c r="K118" i="32"/>
  <c r="O118" i="32" s="1"/>
  <c r="AA21" i="64"/>
  <c r="K410" i="32"/>
  <c r="O410" i="32" s="1"/>
  <c r="E187" i="46"/>
  <c r="E301" i="46" s="1"/>
  <c r="E449" i="46" s="1"/>
  <c r="G187" i="46"/>
  <c r="G301" i="46" s="1"/>
  <c r="G449" i="46" s="1"/>
  <c r="G174" i="46"/>
  <c r="G288" i="46" s="1"/>
  <c r="G437" i="46" s="1"/>
  <c r="G173" i="46"/>
  <c r="G287" i="46" s="1"/>
  <c r="G436" i="46" s="1"/>
  <c r="G186" i="46"/>
  <c r="G300" i="46" s="1"/>
  <c r="G448" i="46" s="1"/>
  <c r="F174" i="46"/>
  <c r="F288" i="46" s="1"/>
  <c r="F437" i="46" s="1"/>
  <c r="F187" i="46"/>
  <c r="F301" i="46" s="1"/>
  <c r="F449" i="46" s="1"/>
  <c r="G36" i="31"/>
  <c r="M36" i="32" s="1"/>
  <c r="F36" i="31"/>
  <c r="L36" i="32" s="1"/>
  <c r="E36" i="31"/>
  <c r="G35" i="31"/>
  <c r="M35" i="32" s="1"/>
  <c r="F35" i="31"/>
  <c r="L35" i="32" s="1"/>
  <c r="E35" i="31"/>
  <c r="G34" i="31"/>
  <c r="M34" i="32" s="1"/>
  <c r="F34" i="31"/>
  <c r="L34" i="32" s="1"/>
  <c r="E34" i="31"/>
  <c r="G33" i="31"/>
  <c r="M33" i="32" s="1"/>
  <c r="F33" i="31"/>
  <c r="L33" i="32" s="1"/>
  <c r="E33" i="31"/>
  <c r="G32" i="31"/>
  <c r="M32" i="32" s="1"/>
  <c r="F32" i="31"/>
  <c r="L32" i="32" s="1"/>
  <c r="E32" i="31"/>
  <c r="G31" i="31"/>
  <c r="M31" i="32" s="1"/>
  <c r="F31" i="31"/>
  <c r="L31" i="32" s="1"/>
  <c r="E31" i="31"/>
  <c r="F28" i="31"/>
  <c r="L28" i="32" s="1"/>
  <c r="G28" i="31"/>
  <c r="M28" i="32" s="1"/>
  <c r="F29" i="31"/>
  <c r="L29" i="32" s="1"/>
  <c r="G29" i="31"/>
  <c r="M29" i="32" s="1"/>
  <c r="F30" i="31"/>
  <c r="L30" i="32" s="1"/>
  <c r="G30" i="31"/>
  <c r="M30" i="32" s="1"/>
  <c r="E30" i="31"/>
  <c r="E29" i="31"/>
  <c r="E28" i="31"/>
  <c r="O320" i="31" l="1"/>
  <c r="M1735" i="46"/>
  <c r="I404" i="70"/>
  <c r="B390" i="70"/>
  <c r="I362" i="70"/>
  <c r="B404" i="70"/>
  <c r="I390" i="70"/>
  <c r="B362" i="70"/>
  <c r="I376" i="70"/>
  <c r="B376" i="70"/>
  <c r="G1735" i="46"/>
  <c r="O82" i="32"/>
  <c r="F1735" i="46"/>
  <c r="O81" i="32"/>
  <c r="F1734" i="46"/>
  <c r="G1734" i="46"/>
  <c r="M1750" i="46"/>
  <c r="L1562" i="46"/>
  <c r="L1641" i="46" s="1"/>
  <c r="O81" i="31"/>
  <c r="M462" i="46"/>
  <c r="M525" i="46" s="1"/>
  <c r="M604" i="46" s="1"/>
  <c r="M618" i="46"/>
  <c r="M681" i="46" s="1"/>
  <c r="M760" i="46" s="1"/>
  <c r="L1594" i="46"/>
  <c r="F1353" i="46"/>
  <c r="F1323" i="46"/>
  <c r="F1472" i="46" s="1"/>
  <c r="F1367" i="46"/>
  <c r="F1337" i="46"/>
  <c r="F1485" i="46" s="1"/>
  <c r="F1579" i="46"/>
  <c r="F1562" i="46"/>
  <c r="F1641" i="46" s="1"/>
  <c r="G1353" i="46"/>
  <c r="G1323" i="46"/>
  <c r="G1472" i="46" s="1"/>
  <c r="G1367" i="46"/>
  <c r="G1337" i="46"/>
  <c r="G1485" i="46" s="1"/>
  <c r="G1354" i="46"/>
  <c r="G1324" i="46"/>
  <c r="G1473" i="46" s="1"/>
  <c r="G1578" i="46"/>
  <c r="G1561" i="46"/>
  <c r="G1640" i="46" s="1"/>
  <c r="F1354" i="46"/>
  <c r="F1324" i="46"/>
  <c r="F1473" i="46" s="1"/>
  <c r="G1579" i="46"/>
  <c r="G1562" i="46"/>
  <c r="G1641" i="46" s="1"/>
  <c r="L1382" i="46"/>
  <c r="L1324" i="46"/>
  <c r="L1473" i="46" s="1"/>
  <c r="M1367" i="46"/>
  <c r="M1337" i="46"/>
  <c r="M1485" i="46" s="1"/>
  <c r="M1382" i="46"/>
  <c r="M1324" i="46"/>
  <c r="M1473" i="46" s="1"/>
  <c r="L1395" i="46"/>
  <c r="L1337" i="46"/>
  <c r="L1485" i="46" s="1"/>
  <c r="M1579" i="46"/>
  <c r="M1562" i="46"/>
  <c r="M1641" i="46" s="1"/>
  <c r="L1750" i="46"/>
  <c r="L1718" i="46"/>
  <c r="L1797" i="46" s="1"/>
  <c r="O239" i="31"/>
  <c r="O284" i="31"/>
  <c r="O99" i="31"/>
  <c r="M1354" i="46"/>
  <c r="O117" i="31"/>
  <c r="O283" i="31"/>
  <c r="O82" i="31"/>
  <c r="B204" i="70"/>
  <c r="I232" i="70"/>
  <c r="O118" i="31"/>
  <c r="B232" i="70"/>
  <c r="I218" i="70"/>
  <c r="B190" i="70"/>
  <c r="I204" i="70"/>
  <c r="B218" i="70"/>
  <c r="AN21" i="64"/>
  <c r="I391" i="70" s="1"/>
  <c r="L1735" i="46"/>
  <c r="M1594" i="46"/>
  <c r="M1811" i="46"/>
  <c r="M1841" i="46" s="1"/>
  <c r="L1811" i="46"/>
  <c r="L1841" i="46" s="1"/>
  <c r="M1395" i="46"/>
  <c r="M838" i="46"/>
  <c r="L1367" i="46"/>
  <c r="L838" i="46"/>
  <c r="G713" i="46"/>
  <c r="G698" i="46"/>
  <c r="F557" i="46"/>
  <c r="F542" i="46"/>
  <c r="L774" i="46"/>
  <c r="L317" i="46"/>
  <c r="L345" i="46"/>
  <c r="G699" i="46"/>
  <c r="G714" i="46"/>
  <c r="G774" i="46"/>
  <c r="G317" i="46"/>
  <c r="G345" i="46"/>
  <c r="G557" i="46"/>
  <c r="G542" i="46"/>
  <c r="L300" i="46"/>
  <c r="L448" i="46" s="1"/>
  <c r="L330" i="46"/>
  <c r="L358" i="46"/>
  <c r="L1354" i="46"/>
  <c r="M387" i="46"/>
  <c r="M415" i="46" s="1"/>
  <c r="L387" i="46"/>
  <c r="L415" i="46" s="1"/>
  <c r="G330" i="46"/>
  <c r="G358" i="46"/>
  <c r="E359" i="46"/>
  <c r="E331" i="46"/>
  <c r="F331" i="46"/>
  <c r="F359" i="46"/>
  <c r="G775" i="46"/>
  <c r="G318" i="46"/>
  <c r="G346" i="46"/>
  <c r="L713" i="46"/>
  <c r="L698" i="46"/>
  <c r="F346" i="46"/>
  <c r="F318" i="46"/>
  <c r="G359" i="46"/>
  <c r="G331" i="46"/>
  <c r="G558" i="46"/>
  <c r="G543" i="46"/>
  <c r="F543" i="46"/>
  <c r="F558" i="46"/>
  <c r="L557" i="46"/>
  <c r="L542" i="46"/>
  <c r="O187" i="31"/>
  <c r="O284" i="32"/>
  <c r="I231" i="70"/>
  <c r="I217" i="70"/>
  <c r="I203" i="70"/>
  <c r="I189" i="70"/>
  <c r="M186" i="46"/>
  <c r="M173" i="46"/>
  <c r="M287" i="46" s="1"/>
  <c r="M436" i="46" s="1"/>
  <c r="B217" i="70"/>
  <c r="B203" i="70"/>
  <c r="B189" i="70"/>
  <c r="B231" i="70"/>
  <c r="M21" i="47"/>
  <c r="M30" i="31"/>
  <c r="K33" i="32"/>
  <c r="I33" i="31"/>
  <c r="M16" i="47"/>
  <c r="M35" i="31"/>
  <c r="M14" i="47"/>
  <c r="M29" i="31"/>
  <c r="L32" i="31"/>
  <c r="K35" i="32"/>
  <c r="I35" i="31"/>
  <c r="K30" i="32"/>
  <c r="I30" i="31"/>
  <c r="L29" i="31"/>
  <c r="L31" i="31"/>
  <c r="M15" i="47"/>
  <c r="M32" i="31"/>
  <c r="K34" i="32"/>
  <c r="I34" i="31"/>
  <c r="L35" i="31"/>
  <c r="M23" i="47"/>
  <c r="M36" i="31"/>
  <c r="O241" i="32"/>
  <c r="K241" i="31"/>
  <c r="O241" i="31" s="1"/>
  <c r="O239" i="32"/>
  <c r="M8" i="47"/>
  <c r="M31" i="31"/>
  <c r="K28" i="32"/>
  <c r="I28" i="31"/>
  <c r="L30" i="31"/>
  <c r="L28" i="31"/>
  <c r="K32" i="32"/>
  <c r="I32" i="31"/>
  <c r="L33" i="31"/>
  <c r="M9" i="47"/>
  <c r="M34" i="31"/>
  <c r="K36" i="32"/>
  <c r="I36" i="31"/>
  <c r="O283" i="32"/>
  <c r="O391" i="32"/>
  <c r="M7" i="47"/>
  <c r="M28" i="31"/>
  <c r="L34" i="31"/>
  <c r="K29" i="32"/>
  <c r="I29" i="31"/>
  <c r="K31" i="32"/>
  <c r="I31" i="31"/>
  <c r="M22" i="47"/>
  <c r="M33" i="31"/>
  <c r="L36" i="31"/>
  <c r="O240" i="32"/>
  <c r="K240" i="31"/>
  <c r="O240" i="31" s="1"/>
  <c r="M85" i="47"/>
  <c r="L235" i="31"/>
  <c r="O235" i="31" s="1"/>
  <c r="L231" i="31"/>
  <c r="O231" i="31" s="1"/>
  <c r="L236" i="31"/>
  <c r="O236" i="31" s="1"/>
  <c r="L232" i="31"/>
  <c r="O232" i="31" s="1"/>
  <c r="L237" i="31"/>
  <c r="O237" i="31" s="1"/>
  <c r="L233" i="31"/>
  <c r="O233" i="31" s="1"/>
  <c r="L238" i="31"/>
  <c r="O238" i="31" s="1"/>
  <c r="L234" i="31"/>
  <c r="O234" i="31" s="1"/>
  <c r="L230" i="31"/>
  <c r="O230" i="31" s="1"/>
  <c r="G1366" i="46"/>
  <c r="G1750" i="46"/>
  <c r="G1594" i="46"/>
  <c r="G1395" i="46"/>
  <c r="G1810" i="46"/>
  <c r="G1840" i="46" s="1"/>
  <c r="G1382" i="46"/>
  <c r="G1811" i="46"/>
  <c r="G1841" i="46" s="1"/>
  <c r="F40" i="31"/>
  <c r="L40" i="32" s="1"/>
  <c r="L40" i="31" s="1"/>
  <c r="G40" i="31"/>
  <c r="M40" i="32" s="1"/>
  <c r="M40" i="31" s="1"/>
  <c r="F41" i="31"/>
  <c r="L41" i="32" s="1"/>
  <c r="L41" i="31" s="1"/>
  <c r="G41" i="31"/>
  <c r="M41" i="32" s="1"/>
  <c r="M41" i="31" s="1"/>
  <c r="F42" i="31"/>
  <c r="L42" i="32" s="1"/>
  <c r="L42" i="31" s="1"/>
  <c r="G42" i="31"/>
  <c r="M42" i="32" s="1"/>
  <c r="M42" i="31" s="1"/>
  <c r="E42" i="31"/>
  <c r="E41" i="31"/>
  <c r="E40" i="31"/>
  <c r="G1887" i="46" l="1"/>
  <c r="G1888" i="46"/>
  <c r="F1888" i="46"/>
  <c r="M1888" i="46"/>
  <c r="M25" i="47"/>
  <c r="B363" i="70"/>
  <c r="B405" i="70"/>
  <c r="I405" i="70"/>
  <c r="I377" i="70"/>
  <c r="B377" i="70"/>
  <c r="I363" i="70"/>
  <c r="B391" i="70"/>
  <c r="L1888" i="46"/>
  <c r="L386" i="46"/>
  <c r="L414" i="46" s="1"/>
  <c r="G838" i="46"/>
  <c r="M358" i="46"/>
  <c r="M300" i="46"/>
  <c r="M448" i="46" s="1"/>
  <c r="M330" i="46"/>
  <c r="M542" i="46"/>
  <c r="M557" i="46"/>
  <c r="G837" i="46"/>
  <c r="L837" i="46"/>
  <c r="M713" i="46"/>
  <c r="M698" i="46"/>
  <c r="M774" i="46"/>
  <c r="M345" i="46"/>
  <c r="M317" i="46"/>
  <c r="K40" i="32"/>
  <c r="I40" i="31"/>
  <c r="K41" i="32"/>
  <c r="I41" i="31"/>
  <c r="O29" i="32"/>
  <c r="K29" i="31"/>
  <c r="O29" i="31" s="1"/>
  <c r="O36" i="32"/>
  <c r="K36" i="31"/>
  <c r="O36" i="31" s="1"/>
  <c r="O28" i="32"/>
  <c r="K28" i="31"/>
  <c r="O28" i="31" s="1"/>
  <c r="K42" i="32"/>
  <c r="I42" i="31"/>
  <c r="O35" i="32"/>
  <c r="K35" i="31"/>
  <c r="O35" i="31" s="1"/>
  <c r="M18" i="47"/>
  <c r="O33" i="32"/>
  <c r="K33" i="31"/>
  <c r="O33" i="31" s="1"/>
  <c r="O31" i="32"/>
  <c r="K31" i="31"/>
  <c r="O31" i="31" s="1"/>
  <c r="M11" i="47"/>
  <c r="O32" i="32"/>
  <c r="K32" i="31"/>
  <c r="O32" i="31" s="1"/>
  <c r="O34" i="32"/>
  <c r="K34" i="31"/>
  <c r="O34" i="31" s="1"/>
  <c r="O30" i="32"/>
  <c r="K30" i="31"/>
  <c r="O30" i="31" s="1"/>
  <c r="M1381" i="46"/>
  <c r="M1353" i="46"/>
  <c r="L1381" i="46"/>
  <c r="L1353" i="46"/>
  <c r="G38" i="31"/>
  <c r="M38" i="32" s="1"/>
  <c r="M38" i="31" s="1"/>
  <c r="E39" i="31"/>
  <c r="E38" i="31"/>
  <c r="G39" i="31"/>
  <c r="M39" i="32" s="1"/>
  <c r="M39" i="31" s="1"/>
  <c r="F39" i="31"/>
  <c r="L39" i="32" s="1"/>
  <c r="L39" i="31" s="1"/>
  <c r="F38" i="31"/>
  <c r="L38" i="32" s="1"/>
  <c r="L38" i="31" s="1"/>
  <c r="G37" i="31"/>
  <c r="M37" i="32" s="1"/>
  <c r="M37" i="31" s="1"/>
  <c r="F37" i="31"/>
  <c r="L37" i="32" s="1"/>
  <c r="L37" i="31" s="1"/>
  <c r="E37" i="31"/>
  <c r="G408" i="32"/>
  <c r="G408" i="31" s="1"/>
  <c r="M408" i="32" s="1"/>
  <c r="M408" i="31" s="1"/>
  <c r="F408" i="32"/>
  <c r="E408" i="32"/>
  <c r="G407" i="32"/>
  <c r="G407" i="31" s="1"/>
  <c r="M407" i="32" s="1"/>
  <c r="M407" i="31" s="1"/>
  <c r="F407" i="32"/>
  <c r="E407" i="32"/>
  <c r="G406" i="32"/>
  <c r="G406" i="31" s="1"/>
  <c r="M406" i="32" s="1"/>
  <c r="M406" i="31" s="1"/>
  <c r="F406" i="32"/>
  <c r="E406" i="32"/>
  <c r="G405" i="32"/>
  <c r="G405" i="31" s="1"/>
  <c r="M405" i="32" s="1"/>
  <c r="M405" i="31" s="1"/>
  <c r="F405" i="32"/>
  <c r="E405" i="32"/>
  <c r="G404" i="32"/>
  <c r="G404" i="31" s="1"/>
  <c r="M404" i="32" s="1"/>
  <c r="M404" i="31" s="1"/>
  <c r="F404" i="32"/>
  <c r="E404" i="32"/>
  <c r="G403" i="32"/>
  <c r="G403" i="31" s="1"/>
  <c r="M403" i="32" s="1"/>
  <c r="M403" i="31" s="1"/>
  <c r="F403" i="32"/>
  <c r="E403" i="32"/>
  <c r="G402" i="32"/>
  <c r="G402" i="31" s="1"/>
  <c r="M402" i="32" s="1"/>
  <c r="M402" i="31" s="1"/>
  <c r="F402" i="32"/>
  <c r="E402" i="32"/>
  <c r="G401" i="32"/>
  <c r="G401" i="31" s="1"/>
  <c r="M401" i="32" s="1"/>
  <c r="M401" i="31" s="1"/>
  <c r="F401" i="32"/>
  <c r="E401" i="32"/>
  <c r="G400" i="32"/>
  <c r="G400" i="31" s="1"/>
  <c r="M400" i="32" s="1"/>
  <c r="M400" i="31" s="1"/>
  <c r="F400" i="32"/>
  <c r="E400" i="32"/>
  <c r="G399" i="32"/>
  <c r="G399" i="31" s="1"/>
  <c r="M399" i="32" s="1"/>
  <c r="M399" i="31" s="1"/>
  <c r="F399" i="32"/>
  <c r="E399" i="32"/>
  <c r="G389" i="31"/>
  <c r="M389" i="32" s="1"/>
  <c r="M389" i="31" s="1"/>
  <c r="F389" i="31"/>
  <c r="L389" i="32" s="1"/>
  <c r="L389" i="31" s="1"/>
  <c r="G388" i="31"/>
  <c r="M388" i="32" s="1"/>
  <c r="M388" i="31" s="1"/>
  <c r="F388" i="31"/>
  <c r="L388" i="32" s="1"/>
  <c r="L388" i="31" s="1"/>
  <c r="G387" i="31"/>
  <c r="M387" i="32" s="1"/>
  <c r="M387" i="31" s="1"/>
  <c r="F387" i="31"/>
  <c r="L387" i="32" s="1"/>
  <c r="L387" i="31" s="1"/>
  <c r="G386" i="31"/>
  <c r="M386" i="32" s="1"/>
  <c r="M386" i="31" s="1"/>
  <c r="F386" i="31"/>
  <c r="L386" i="32" s="1"/>
  <c r="L386" i="31" s="1"/>
  <c r="G385" i="31"/>
  <c r="M385" i="32" s="1"/>
  <c r="M385" i="31" s="1"/>
  <c r="F385" i="31"/>
  <c r="L385" i="32" s="1"/>
  <c r="L385" i="31" s="1"/>
  <c r="G384" i="31"/>
  <c r="M384" i="32" s="1"/>
  <c r="M384" i="31" s="1"/>
  <c r="F384" i="31"/>
  <c r="L384" i="32" s="1"/>
  <c r="L384" i="31" s="1"/>
  <c r="G383" i="31"/>
  <c r="M383" i="32" s="1"/>
  <c r="M383" i="31" s="1"/>
  <c r="F383" i="31"/>
  <c r="L383" i="32" s="1"/>
  <c r="L383" i="31" s="1"/>
  <c r="G382" i="31"/>
  <c r="M382" i="32" s="1"/>
  <c r="M382" i="31" s="1"/>
  <c r="F382" i="31"/>
  <c r="L382" i="32" s="1"/>
  <c r="L382" i="31" s="1"/>
  <c r="G381" i="31"/>
  <c r="M381" i="32" s="1"/>
  <c r="M381" i="31" s="1"/>
  <c r="F381" i="31"/>
  <c r="L381" i="32" s="1"/>
  <c r="L381" i="31" s="1"/>
  <c r="G380" i="31"/>
  <c r="M380" i="32" s="1"/>
  <c r="M380" i="31" s="1"/>
  <c r="F380" i="31"/>
  <c r="L380" i="32" s="1"/>
  <c r="L380" i="31" s="1"/>
  <c r="G341" i="32"/>
  <c r="G375" i="32" s="1"/>
  <c r="F341" i="32"/>
  <c r="F375" i="32" s="1"/>
  <c r="E341" i="32"/>
  <c r="G340" i="32"/>
  <c r="G374" i="32" s="1"/>
  <c r="F340" i="32"/>
  <c r="F374" i="32" s="1"/>
  <c r="E340" i="32"/>
  <c r="G339" i="32"/>
  <c r="G373" i="32" s="1"/>
  <c r="F339" i="32"/>
  <c r="F373" i="32" s="1"/>
  <c r="E339" i="32"/>
  <c r="G338" i="32"/>
  <c r="G372" i="32" s="1"/>
  <c r="F338" i="32"/>
  <c r="F372" i="32" s="1"/>
  <c r="E338" i="32"/>
  <c r="G337" i="32"/>
  <c r="G371" i="32" s="1"/>
  <c r="F337" i="32"/>
  <c r="F371" i="32" s="1"/>
  <c r="E337" i="32"/>
  <c r="G336" i="32"/>
  <c r="G370" i="32" s="1"/>
  <c r="F336" i="32"/>
  <c r="F370" i="32" s="1"/>
  <c r="E336" i="32"/>
  <c r="G335" i="32"/>
  <c r="G369" i="32" s="1"/>
  <c r="F335" i="32"/>
  <c r="F369" i="32" s="1"/>
  <c r="E335" i="32"/>
  <c r="G334" i="32"/>
  <c r="G368" i="32" s="1"/>
  <c r="F334" i="32"/>
  <c r="F368" i="32" s="1"/>
  <c r="E334" i="32"/>
  <c r="G333" i="32"/>
  <c r="G367" i="32" s="1"/>
  <c r="F333" i="32"/>
  <c r="F367" i="32" s="1"/>
  <c r="E333" i="32"/>
  <c r="G332" i="32"/>
  <c r="G366" i="32" s="1"/>
  <c r="F332" i="32"/>
  <c r="F366" i="32" s="1"/>
  <c r="E332" i="32"/>
  <c r="G319" i="32"/>
  <c r="F319" i="32"/>
  <c r="E319" i="32"/>
  <c r="G318" i="32"/>
  <c r="F318" i="32"/>
  <c r="E318" i="32"/>
  <c r="G317" i="32"/>
  <c r="F317" i="32"/>
  <c r="E317" i="32"/>
  <c r="G316" i="32"/>
  <c r="F316" i="32"/>
  <c r="E316" i="32"/>
  <c r="G315" i="32"/>
  <c r="F315" i="32"/>
  <c r="E315" i="32"/>
  <c r="G314" i="32"/>
  <c r="F314" i="32"/>
  <c r="E314" i="32"/>
  <c r="G313" i="32"/>
  <c r="F313" i="32"/>
  <c r="E313" i="32"/>
  <c r="G312" i="32"/>
  <c r="F312" i="32"/>
  <c r="E312" i="32"/>
  <c r="G311" i="32"/>
  <c r="F311" i="32"/>
  <c r="E311" i="32"/>
  <c r="G310" i="32"/>
  <c r="F310" i="32"/>
  <c r="E310" i="32"/>
  <c r="G300" i="32"/>
  <c r="G300" i="31" s="1"/>
  <c r="M300" i="32" s="1"/>
  <c r="M300" i="31" s="1"/>
  <c r="F300" i="32"/>
  <c r="F300" i="31" s="1"/>
  <c r="L300" i="32" s="1"/>
  <c r="L300" i="31" s="1"/>
  <c r="E300" i="32"/>
  <c r="G299" i="32"/>
  <c r="G299" i="31" s="1"/>
  <c r="M299" i="32" s="1"/>
  <c r="M299" i="31" s="1"/>
  <c r="F299" i="32"/>
  <c r="F299" i="31" s="1"/>
  <c r="L299" i="32" s="1"/>
  <c r="L299" i="31" s="1"/>
  <c r="E299" i="32"/>
  <c r="G298" i="32"/>
  <c r="G298" i="31" s="1"/>
  <c r="M298" i="32" s="1"/>
  <c r="M298" i="31" s="1"/>
  <c r="F298" i="32"/>
  <c r="F298" i="31" s="1"/>
  <c r="L298" i="32" s="1"/>
  <c r="L298" i="31" s="1"/>
  <c r="E298" i="32"/>
  <c r="G297" i="32"/>
  <c r="G297" i="31" s="1"/>
  <c r="M297" i="32" s="1"/>
  <c r="M297" i="31" s="1"/>
  <c r="F297" i="32"/>
  <c r="F297" i="31" s="1"/>
  <c r="L297" i="32" s="1"/>
  <c r="L297" i="31" s="1"/>
  <c r="E297" i="32"/>
  <c r="G296" i="32"/>
  <c r="G296" i="31" s="1"/>
  <c r="M296" i="32" s="1"/>
  <c r="M296" i="31" s="1"/>
  <c r="F296" i="32"/>
  <c r="F296" i="31" s="1"/>
  <c r="L296" i="32" s="1"/>
  <c r="L296" i="31" s="1"/>
  <c r="E296" i="32"/>
  <c r="G295" i="32"/>
  <c r="G295" i="31" s="1"/>
  <c r="M295" i="32" s="1"/>
  <c r="M295" i="31" s="1"/>
  <c r="F295" i="32"/>
  <c r="F295" i="31" s="1"/>
  <c r="L295" i="32" s="1"/>
  <c r="L295" i="31" s="1"/>
  <c r="E295" i="32"/>
  <c r="G294" i="32"/>
  <c r="G294" i="31" s="1"/>
  <c r="M294" i="32" s="1"/>
  <c r="M294" i="31" s="1"/>
  <c r="F294" i="32"/>
  <c r="F294" i="31" s="1"/>
  <c r="L294" i="32" s="1"/>
  <c r="L294" i="31" s="1"/>
  <c r="E294" i="32"/>
  <c r="G293" i="32"/>
  <c r="G293" i="31" s="1"/>
  <c r="M293" i="32" s="1"/>
  <c r="M293" i="31" s="1"/>
  <c r="F293" i="32"/>
  <c r="F293" i="31" s="1"/>
  <c r="L293" i="32" s="1"/>
  <c r="L293" i="31" s="1"/>
  <c r="E293" i="32"/>
  <c r="G292" i="32"/>
  <c r="G292" i="31" s="1"/>
  <c r="M292" i="32" s="1"/>
  <c r="M292" i="31" s="1"/>
  <c r="F292" i="32"/>
  <c r="F292" i="31" s="1"/>
  <c r="L292" i="32" s="1"/>
  <c r="L292" i="31" s="1"/>
  <c r="E292" i="32"/>
  <c r="G291" i="32"/>
  <c r="G291" i="31" s="1"/>
  <c r="M291" i="32" s="1"/>
  <c r="M291" i="31" s="1"/>
  <c r="F291" i="32"/>
  <c r="F291" i="31" s="1"/>
  <c r="L291" i="32" s="1"/>
  <c r="L291" i="31" s="1"/>
  <c r="E291" i="32"/>
  <c r="G282" i="32"/>
  <c r="G1653" i="46" s="1"/>
  <c r="G1716" i="46" s="1"/>
  <c r="G1795" i="46" s="1"/>
  <c r="F282" i="32"/>
  <c r="F1653" i="46" s="1"/>
  <c r="F1716" i="46" s="1"/>
  <c r="F1795" i="46" s="1"/>
  <c r="E282" i="32"/>
  <c r="E1653" i="46" s="1"/>
  <c r="E1716" i="46" s="1"/>
  <c r="E1795" i="46" s="1"/>
  <c r="G281" i="32"/>
  <c r="F281" i="32"/>
  <c r="E281" i="32"/>
  <c r="G280" i="32"/>
  <c r="F280" i="32"/>
  <c r="E280" i="32"/>
  <c r="G279" i="32"/>
  <c r="F279" i="32"/>
  <c r="E279" i="32"/>
  <c r="G278" i="32"/>
  <c r="G1649" i="46" s="1"/>
  <c r="G1712" i="46" s="1"/>
  <c r="G1791" i="46" s="1"/>
  <c r="F278" i="32"/>
  <c r="F1649" i="46" s="1"/>
  <c r="F1712" i="46" s="1"/>
  <c r="F1791" i="46" s="1"/>
  <c r="E278" i="32"/>
  <c r="E1649" i="46" s="1"/>
  <c r="E1712" i="46" s="1"/>
  <c r="E1791" i="46" s="1"/>
  <c r="G277" i="32"/>
  <c r="G1648" i="46" s="1"/>
  <c r="G1711" i="46" s="1"/>
  <c r="G1790" i="46" s="1"/>
  <c r="F277" i="32"/>
  <c r="F1648" i="46" s="1"/>
  <c r="F1711" i="46" s="1"/>
  <c r="F1790" i="46" s="1"/>
  <c r="E277" i="32"/>
  <c r="E1648" i="46" s="1"/>
  <c r="E1711" i="46" s="1"/>
  <c r="E1790" i="46" s="1"/>
  <c r="G276" i="32"/>
  <c r="G1647" i="46" s="1"/>
  <c r="G1710" i="46" s="1"/>
  <c r="G1789" i="46" s="1"/>
  <c r="F276" i="32"/>
  <c r="F1647" i="46" s="1"/>
  <c r="F1710" i="46" s="1"/>
  <c r="F1789" i="46" s="1"/>
  <c r="E276" i="32"/>
  <c r="E1647" i="46" s="1"/>
  <c r="E1710" i="46" s="1"/>
  <c r="E1789" i="46" s="1"/>
  <c r="G275" i="32"/>
  <c r="G1646" i="46" s="1"/>
  <c r="G1709" i="46" s="1"/>
  <c r="G1788" i="46" s="1"/>
  <c r="F275" i="32"/>
  <c r="F1646" i="46" s="1"/>
  <c r="F1709" i="46" s="1"/>
  <c r="F1788" i="46" s="1"/>
  <c r="E275" i="32"/>
  <c r="E1646" i="46" s="1"/>
  <c r="E1709" i="46" s="1"/>
  <c r="E1788" i="46" s="1"/>
  <c r="G274" i="32"/>
  <c r="G1645" i="46" s="1"/>
  <c r="G1708" i="46" s="1"/>
  <c r="G1787" i="46" s="1"/>
  <c r="F274" i="32"/>
  <c r="F1645" i="46" s="1"/>
  <c r="F1708" i="46" s="1"/>
  <c r="F1787" i="46" s="1"/>
  <c r="E274" i="32"/>
  <c r="E1645" i="46" s="1"/>
  <c r="E1708" i="46" s="1"/>
  <c r="E1787" i="46" s="1"/>
  <c r="G273" i="32"/>
  <c r="G1644" i="46" s="1"/>
  <c r="G1707" i="46" s="1"/>
  <c r="G1786" i="46" s="1"/>
  <c r="F273" i="32"/>
  <c r="F1644" i="46" s="1"/>
  <c r="F1707" i="46" s="1"/>
  <c r="F1786" i="46" s="1"/>
  <c r="E273" i="32"/>
  <c r="E1644" i="46" s="1"/>
  <c r="E1707" i="46" s="1"/>
  <c r="E1786" i="46" s="1"/>
  <c r="G226" i="31"/>
  <c r="F226" i="31"/>
  <c r="E226" i="31"/>
  <c r="G225" i="31"/>
  <c r="F225" i="31"/>
  <c r="E225" i="31"/>
  <c r="G224" i="31"/>
  <c r="F224" i="31"/>
  <c r="E224" i="31"/>
  <c r="F196" i="32"/>
  <c r="G196" i="32"/>
  <c r="G196" i="31" s="1"/>
  <c r="M196" i="32" s="1"/>
  <c r="M196" i="31" s="1"/>
  <c r="F197" i="32"/>
  <c r="G197" i="32"/>
  <c r="G197" i="31" s="1"/>
  <c r="M197" i="32" s="1"/>
  <c r="M197" i="31" s="1"/>
  <c r="F198" i="32"/>
  <c r="G198" i="32"/>
  <c r="G198" i="31" s="1"/>
  <c r="M198" i="32" s="1"/>
  <c r="M198" i="31" s="1"/>
  <c r="F199" i="32"/>
  <c r="G199" i="32"/>
  <c r="G199" i="31" s="1"/>
  <c r="M199" i="32" s="1"/>
  <c r="M199" i="31" s="1"/>
  <c r="F200" i="32"/>
  <c r="G200" i="32"/>
  <c r="G200" i="31" s="1"/>
  <c r="M200" i="32" s="1"/>
  <c r="M200" i="31" s="1"/>
  <c r="F201" i="32"/>
  <c r="G201" i="32"/>
  <c r="G201" i="31" s="1"/>
  <c r="M201" i="32" s="1"/>
  <c r="M201" i="31" s="1"/>
  <c r="F202" i="32"/>
  <c r="G202" i="32"/>
  <c r="G202" i="31" s="1"/>
  <c r="M202" i="32" s="1"/>
  <c r="M202" i="31" s="1"/>
  <c r="F203" i="32"/>
  <c r="G203" i="32"/>
  <c r="G203" i="31" s="1"/>
  <c r="M203" i="32" s="1"/>
  <c r="M203" i="31" s="1"/>
  <c r="F204" i="32"/>
  <c r="G204" i="32"/>
  <c r="G204" i="31" s="1"/>
  <c r="M204" i="32" s="1"/>
  <c r="M204" i="31" s="1"/>
  <c r="F205" i="32"/>
  <c r="G205" i="32"/>
  <c r="G205" i="31" s="1"/>
  <c r="M205" i="32" s="1"/>
  <c r="M205" i="31" s="1"/>
  <c r="E197" i="32"/>
  <c r="E198" i="32"/>
  <c r="E199" i="32"/>
  <c r="E200" i="32"/>
  <c r="E201" i="32"/>
  <c r="E202" i="32"/>
  <c r="E203" i="32"/>
  <c r="E204" i="32"/>
  <c r="E205" i="32"/>
  <c r="E196" i="32"/>
  <c r="F107" i="32"/>
  <c r="F107" i="31" s="1"/>
  <c r="L107" i="32" s="1"/>
  <c r="L107" i="31" s="1"/>
  <c r="G107" i="32"/>
  <c r="G107" i="31" s="1"/>
  <c r="M107" i="32" s="1"/>
  <c r="M107" i="31" s="1"/>
  <c r="F108" i="32"/>
  <c r="G108" i="32"/>
  <c r="F109" i="32"/>
  <c r="F109" i="31" s="1"/>
  <c r="L109" i="32" s="1"/>
  <c r="L109" i="31" s="1"/>
  <c r="G109" i="32"/>
  <c r="G109" i="31" s="1"/>
  <c r="M109" i="32" s="1"/>
  <c r="M109" i="31" s="1"/>
  <c r="F110" i="32"/>
  <c r="G110" i="32"/>
  <c r="G110" i="31" s="1"/>
  <c r="M110" i="32" s="1"/>
  <c r="M110" i="31" s="1"/>
  <c r="F111" i="32"/>
  <c r="F111" i="31" s="1"/>
  <c r="L111" i="32" s="1"/>
  <c r="L111" i="31" s="1"/>
  <c r="G111" i="32"/>
  <c r="G111" i="31" s="1"/>
  <c r="M111" i="32" s="1"/>
  <c r="M111" i="31" s="1"/>
  <c r="F112" i="32"/>
  <c r="G112" i="32"/>
  <c r="F113" i="32"/>
  <c r="F113" i="31" s="1"/>
  <c r="L113" i="32" s="1"/>
  <c r="L113" i="31" s="1"/>
  <c r="G113" i="32"/>
  <c r="G113" i="31" s="1"/>
  <c r="M113" i="32" s="1"/>
  <c r="M113" i="31" s="1"/>
  <c r="F114" i="32"/>
  <c r="G114" i="32"/>
  <c r="G114" i="31" s="1"/>
  <c r="M114" i="32" s="1"/>
  <c r="M114" i="31" s="1"/>
  <c r="F115" i="32"/>
  <c r="F115" i="31" s="1"/>
  <c r="L115" i="32" s="1"/>
  <c r="L115" i="31" s="1"/>
  <c r="G115" i="32"/>
  <c r="G115" i="31" s="1"/>
  <c r="M115" i="32" s="1"/>
  <c r="M115" i="31" s="1"/>
  <c r="F116" i="32"/>
  <c r="G116" i="32"/>
  <c r="E108" i="32"/>
  <c r="E109" i="32"/>
  <c r="E110" i="32"/>
  <c r="E111" i="32"/>
  <c r="E112" i="32"/>
  <c r="E113" i="32"/>
  <c r="E114" i="32"/>
  <c r="E115" i="32"/>
  <c r="E116" i="32"/>
  <c r="E107" i="32"/>
  <c r="D24" i="68"/>
  <c r="C24" i="68"/>
  <c r="D32" i="68" s="1"/>
  <c r="B24" i="68"/>
  <c r="D21" i="68"/>
  <c r="C21" i="68"/>
  <c r="D31" i="68" s="1"/>
  <c r="B21" i="68"/>
  <c r="C18" i="68"/>
  <c r="D30" i="68" s="1"/>
  <c r="B18" i="68"/>
  <c r="F115" i="52"/>
  <c r="F107" i="52"/>
  <c r="G107" i="52" s="1"/>
  <c r="H107" i="52" s="1"/>
  <c r="I107" i="52" s="1"/>
  <c r="J107" i="52" s="1"/>
  <c r="M224" i="32" l="1"/>
  <c r="M224" i="31" s="1"/>
  <c r="L226" i="32"/>
  <c r="L226" i="31" s="1"/>
  <c r="L225" i="32"/>
  <c r="L225" i="31" s="1"/>
  <c r="M226" i="32"/>
  <c r="M226" i="31" s="1"/>
  <c r="L224" i="32"/>
  <c r="L224" i="31" s="1"/>
  <c r="M225" i="32"/>
  <c r="M225" i="31" s="1"/>
  <c r="E1652" i="46"/>
  <c r="E1651" i="46"/>
  <c r="E1650" i="46"/>
  <c r="M837" i="46"/>
  <c r="M386" i="46"/>
  <c r="M414" i="46" s="1"/>
  <c r="G1650" i="46"/>
  <c r="I196" i="32"/>
  <c r="I202" i="32"/>
  <c r="I198" i="32"/>
  <c r="I107" i="32"/>
  <c r="I204" i="32"/>
  <c r="I200" i="32"/>
  <c r="F1651" i="46"/>
  <c r="F1714" i="46" s="1"/>
  <c r="F1793" i="46" s="1"/>
  <c r="G1652" i="46"/>
  <c r="I274" i="32"/>
  <c r="I278" i="32"/>
  <c r="F1650" i="46"/>
  <c r="F1713" i="46" s="1"/>
  <c r="F1792" i="46" s="1"/>
  <c r="G1651" i="46"/>
  <c r="I311" i="32"/>
  <c r="I315" i="32"/>
  <c r="I319" i="32"/>
  <c r="I402" i="32"/>
  <c r="I406" i="32"/>
  <c r="K224" i="32"/>
  <c r="I224" i="31"/>
  <c r="I115" i="32"/>
  <c r="I114" i="32"/>
  <c r="I110" i="32"/>
  <c r="I205" i="32"/>
  <c r="I201" i="32"/>
  <c r="I197" i="32"/>
  <c r="K225" i="32"/>
  <c r="I225" i="31"/>
  <c r="I275" i="32"/>
  <c r="I279" i="32"/>
  <c r="I291" i="32"/>
  <c r="E295" i="31"/>
  <c r="I14" i="64" s="1"/>
  <c r="I295" i="32"/>
  <c r="E299" i="31"/>
  <c r="I18" i="64" s="1"/>
  <c r="I299" i="32"/>
  <c r="I312" i="32"/>
  <c r="I316" i="32"/>
  <c r="E366" i="32"/>
  <c r="I366" i="32" s="1"/>
  <c r="I332" i="32"/>
  <c r="E370" i="32"/>
  <c r="I370" i="32" s="1"/>
  <c r="I336" i="32"/>
  <c r="E374" i="32"/>
  <c r="I374" i="32" s="1"/>
  <c r="I340" i="32"/>
  <c r="I382" i="32"/>
  <c r="I386" i="32"/>
  <c r="I399" i="32"/>
  <c r="I403" i="32"/>
  <c r="I407" i="32"/>
  <c r="K38" i="32"/>
  <c r="I38" i="31"/>
  <c r="E113" i="31"/>
  <c r="I113" i="31" s="1"/>
  <c r="I113" i="32"/>
  <c r="E109" i="31"/>
  <c r="I109" i="31" s="1"/>
  <c r="I109" i="32"/>
  <c r="I282" i="32"/>
  <c r="E1208" i="46"/>
  <c r="E294" i="31"/>
  <c r="I13" i="64" s="1"/>
  <c r="I294" i="32"/>
  <c r="E298" i="31"/>
  <c r="I17" i="64" s="1"/>
  <c r="I298" i="32"/>
  <c r="E369" i="32"/>
  <c r="I369" i="32" s="1"/>
  <c r="I335" i="32"/>
  <c r="E373" i="32"/>
  <c r="I373" i="32" s="1"/>
  <c r="I339" i="32"/>
  <c r="I381" i="32"/>
  <c r="I385" i="32"/>
  <c r="I389" i="32"/>
  <c r="K39" i="32"/>
  <c r="I39" i="31"/>
  <c r="O42" i="32"/>
  <c r="K42" i="31"/>
  <c r="O42" i="31" s="1"/>
  <c r="O41" i="32"/>
  <c r="K41" i="31"/>
  <c r="O41" i="31" s="1"/>
  <c r="E116" i="31"/>
  <c r="K19" i="63" s="1"/>
  <c r="I116" i="32"/>
  <c r="E112" i="31"/>
  <c r="K15" i="63" s="1"/>
  <c r="I112" i="32"/>
  <c r="E108" i="31"/>
  <c r="K108" i="32" s="1"/>
  <c r="I108" i="32"/>
  <c r="I203" i="32"/>
  <c r="I199" i="32"/>
  <c r="I273" i="32"/>
  <c r="I277" i="32"/>
  <c r="I281" i="32"/>
  <c r="M1967" i="46"/>
  <c r="M1966" i="46"/>
  <c r="E293" i="31"/>
  <c r="I12" i="64" s="1"/>
  <c r="I293" i="32"/>
  <c r="E297" i="31"/>
  <c r="I16" i="64" s="1"/>
  <c r="I297" i="32"/>
  <c r="I310" i="32"/>
  <c r="I314" i="32"/>
  <c r="I318" i="32"/>
  <c r="E368" i="32"/>
  <c r="I368" i="32" s="1"/>
  <c r="I334" i="32"/>
  <c r="E372" i="32"/>
  <c r="I372" i="32" s="1"/>
  <c r="I338" i="32"/>
  <c r="I380" i="32"/>
  <c r="I384" i="32"/>
  <c r="I388" i="32"/>
  <c r="I401" i="32"/>
  <c r="I405" i="32"/>
  <c r="K37" i="32"/>
  <c r="I37" i="31"/>
  <c r="L1966" i="46"/>
  <c r="L130" i="47" s="1"/>
  <c r="L1967" i="46"/>
  <c r="L131" i="47" s="1"/>
  <c r="I111" i="32"/>
  <c r="K226" i="32"/>
  <c r="I226" i="31"/>
  <c r="I276" i="32"/>
  <c r="I280" i="32"/>
  <c r="F1652" i="46"/>
  <c r="F1715" i="46" s="1"/>
  <c r="F1794" i="46" s="1"/>
  <c r="E292" i="31"/>
  <c r="I11" i="64" s="1"/>
  <c r="I292" i="32"/>
  <c r="E296" i="31"/>
  <c r="I15" i="64" s="1"/>
  <c r="I296" i="32"/>
  <c r="E300" i="31"/>
  <c r="I19" i="64" s="1"/>
  <c r="I300" i="32"/>
  <c r="I313" i="32"/>
  <c r="I317" i="32"/>
  <c r="E367" i="32"/>
  <c r="I367" i="32" s="1"/>
  <c r="I333" i="32"/>
  <c r="E371" i="32"/>
  <c r="I371" i="32" s="1"/>
  <c r="I337" i="32"/>
  <c r="E375" i="32"/>
  <c r="I375" i="32" s="1"/>
  <c r="I341" i="32"/>
  <c r="I383" i="32"/>
  <c r="I387" i="32"/>
  <c r="I400" i="32"/>
  <c r="I404" i="32"/>
  <c r="I408" i="32"/>
  <c r="O40" i="32"/>
  <c r="K40" i="31"/>
  <c r="O40" i="31" s="1"/>
  <c r="G1725" i="46"/>
  <c r="G1489" i="46"/>
  <c r="G1552" i="46" s="1"/>
  <c r="G1631" i="46" s="1"/>
  <c r="G1200" i="46"/>
  <c r="G1213" i="46"/>
  <c r="G1327" i="46" s="1"/>
  <c r="G1475" i="46" s="1"/>
  <c r="F1728" i="46"/>
  <c r="F1492" i="46"/>
  <c r="F1216" i="46"/>
  <c r="F1330" i="46" s="1"/>
  <c r="F1478" i="46" s="1"/>
  <c r="F1203" i="46"/>
  <c r="E1219" i="46"/>
  <c r="E1206" i="46"/>
  <c r="E1495" i="46"/>
  <c r="E1490" i="46"/>
  <c r="E1201" i="46"/>
  <c r="E1726" i="46"/>
  <c r="E1214" i="46"/>
  <c r="G1203" i="46"/>
  <c r="G1317" i="46" s="1"/>
  <c r="G1466" i="46" s="1"/>
  <c r="G1216" i="46"/>
  <c r="G1492" i="46"/>
  <c r="G1555" i="46" s="1"/>
  <c r="G1634" i="46" s="1"/>
  <c r="G1207" i="46"/>
  <c r="G1321" i="46" s="1"/>
  <c r="G1470" i="46" s="1"/>
  <c r="G1220" i="46"/>
  <c r="G1334" i="46" s="1"/>
  <c r="G1482" i="46" s="1"/>
  <c r="G1496" i="46"/>
  <c r="G1559" i="46" s="1"/>
  <c r="G1638" i="46" s="1"/>
  <c r="E1725" i="46"/>
  <c r="E1489" i="46"/>
  <c r="E1200" i="46"/>
  <c r="E1213" i="46"/>
  <c r="F1726" i="46"/>
  <c r="F1490" i="46"/>
  <c r="F1214" i="46"/>
  <c r="F1201" i="46"/>
  <c r="F1315" i="46" s="1"/>
  <c r="F1464" i="46" s="1"/>
  <c r="G1727" i="46"/>
  <c r="G1491" i="46"/>
  <c r="G1554" i="46" s="1"/>
  <c r="G1633" i="46" s="1"/>
  <c r="G1202" i="46"/>
  <c r="G1215" i="46"/>
  <c r="G1329" i="46" s="1"/>
  <c r="G1477" i="46" s="1"/>
  <c r="E1729" i="46"/>
  <c r="E1493" i="46"/>
  <c r="E1204" i="46"/>
  <c r="E1217" i="46"/>
  <c r="F1494" i="46"/>
  <c r="F1205" i="46"/>
  <c r="F1218" i="46"/>
  <c r="G1495" i="46"/>
  <c r="G1558" i="46" s="1"/>
  <c r="G1637" i="46" s="1"/>
  <c r="G1206" i="46"/>
  <c r="G1320" i="46" s="1"/>
  <c r="G1469" i="46" s="1"/>
  <c r="G1219" i="46"/>
  <c r="G1333" i="46" s="1"/>
  <c r="G1481" i="46" s="1"/>
  <c r="E1733" i="46"/>
  <c r="E1497" i="46"/>
  <c r="E1221" i="46"/>
  <c r="F1724" i="46"/>
  <c r="F1488" i="46"/>
  <c r="F1551" i="46" s="1"/>
  <c r="F1630" i="46" s="1"/>
  <c r="F1199" i="46"/>
  <c r="F1313" i="46" s="1"/>
  <c r="F1462" i="46" s="1"/>
  <c r="F1212" i="46"/>
  <c r="F1326" i="46" s="1"/>
  <c r="F1474" i="46" s="1"/>
  <c r="E1215" i="46"/>
  <c r="E1727" i="46"/>
  <c r="E1491" i="46"/>
  <c r="E1202" i="46"/>
  <c r="G1493" i="46"/>
  <c r="G1556" i="46" s="1"/>
  <c r="G1635" i="46" s="1"/>
  <c r="G1204" i="46"/>
  <c r="G1318" i="46" s="1"/>
  <c r="G1467" i="46" s="1"/>
  <c r="G1217" i="46"/>
  <c r="F1496" i="46"/>
  <c r="F1207" i="46"/>
  <c r="F1220" i="46"/>
  <c r="G1497" i="46"/>
  <c r="G1208" i="46"/>
  <c r="G1322" i="46" s="1"/>
  <c r="G1471" i="46" s="1"/>
  <c r="G1221" i="46"/>
  <c r="G1335" i="46" s="1"/>
  <c r="G1483" i="46" s="1"/>
  <c r="G1199" i="46"/>
  <c r="G1313" i="46" s="1"/>
  <c r="G1462" i="46" s="1"/>
  <c r="G1212" i="46"/>
  <c r="G1326" i="46" s="1"/>
  <c r="G1474" i="46" s="1"/>
  <c r="G1488" i="46"/>
  <c r="G1551" i="46" s="1"/>
  <c r="G1630" i="46" s="1"/>
  <c r="F1491" i="46"/>
  <c r="F1202" i="46"/>
  <c r="F1316" i="46" s="1"/>
  <c r="F1465" i="46" s="1"/>
  <c r="F1215" i="46"/>
  <c r="F1727" i="46"/>
  <c r="E1494" i="46"/>
  <c r="E1205" i="46"/>
  <c r="E1218" i="46"/>
  <c r="F1495" i="46"/>
  <c r="F1206" i="46"/>
  <c r="F1219" i="46"/>
  <c r="E1212" i="46"/>
  <c r="E1326" i="46" s="1"/>
  <c r="E1474" i="46" s="1"/>
  <c r="E1724" i="46"/>
  <c r="E1488" i="46"/>
  <c r="E1551" i="46" s="1"/>
  <c r="E1630" i="46" s="1"/>
  <c r="E1199" i="46"/>
  <c r="F1489" i="46"/>
  <c r="F1200" i="46"/>
  <c r="F1314" i="46" s="1"/>
  <c r="F1463" i="46" s="1"/>
  <c r="F1213" i="46"/>
  <c r="F1725" i="46"/>
  <c r="G1201" i="46"/>
  <c r="G1214" i="46"/>
  <c r="G1328" i="46" s="1"/>
  <c r="G1476" i="46" s="1"/>
  <c r="G1490" i="46"/>
  <c r="G1553" i="46" s="1"/>
  <c r="G1632" i="46" s="1"/>
  <c r="E1216" i="46"/>
  <c r="E1728" i="46"/>
  <c r="E1492" i="46"/>
  <c r="E1203" i="46"/>
  <c r="F1493" i="46"/>
  <c r="F1204" i="46"/>
  <c r="F1217" i="46"/>
  <c r="F1331" i="46" s="1"/>
  <c r="F1479" i="46" s="1"/>
  <c r="F1729" i="46"/>
  <c r="G1205" i="46"/>
  <c r="G1319" i="46" s="1"/>
  <c r="G1468" i="46" s="1"/>
  <c r="G1218" i="46"/>
  <c r="G1494" i="46"/>
  <c r="G1557" i="46" s="1"/>
  <c r="G1636" i="46" s="1"/>
  <c r="E1220" i="46"/>
  <c r="E1496" i="46"/>
  <c r="E1207" i="46"/>
  <c r="F1497" i="46"/>
  <c r="F1560" i="46" s="1"/>
  <c r="F1639" i="46" s="1"/>
  <c r="F1208" i="46"/>
  <c r="F1221" i="46"/>
  <c r="F1733" i="46"/>
  <c r="E276" i="31"/>
  <c r="F281" i="31"/>
  <c r="L281" i="32" s="1"/>
  <c r="F276" i="31"/>
  <c r="L276" i="32" s="1"/>
  <c r="F280" i="31"/>
  <c r="L280" i="32" s="1"/>
  <c r="F275" i="31"/>
  <c r="L275" i="32" s="1"/>
  <c r="F279" i="31"/>
  <c r="L279" i="32" s="1"/>
  <c r="F1966" i="46"/>
  <c r="F130" i="47" s="1"/>
  <c r="F1967" i="46"/>
  <c r="F131" i="47" s="1"/>
  <c r="E273" i="31"/>
  <c r="E281" i="31"/>
  <c r="G1967" i="46"/>
  <c r="G1966" i="46"/>
  <c r="E311" i="31"/>
  <c r="F312" i="31"/>
  <c r="L312" i="32" s="1"/>
  <c r="L312" i="31" s="1"/>
  <c r="G313" i="31"/>
  <c r="M313" i="32" s="1"/>
  <c r="M313" i="31" s="1"/>
  <c r="E315" i="31"/>
  <c r="F316" i="31"/>
  <c r="L316" i="32" s="1"/>
  <c r="L316" i="31" s="1"/>
  <c r="G317" i="31"/>
  <c r="M317" i="32" s="1"/>
  <c r="M317" i="31" s="1"/>
  <c r="E319" i="31"/>
  <c r="E310" i="31"/>
  <c r="F311" i="31"/>
  <c r="L311" i="32" s="1"/>
  <c r="L311" i="31" s="1"/>
  <c r="G312" i="31"/>
  <c r="M312" i="32" s="1"/>
  <c r="M312" i="31" s="1"/>
  <c r="E314" i="31"/>
  <c r="F315" i="31"/>
  <c r="L315" i="32" s="1"/>
  <c r="L315" i="31" s="1"/>
  <c r="G316" i="31"/>
  <c r="M316" i="32" s="1"/>
  <c r="M316" i="31" s="1"/>
  <c r="E318" i="31"/>
  <c r="F319" i="31"/>
  <c r="L319" i="32" s="1"/>
  <c r="L319" i="31" s="1"/>
  <c r="F310" i="31"/>
  <c r="L310" i="32" s="1"/>
  <c r="L310" i="31" s="1"/>
  <c r="G311" i="31"/>
  <c r="M311" i="32" s="1"/>
  <c r="M311" i="31" s="1"/>
  <c r="E313" i="31"/>
  <c r="F314" i="31"/>
  <c r="L314" i="32" s="1"/>
  <c r="L314" i="31" s="1"/>
  <c r="G315" i="31"/>
  <c r="M315" i="32" s="1"/>
  <c r="M315" i="31" s="1"/>
  <c r="E317" i="31"/>
  <c r="F318" i="31"/>
  <c r="L318" i="32" s="1"/>
  <c r="L318" i="31" s="1"/>
  <c r="G319" i="31"/>
  <c r="M319" i="32" s="1"/>
  <c r="M319" i="31" s="1"/>
  <c r="G310" i="31"/>
  <c r="M310" i="32" s="1"/>
  <c r="M310" i="31" s="1"/>
  <c r="E312" i="31"/>
  <c r="F313" i="31"/>
  <c r="L313" i="32" s="1"/>
  <c r="L313" i="31" s="1"/>
  <c r="G314" i="31"/>
  <c r="M314" i="32" s="1"/>
  <c r="M314" i="31" s="1"/>
  <c r="E316" i="31"/>
  <c r="F317" i="31"/>
  <c r="L317" i="32" s="1"/>
  <c r="L317" i="31" s="1"/>
  <c r="G318" i="31"/>
  <c r="M318" i="32" s="1"/>
  <c r="M318" i="31" s="1"/>
  <c r="G276" i="31"/>
  <c r="M276" i="32" s="1"/>
  <c r="G1742" i="46"/>
  <c r="G280" i="31"/>
  <c r="M280" i="32" s="1"/>
  <c r="G279" i="31"/>
  <c r="M279" i="32" s="1"/>
  <c r="G274" i="31"/>
  <c r="M274" i="32" s="1"/>
  <c r="G1740" i="46"/>
  <c r="G278" i="31"/>
  <c r="M278" i="32" s="1"/>
  <c r="G282" i="31"/>
  <c r="M282" i="32" s="1"/>
  <c r="G273" i="31"/>
  <c r="G277" i="31"/>
  <c r="M277" i="32" s="1"/>
  <c r="G281" i="31"/>
  <c r="M281" i="32" s="1"/>
  <c r="F273" i="31"/>
  <c r="F277" i="31"/>
  <c r="L277" i="32" s="1"/>
  <c r="E280" i="31"/>
  <c r="E275" i="31"/>
  <c r="E279" i="31"/>
  <c r="E274" i="31"/>
  <c r="E278" i="31"/>
  <c r="E282" i="31"/>
  <c r="F274" i="31"/>
  <c r="L274" i="32" s="1"/>
  <c r="G275" i="31"/>
  <c r="M275" i="32" s="1"/>
  <c r="E277" i="31"/>
  <c r="F278" i="31"/>
  <c r="L278" i="32" s="1"/>
  <c r="F282" i="31"/>
  <c r="L282" i="32" s="1"/>
  <c r="E291" i="31"/>
  <c r="E115" i="31"/>
  <c r="I115" i="31" s="1"/>
  <c r="G116" i="31"/>
  <c r="M116" i="32" s="1"/>
  <c r="M116" i="31" s="1"/>
  <c r="G112" i="31"/>
  <c r="M112" i="32" s="1"/>
  <c r="M112" i="31" s="1"/>
  <c r="G108" i="31"/>
  <c r="M108" i="32" s="1"/>
  <c r="M108" i="31" s="1"/>
  <c r="E114" i="31"/>
  <c r="F116" i="31"/>
  <c r="L116" i="32" s="1"/>
  <c r="L116" i="31" s="1"/>
  <c r="F114" i="31"/>
  <c r="L114" i="32" s="1"/>
  <c r="L114" i="31" s="1"/>
  <c r="F110" i="31"/>
  <c r="L110" i="32" s="1"/>
  <c r="L110" i="31" s="1"/>
  <c r="E107" i="31"/>
  <c r="I107" i="31" s="1"/>
  <c r="E111" i="31"/>
  <c r="I111" i="31" s="1"/>
  <c r="E110" i="31"/>
  <c r="F112" i="31"/>
  <c r="L112" i="32" s="1"/>
  <c r="L112" i="31" s="1"/>
  <c r="F108" i="31"/>
  <c r="L108" i="32" s="1"/>
  <c r="L108" i="31" s="1"/>
  <c r="F6" i="51"/>
  <c r="E107" i="52"/>
  <c r="D107" i="52" s="1"/>
  <c r="G186" i="32"/>
  <c r="G186" i="31" s="1"/>
  <c r="M186" i="32" s="1"/>
  <c r="M186" i="31" s="1"/>
  <c r="F186" i="32"/>
  <c r="F186" i="31" s="1"/>
  <c r="L186" i="32" s="1"/>
  <c r="L186" i="31" s="1"/>
  <c r="E186" i="32"/>
  <c r="G185" i="32"/>
  <c r="G185" i="31" s="1"/>
  <c r="M185" i="32" s="1"/>
  <c r="M185" i="31" s="1"/>
  <c r="F185" i="32"/>
  <c r="F185" i="31" s="1"/>
  <c r="L185" i="32" s="1"/>
  <c r="L185" i="31" s="1"/>
  <c r="E185" i="32"/>
  <c r="G184" i="32"/>
  <c r="G184" i="31" s="1"/>
  <c r="M184" i="32" s="1"/>
  <c r="M184" i="31" s="1"/>
  <c r="F184" i="32"/>
  <c r="F184" i="31" s="1"/>
  <c r="L184" i="32" s="1"/>
  <c r="L184" i="31" s="1"/>
  <c r="E184" i="32"/>
  <c r="G183" i="32"/>
  <c r="G183" i="31" s="1"/>
  <c r="M183" i="32" s="1"/>
  <c r="M183" i="31" s="1"/>
  <c r="F183" i="32"/>
  <c r="F183" i="31" s="1"/>
  <c r="L183" i="32" s="1"/>
  <c r="L183" i="31" s="1"/>
  <c r="E183" i="32"/>
  <c r="G182" i="32"/>
  <c r="G182" i="31" s="1"/>
  <c r="M182" i="32" s="1"/>
  <c r="M182" i="31" s="1"/>
  <c r="F182" i="32"/>
  <c r="F182" i="31" s="1"/>
  <c r="L182" i="32" s="1"/>
  <c r="L182" i="31" s="1"/>
  <c r="E182" i="32"/>
  <c r="G181" i="32"/>
  <c r="G181" i="31" s="1"/>
  <c r="M181" i="32" s="1"/>
  <c r="M181" i="31" s="1"/>
  <c r="F181" i="32"/>
  <c r="F181" i="31" s="1"/>
  <c r="L181" i="32" s="1"/>
  <c r="L181" i="31" s="1"/>
  <c r="E181" i="32"/>
  <c r="G180" i="32"/>
  <c r="G180" i="31" s="1"/>
  <c r="M180" i="32" s="1"/>
  <c r="M180" i="31" s="1"/>
  <c r="F180" i="32"/>
  <c r="F180" i="31" s="1"/>
  <c r="L180" i="32" s="1"/>
  <c r="L180" i="31" s="1"/>
  <c r="E180" i="32"/>
  <c r="G179" i="32"/>
  <c r="G179" i="31" s="1"/>
  <c r="M179" i="32" s="1"/>
  <c r="M179" i="31" s="1"/>
  <c r="F179" i="32"/>
  <c r="F179" i="31" s="1"/>
  <c r="L179" i="32" s="1"/>
  <c r="L179" i="31" s="1"/>
  <c r="E179" i="32"/>
  <c r="G178" i="32"/>
  <c r="G178" i="31" s="1"/>
  <c r="M178" i="32" s="1"/>
  <c r="M178" i="31" s="1"/>
  <c r="F178" i="32"/>
  <c r="F178" i="31" s="1"/>
  <c r="L178" i="32" s="1"/>
  <c r="L178" i="31" s="1"/>
  <c r="E178" i="32"/>
  <c r="G177" i="32"/>
  <c r="G177" i="31" s="1"/>
  <c r="M177" i="32" s="1"/>
  <c r="M177" i="31" s="1"/>
  <c r="F177" i="32"/>
  <c r="F177" i="31" s="1"/>
  <c r="L177" i="32" s="1"/>
  <c r="L177" i="31" s="1"/>
  <c r="E177" i="32"/>
  <c r="M273" i="32" l="1"/>
  <c r="G1177" i="46"/>
  <c r="L273" i="32"/>
  <c r="L1644" i="46" s="1"/>
  <c r="L1707" i="46" s="1"/>
  <c r="L1786" i="46" s="1"/>
  <c r="F1177" i="46"/>
  <c r="G1362" i="46"/>
  <c r="G1332" i="46"/>
  <c r="G1480" i="46" s="1"/>
  <c r="F1569" i="46"/>
  <c r="F1552" i="46"/>
  <c r="F1631" i="46" s="1"/>
  <c r="G1361" i="46"/>
  <c r="G1331" i="46"/>
  <c r="G1479" i="46" s="1"/>
  <c r="E1571" i="46"/>
  <c r="E1554" i="46"/>
  <c r="E1633" i="46" s="1"/>
  <c r="G1360" i="46"/>
  <c r="G1330" i="46"/>
  <c r="G1478" i="46" s="1"/>
  <c r="E1363" i="46"/>
  <c r="E1333" i="46"/>
  <c r="E1481" i="46" s="1"/>
  <c r="F1365" i="46"/>
  <c r="F1335" i="46"/>
  <c r="F1483" i="46" s="1"/>
  <c r="E1576" i="46"/>
  <c r="E1559" i="46"/>
  <c r="E1638" i="46" s="1"/>
  <c r="F1573" i="46"/>
  <c r="F1556" i="46"/>
  <c r="F1635" i="46" s="1"/>
  <c r="F1363" i="46"/>
  <c r="F1333" i="46"/>
  <c r="F1481" i="46" s="1"/>
  <c r="E1349" i="46"/>
  <c r="E1319" i="46"/>
  <c r="E1468" i="46" s="1"/>
  <c r="F1364" i="46"/>
  <c r="F1334" i="46"/>
  <c r="F1482" i="46" s="1"/>
  <c r="F1362" i="46"/>
  <c r="F1332" i="46"/>
  <c r="F1480" i="46" s="1"/>
  <c r="E1348" i="46"/>
  <c r="E1318" i="46"/>
  <c r="E1467" i="46" s="1"/>
  <c r="G1346" i="46"/>
  <c r="G1316" i="46"/>
  <c r="G1465" i="46" s="1"/>
  <c r="F1358" i="46"/>
  <c r="F1328" i="46"/>
  <c r="F1476" i="46" s="1"/>
  <c r="E1570" i="46"/>
  <c r="E1553" i="46"/>
  <c r="E1632" i="46" s="1"/>
  <c r="F1347" i="46"/>
  <c r="F1317" i="46"/>
  <c r="F1466" i="46" s="1"/>
  <c r="G1731" i="46"/>
  <c r="G1714" i="46"/>
  <c r="G1793" i="46" s="1"/>
  <c r="G1732" i="46"/>
  <c r="G1715" i="46"/>
  <c r="G1794" i="46" s="1"/>
  <c r="G1730" i="46"/>
  <c r="G1713" i="46"/>
  <c r="G1792" i="46" s="1"/>
  <c r="F1348" i="46"/>
  <c r="F1318" i="46"/>
  <c r="F1467" i="46" s="1"/>
  <c r="F1359" i="46"/>
  <c r="F1329" i="46"/>
  <c r="F1477" i="46" s="1"/>
  <c r="E1357" i="46"/>
  <c r="E1327" i="46"/>
  <c r="E1475" i="46" s="1"/>
  <c r="F1352" i="46"/>
  <c r="F1322" i="46"/>
  <c r="F1471" i="46" s="1"/>
  <c r="E1364" i="46"/>
  <c r="E1334" i="46"/>
  <c r="E1482" i="46" s="1"/>
  <c r="E1347" i="46"/>
  <c r="E1317" i="46"/>
  <c r="E1466" i="46" s="1"/>
  <c r="F1357" i="46"/>
  <c r="F1327" i="46"/>
  <c r="F1475" i="46" s="1"/>
  <c r="F1350" i="46"/>
  <c r="F1320" i="46"/>
  <c r="F1469" i="46" s="1"/>
  <c r="E1574" i="46"/>
  <c r="E1557" i="46"/>
  <c r="E1636" i="46" s="1"/>
  <c r="F1571" i="46"/>
  <c r="F1554" i="46"/>
  <c r="F1633" i="46" s="1"/>
  <c r="F1351" i="46"/>
  <c r="F1321" i="46"/>
  <c r="F1470" i="46" s="1"/>
  <c r="E1359" i="46"/>
  <c r="E1329" i="46"/>
  <c r="E1477" i="46" s="1"/>
  <c r="F1349" i="46"/>
  <c r="F1319" i="46"/>
  <c r="F1468" i="46" s="1"/>
  <c r="E1573" i="46"/>
  <c r="E1556" i="46"/>
  <c r="E1635" i="46" s="1"/>
  <c r="F1570" i="46"/>
  <c r="F1553" i="46"/>
  <c r="F1632" i="46" s="1"/>
  <c r="E1569" i="46"/>
  <c r="E1552" i="46"/>
  <c r="E1631" i="46" s="1"/>
  <c r="E1358" i="46"/>
  <c r="E1328" i="46"/>
  <c r="E1476" i="46" s="1"/>
  <c r="E1575" i="46"/>
  <c r="E1558" i="46"/>
  <c r="E1637" i="46" s="1"/>
  <c r="G1344" i="46"/>
  <c r="G1314" i="46"/>
  <c r="G1463" i="46" s="1"/>
  <c r="E1352" i="46"/>
  <c r="E1322" i="46"/>
  <c r="E1471" i="46" s="1"/>
  <c r="E1351" i="46"/>
  <c r="E1321" i="46"/>
  <c r="E1470" i="46" s="1"/>
  <c r="G1345" i="46"/>
  <c r="G1315" i="46"/>
  <c r="G1464" i="46" s="1"/>
  <c r="E1362" i="46"/>
  <c r="E1332" i="46"/>
  <c r="E1480" i="46" s="1"/>
  <c r="G1577" i="46"/>
  <c r="G1560" i="46"/>
  <c r="G1639" i="46" s="1"/>
  <c r="E1572" i="46"/>
  <c r="E1555" i="46"/>
  <c r="E1634" i="46" s="1"/>
  <c r="F1575" i="46"/>
  <c r="F1558" i="46"/>
  <c r="F1637" i="46" s="1"/>
  <c r="F1576" i="46"/>
  <c r="F1559" i="46"/>
  <c r="F1638" i="46" s="1"/>
  <c r="E1365" i="46"/>
  <c r="E1335" i="46"/>
  <c r="E1483" i="46" s="1"/>
  <c r="F1574" i="46"/>
  <c r="F1557" i="46"/>
  <c r="F1636" i="46" s="1"/>
  <c r="E1350" i="46"/>
  <c r="E1320" i="46"/>
  <c r="E1469" i="46" s="1"/>
  <c r="F1572" i="46"/>
  <c r="F1555" i="46"/>
  <c r="F1634" i="46" s="1"/>
  <c r="F1356" i="46"/>
  <c r="E1356" i="46"/>
  <c r="E1568" i="46"/>
  <c r="G1343" i="46"/>
  <c r="F1568" i="46"/>
  <c r="G1390" i="46"/>
  <c r="K16" i="63"/>
  <c r="K11" i="63"/>
  <c r="I114" i="31"/>
  <c r="K113" i="32"/>
  <c r="O113" i="32" s="1"/>
  <c r="I312" i="31"/>
  <c r="L133" i="47"/>
  <c r="I180" i="32"/>
  <c r="I184" i="32"/>
  <c r="K282" i="32"/>
  <c r="I282" i="31"/>
  <c r="M1493" i="46"/>
  <c r="M1556" i="46" s="1"/>
  <c r="M1635" i="46" s="1"/>
  <c r="M1204" i="46"/>
  <c r="M1318" i="46" s="1"/>
  <c r="M1467" i="46" s="1"/>
  <c r="M1649" i="46"/>
  <c r="M1712" i="46" s="1"/>
  <c r="M1791" i="46" s="1"/>
  <c r="M278" i="31"/>
  <c r="I177" i="32"/>
  <c r="I181" i="32"/>
  <c r="I185" i="32"/>
  <c r="L1221" i="46"/>
  <c r="L1335" i="46" s="1"/>
  <c r="L1483" i="46" s="1"/>
  <c r="L1208" i="46"/>
  <c r="L1322" i="46" s="1"/>
  <c r="L1471" i="46" s="1"/>
  <c r="L1653" i="46"/>
  <c r="L1716" i="46" s="1"/>
  <c r="L1795" i="46" s="1"/>
  <c r="L282" i="31"/>
  <c r="L1213" i="46"/>
  <c r="L1327" i="46" s="1"/>
  <c r="L1475" i="46" s="1"/>
  <c r="L1489" i="46"/>
  <c r="L1552" i="46" s="1"/>
  <c r="L1631" i="46" s="1"/>
  <c r="L1645" i="46"/>
  <c r="L1708" i="46" s="1"/>
  <c r="L1787" i="46" s="1"/>
  <c r="L274" i="31"/>
  <c r="I279" i="31"/>
  <c r="L1212" i="46"/>
  <c r="L1326" i="46" s="1"/>
  <c r="L1474" i="46" s="1"/>
  <c r="M1208" i="46"/>
  <c r="M1322" i="46" s="1"/>
  <c r="M1471" i="46" s="1"/>
  <c r="M1221" i="46"/>
  <c r="M1335" i="46" s="1"/>
  <c r="M1483" i="46" s="1"/>
  <c r="M1653" i="46"/>
  <c r="M1716" i="46" s="1"/>
  <c r="M1795" i="46" s="1"/>
  <c r="M282" i="31"/>
  <c r="M1494" i="46"/>
  <c r="M1557" i="46" s="1"/>
  <c r="M1636" i="46" s="1"/>
  <c r="M1205" i="46"/>
  <c r="M1319" i="46" s="1"/>
  <c r="M1468" i="46" s="1"/>
  <c r="M1218" i="46"/>
  <c r="M1332" i="46" s="1"/>
  <c r="M1480" i="46" s="1"/>
  <c r="M279" i="31"/>
  <c r="I313" i="31"/>
  <c r="I318" i="31"/>
  <c r="I281" i="31"/>
  <c r="L1215" i="46"/>
  <c r="L1329" i="46" s="1"/>
  <c r="L1477" i="46" s="1"/>
  <c r="L1491" i="46"/>
  <c r="L1554" i="46" s="1"/>
  <c r="L1633" i="46" s="1"/>
  <c r="L1647" i="46"/>
  <c r="L1710" i="46" s="1"/>
  <c r="L1789" i="46" s="1"/>
  <c r="L276" i="31"/>
  <c r="K12" i="63"/>
  <c r="K297" i="32"/>
  <c r="I297" i="31"/>
  <c r="K295" i="32"/>
  <c r="I295" i="31"/>
  <c r="K275" i="32"/>
  <c r="I275" i="31"/>
  <c r="M1220" i="46"/>
  <c r="M1334" i="46" s="1"/>
  <c r="M1482" i="46" s="1"/>
  <c r="M1207" i="46"/>
  <c r="M1321" i="46" s="1"/>
  <c r="M1470" i="46" s="1"/>
  <c r="M1496" i="46"/>
  <c r="M1559" i="46" s="1"/>
  <c r="M1638" i="46" s="1"/>
  <c r="M281" i="31"/>
  <c r="M1495" i="46"/>
  <c r="M1558" i="46" s="1"/>
  <c r="M1637" i="46" s="1"/>
  <c r="M1219" i="46"/>
  <c r="M1333" i="46" s="1"/>
  <c r="M1481" i="46" s="1"/>
  <c r="M1206" i="46"/>
  <c r="M1320" i="46" s="1"/>
  <c r="M1469" i="46" s="1"/>
  <c r="M280" i="31"/>
  <c r="I311" i="31"/>
  <c r="L1494" i="46"/>
  <c r="L1557" i="46" s="1"/>
  <c r="L1636" i="46" s="1"/>
  <c r="L1205" i="46"/>
  <c r="L1319" i="46" s="1"/>
  <c r="L1468" i="46" s="1"/>
  <c r="L1218" i="46"/>
  <c r="L1332" i="46" s="1"/>
  <c r="L1480" i="46" s="1"/>
  <c r="L279" i="31"/>
  <c r="L1496" i="46"/>
  <c r="L1559" i="46" s="1"/>
  <c r="L1638" i="46" s="1"/>
  <c r="L1207" i="46"/>
  <c r="L1321" i="46" s="1"/>
  <c r="L1470" i="46" s="1"/>
  <c r="L1220" i="46"/>
  <c r="L1334" i="46" s="1"/>
  <c r="L1482" i="46" s="1"/>
  <c r="L281" i="31"/>
  <c r="O108" i="32"/>
  <c r="K108" i="31"/>
  <c r="K300" i="32"/>
  <c r="I300" i="31"/>
  <c r="K292" i="32"/>
  <c r="I292" i="31"/>
  <c r="I112" i="31"/>
  <c r="O39" i="32"/>
  <c r="K39" i="31"/>
  <c r="O39" i="31" s="1"/>
  <c r="K298" i="32"/>
  <c r="I298" i="31"/>
  <c r="O38" i="32"/>
  <c r="K38" i="31"/>
  <c r="O38" i="31" s="1"/>
  <c r="I179" i="32"/>
  <c r="I183" i="32"/>
  <c r="I110" i="31"/>
  <c r="I277" i="31"/>
  <c r="K278" i="32"/>
  <c r="I278" i="31"/>
  <c r="I280" i="31"/>
  <c r="M1492" i="46"/>
  <c r="M1555" i="46" s="1"/>
  <c r="M1634" i="46" s="1"/>
  <c r="M1203" i="46"/>
  <c r="M1317" i="46" s="1"/>
  <c r="M1466" i="46" s="1"/>
  <c r="M1648" i="46"/>
  <c r="M1711" i="46" s="1"/>
  <c r="M1790" i="46" s="1"/>
  <c r="M277" i="31"/>
  <c r="I316" i="31"/>
  <c r="I310" i="31"/>
  <c r="I315" i="31"/>
  <c r="I273" i="31"/>
  <c r="L1490" i="46"/>
  <c r="L1553" i="46" s="1"/>
  <c r="L1632" i="46" s="1"/>
  <c r="L1214" i="46"/>
  <c r="L1328" i="46" s="1"/>
  <c r="L1476" i="46" s="1"/>
  <c r="L1646" i="46"/>
  <c r="L1709" i="46" s="1"/>
  <c r="L1788" i="46" s="1"/>
  <c r="L275" i="31"/>
  <c r="I276" i="31"/>
  <c r="O226" i="32"/>
  <c r="K226" i="31"/>
  <c r="K293" i="32"/>
  <c r="I293" i="31"/>
  <c r="K299" i="32"/>
  <c r="I299" i="31"/>
  <c r="L1204" i="46"/>
  <c r="L1318" i="46" s="1"/>
  <c r="L1467" i="46" s="1"/>
  <c r="L1493" i="46"/>
  <c r="L1556" i="46" s="1"/>
  <c r="L1635" i="46" s="1"/>
  <c r="L1649" i="46"/>
  <c r="L1712" i="46" s="1"/>
  <c r="L1791" i="46" s="1"/>
  <c r="L278" i="31"/>
  <c r="I317" i="31"/>
  <c r="I178" i="32"/>
  <c r="I182" i="32"/>
  <c r="I186" i="32"/>
  <c r="K291" i="32"/>
  <c r="I291" i="31"/>
  <c r="M1490" i="46"/>
  <c r="M1553" i="46" s="1"/>
  <c r="M1632" i="46" s="1"/>
  <c r="M1214" i="46"/>
  <c r="M1328" i="46" s="1"/>
  <c r="M1476" i="46" s="1"/>
  <c r="M1646" i="46"/>
  <c r="M1709" i="46" s="1"/>
  <c r="M1788" i="46" s="1"/>
  <c r="M275" i="31"/>
  <c r="K274" i="32"/>
  <c r="I274" i="31"/>
  <c r="L1492" i="46"/>
  <c r="L1555" i="46" s="1"/>
  <c r="L1634" i="46" s="1"/>
  <c r="L1203" i="46"/>
  <c r="L1317" i="46" s="1"/>
  <c r="L1466" i="46" s="1"/>
  <c r="L1648" i="46"/>
  <c r="L1711" i="46" s="1"/>
  <c r="L1790" i="46" s="1"/>
  <c r="L277" i="31"/>
  <c r="M1488" i="46"/>
  <c r="M1551" i="46" s="1"/>
  <c r="M1630" i="46" s="1"/>
  <c r="M1212" i="46"/>
  <c r="M1326" i="46" s="1"/>
  <c r="M1474" i="46" s="1"/>
  <c r="M1644" i="46"/>
  <c r="M1707" i="46" s="1"/>
  <c r="M1786" i="46" s="1"/>
  <c r="M273" i="31"/>
  <c r="M1213" i="46"/>
  <c r="M1327" i="46" s="1"/>
  <c r="M1475" i="46" s="1"/>
  <c r="M1489" i="46"/>
  <c r="M1552" i="46" s="1"/>
  <c r="M1631" i="46" s="1"/>
  <c r="M1645" i="46"/>
  <c r="M1708" i="46" s="1"/>
  <c r="M1787" i="46" s="1"/>
  <c r="M274" i="31"/>
  <c r="M1491" i="46"/>
  <c r="M1554" i="46" s="1"/>
  <c r="M1633" i="46" s="1"/>
  <c r="M1215" i="46"/>
  <c r="M1329" i="46" s="1"/>
  <c r="M1477" i="46" s="1"/>
  <c r="M1647" i="46"/>
  <c r="M1710" i="46" s="1"/>
  <c r="M1789" i="46" s="1"/>
  <c r="M276" i="31"/>
  <c r="I314" i="31"/>
  <c r="I319" i="31"/>
  <c r="L1219" i="46"/>
  <c r="L1333" i="46" s="1"/>
  <c r="L1481" i="46" s="1"/>
  <c r="L1495" i="46"/>
  <c r="L1558" i="46" s="1"/>
  <c r="L1637" i="46" s="1"/>
  <c r="L1206" i="46"/>
  <c r="L1320" i="46" s="1"/>
  <c r="L1469" i="46" s="1"/>
  <c r="L280" i="31"/>
  <c r="K109" i="32"/>
  <c r="K112" i="32"/>
  <c r="K296" i="32"/>
  <c r="I296" i="31"/>
  <c r="O37" i="32"/>
  <c r="K37" i="31"/>
  <c r="O37" i="31" s="1"/>
  <c r="I108" i="31"/>
  <c r="K116" i="32"/>
  <c r="I116" i="31"/>
  <c r="K294" i="32"/>
  <c r="I294" i="31"/>
  <c r="O225" i="32"/>
  <c r="K225" i="31"/>
  <c r="O224" i="32"/>
  <c r="K224" i="31"/>
  <c r="K10" i="63"/>
  <c r="K107" i="32"/>
  <c r="K17" i="63"/>
  <c r="K114" i="32"/>
  <c r="K18" i="63"/>
  <c r="K115" i="32"/>
  <c r="K314" i="32"/>
  <c r="K19" i="64"/>
  <c r="K319" i="32"/>
  <c r="G16" i="64"/>
  <c r="K279" i="32"/>
  <c r="K13" i="64"/>
  <c r="K313" i="32"/>
  <c r="K18" i="64"/>
  <c r="K318" i="32"/>
  <c r="G18" i="64"/>
  <c r="K281" i="32"/>
  <c r="G1741" i="46"/>
  <c r="G1726" i="46"/>
  <c r="G1739" i="46"/>
  <c r="G1724" i="46"/>
  <c r="G1743" i="46"/>
  <c r="G1728" i="46"/>
  <c r="K13" i="63"/>
  <c r="K110" i="32"/>
  <c r="K312" i="32"/>
  <c r="K17" i="64"/>
  <c r="K317" i="32"/>
  <c r="K311" i="32"/>
  <c r="K14" i="63"/>
  <c r="K111" i="32"/>
  <c r="G14" i="64"/>
  <c r="K277" i="32"/>
  <c r="K280" i="32"/>
  <c r="K16" i="64"/>
  <c r="K316" i="32"/>
  <c r="K310" i="32"/>
  <c r="K315" i="32"/>
  <c r="K273" i="32"/>
  <c r="K276" i="32"/>
  <c r="G1748" i="46"/>
  <c r="G1733" i="46"/>
  <c r="G1744" i="46"/>
  <c r="G1729" i="46"/>
  <c r="G1589" i="46"/>
  <c r="G1574" i="46"/>
  <c r="G1585" i="46"/>
  <c r="G1570" i="46"/>
  <c r="G1583" i="46"/>
  <c r="G1568" i="46"/>
  <c r="G1591" i="46"/>
  <c r="G1576" i="46"/>
  <c r="G1587" i="46"/>
  <c r="G1572" i="46"/>
  <c r="G1588" i="46"/>
  <c r="G1573" i="46"/>
  <c r="G1590" i="46"/>
  <c r="G1575" i="46"/>
  <c r="G1586" i="46"/>
  <c r="G1571" i="46"/>
  <c r="G1584" i="46"/>
  <c r="G1569" i="46"/>
  <c r="G1378" i="46"/>
  <c r="G1350" i="46"/>
  <c r="G1386" i="46"/>
  <c r="G1358" i="46"/>
  <c r="G1384" i="46"/>
  <c r="G1356" i="46"/>
  <c r="G1392" i="46"/>
  <c r="G1364" i="46"/>
  <c r="G1393" i="46"/>
  <c r="G1365" i="46"/>
  <c r="G1391" i="46"/>
  <c r="G1363" i="46"/>
  <c r="G1387" i="46"/>
  <c r="G1359" i="46"/>
  <c r="G1385" i="46"/>
  <c r="G1357" i="46"/>
  <c r="G1380" i="46"/>
  <c r="G1352" i="46"/>
  <c r="G1376" i="46"/>
  <c r="G1348" i="46"/>
  <c r="G1377" i="46"/>
  <c r="G1349" i="46"/>
  <c r="G1379" i="46"/>
  <c r="G1351" i="46"/>
  <c r="G1375" i="46"/>
  <c r="G1347" i="46"/>
  <c r="G13" i="64"/>
  <c r="G10" i="64"/>
  <c r="E1967" i="46"/>
  <c r="E1966" i="46"/>
  <c r="K12" i="64"/>
  <c r="K10" i="64"/>
  <c r="K11" i="64"/>
  <c r="K15" i="64"/>
  <c r="K14" i="64"/>
  <c r="G1804" i="46"/>
  <c r="G1834" i="46" s="1"/>
  <c r="G1801" i="46"/>
  <c r="G1831" i="46" s="1"/>
  <c r="G1800" i="46"/>
  <c r="G1830" i="46" s="1"/>
  <c r="G1806" i="46"/>
  <c r="G1836" i="46" s="1"/>
  <c r="G1809" i="46"/>
  <c r="G1839" i="46" s="1"/>
  <c r="G1802" i="46"/>
  <c r="G1832" i="46" s="1"/>
  <c r="G1807" i="46"/>
  <c r="G1837" i="46" s="1"/>
  <c r="G1808" i="46"/>
  <c r="G1838" i="46" s="1"/>
  <c r="G1805" i="46"/>
  <c r="G1835" i="46" s="1"/>
  <c r="G1803" i="46"/>
  <c r="G1833" i="46" s="1"/>
  <c r="G15" i="64"/>
  <c r="G17" i="64"/>
  <c r="I10" i="64"/>
  <c r="G19" i="64"/>
  <c r="G11" i="64"/>
  <c r="G12" i="64"/>
  <c r="F133" i="47"/>
  <c r="D42" i="43"/>
  <c r="D130" i="46" s="1"/>
  <c r="D43" i="43"/>
  <c r="D44" i="43"/>
  <c r="D45" i="43"/>
  <c r="G138" i="32"/>
  <c r="F138" i="32"/>
  <c r="E138" i="32"/>
  <c r="G137" i="32"/>
  <c r="F137" i="32"/>
  <c r="E137" i="32"/>
  <c r="G136" i="32"/>
  <c r="F136" i="32"/>
  <c r="E136" i="32"/>
  <c r="G135" i="32"/>
  <c r="F135" i="32"/>
  <c r="E135" i="32"/>
  <c r="G134" i="32"/>
  <c r="F134" i="32"/>
  <c r="E134" i="32"/>
  <c r="G132" i="32"/>
  <c r="F132" i="32"/>
  <c r="E132" i="32"/>
  <c r="G131" i="32"/>
  <c r="F131" i="32"/>
  <c r="E131" i="32"/>
  <c r="G130" i="32"/>
  <c r="F130" i="32"/>
  <c r="E130" i="32"/>
  <c r="G129" i="32"/>
  <c r="F129" i="32"/>
  <c r="E129" i="32"/>
  <c r="G98" i="32"/>
  <c r="G98" i="31" s="1"/>
  <c r="M98" i="32" s="1"/>
  <c r="M98" i="31" s="1"/>
  <c r="F98" i="32"/>
  <c r="F98" i="31" s="1"/>
  <c r="L98" i="32" s="1"/>
  <c r="L98" i="31" s="1"/>
  <c r="E98" i="32"/>
  <c r="G97" i="32"/>
  <c r="G97" i="31" s="1"/>
  <c r="M97" i="32" s="1"/>
  <c r="M97" i="31" s="1"/>
  <c r="F97" i="32"/>
  <c r="F97" i="31" s="1"/>
  <c r="L97" i="32" s="1"/>
  <c r="L97" i="31" s="1"/>
  <c r="E97" i="32"/>
  <c r="G96" i="32"/>
  <c r="G96" i="31" s="1"/>
  <c r="M96" i="32" s="1"/>
  <c r="M96" i="31" s="1"/>
  <c r="F96" i="32"/>
  <c r="F96" i="31" s="1"/>
  <c r="L96" i="32" s="1"/>
  <c r="L96" i="31" s="1"/>
  <c r="E96" i="32"/>
  <c r="G95" i="32"/>
  <c r="G95" i="31" s="1"/>
  <c r="M95" i="32" s="1"/>
  <c r="M95" i="31" s="1"/>
  <c r="F95" i="32"/>
  <c r="F95" i="31" s="1"/>
  <c r="L95" i="32" s="1"/>
  <c r="L95" i="31" s="1"/>
  <c r="E95" i="32"/>
  <c r="G94" i="32"/>
  <c r="G94" i="31" s="1"/>
  <c r="M94" i="32" s="1"/>
  <c r="M94" i="31" s="1"/>
  <c r="F94" i="32"/>
  <c r="F94" i="31" s="1"/>
  <c r="L94" i="32" s="1"/>
  <c r="L94" i="31" s="1"/>
  <c r="E94" i="32"/>
  <c r="G93" i="32"/>
  <c r="G93" i="31" s="1"/>
  <c r="M93" i="32" s="1"/>
  <c r="M93" i="31" s="1"/>
  <c r="F93" i="32"/>
  <c r="F93" i="31" s="1"/>
  <c r="L93" i="32" s="1"/>
  <c r="L93" i="31" s="1"/>
  <c r="E93" i="32"/>
  <c r="G92" i="32"/>
  <c r="G92" i="31" s="1"/>
  <c r="M92" i="32" s="1"/>
  <c r="M92" i="31" s="1"/>
  <c r="F92" i="32"/>
  <c r="F92" i="31" s="1"/>
  <c r="L92" i="32" s="1"/>
  <c r="L92" i="31" s="1"/>
  <c r="E92" i="32"/>
  <c r="G91" i="32"/>
  <c r="G91" i="31" s="1"/>
  <c r="M91" i="32" s="1"/>
  <c r="M91" i="31" s="1"/>
  <c r="F91" i="32"/>
  <c r="F91" i="31" s="1"/>
  <c r="L91" i="32" s="1"/>
  <c r="L91" i="31" s="1"/>
  <c r="E91" i="32"/>
  <c r="G90" i="32"/>
  <c r="G90" i="31" s="1"/>
  <c r="M90" i="32" s="1"/>
  <c r="M90" i="31" s="1"/>
  <c r="F90" i="32"/>
  <c r="F90" i="31" s="1"/>
  <c r="L90" i="32" s="1"/>
  <c r="L90" i="31" s="1"/>
  <c r="E90" i="32"/>
  <c r="G89" i="32"/>
  <c r="G89" i="31" s="1"/>
  <c r="M89" i="32" s="1"/>
  <c r="M89" i="31" s="1"/>
  <c r="F89" i="32"/>
  <c r="F89" i="31" s="1"/>
  <c r="L89" i="32" s="1"/>
  <c r="L89" i="31" s="1"/>
  <c r="E89" i="32"/>
  <c r="F71" i="32"/>
  <c r="G71" i="32"/>
  <c r="F72" i="32"/>
  <c r="G72" i="32"/>
  <c r="F73" i="32"/>
  <c r="G73" i="32"/>
  <c r="F74" i="32"/>
  <c r="G74" i="32"/>
  <c r="F75" i="32"/>
  <c r="G75" i="32"/>
  <c r="F76" i="32"/>
  <c r="G76" i="32"/>
  <c r="F77" i="32"/>
  <c r="G77" i="32"/>
  <c r="F78" i="32"/>
  <c r="G78" i="32"/>
  <c r="F79" i="32"/>
  <c r="G79" i="32"/>
  <c r="F80" i="32"/>
  <c r="G80" i="32"/>
  <c r="E72" i="32"/>
  <c r="E73" i="32"/>
  <c r="E74" i="32"/>
  <c r="E75" i="32"/>
  <c r="E76" i="32"/>
  <c r="E77" i="32"/>
  <c r="E78" i="32"/>
  <c r="E79" i="32"/>
  <c r="E80" i="32"/>
  <c r="E71" i="32"/>
  <c r="K90" i="58"/>
  <c r="K29" i="58"/>
  <c r="G120" i="70"/>
  <c r="F120" i="70"/>
  <c r="K89" i="58"/>
  <c r="K28" i="58"/>
  <c r="G119" i="70"/>
  <c r="F119" i="70"/>
  <c r="K88" i="58"/>
  <c r="K27" i="58"/>
  <c r="G118" i="70"/>
  <c r="F118" i="70"/>
  <c r="K87" i="58"/>
  <c r="K26" i="58"/>
  <c r="G117" i="70"/>
  <c r="F117" i="70"/>
  <c r="K86" i="58"/>
  <c r="K25" i="58"/>
  <c r="G116" i="70"/>
  <c r="F116" i="70"/>
  <c r="K85" i="58"/>
  <c r="K24" i="58"/>
  <c r="G115" i="70"/>
  <c r="F115" i="70"/>
  <c r="K113" i="58"/>
  <c r="K361" i="70" s="1"/>
  <c r="K112" i="58"/>
  <c r="K360" i="70" s="1"/>
  <c r="K111" i="58"/>
  <c r="K359" i="70" s="1"/>
  <c r="M358" i="70"/>
  <c r="L358" i="70"/>
  <c r="K110" i="58"/>
  <c r="K358" i="70" s="1"/>
  <c r="K109" i="58"/>
  <c r="K357" i="70" s="1"/>
  <c r="K108" i="58"/>
  <c r="K356" i="70" s="1"/>
  <c r="M355" i="70"/>
  <c r="L355" i="70"/>
  <c r="K107" i="58"/>
  <c r="K355" i="70" s="1"/>
  <c r="K106" i="58"/>
  <c r="K354" i="70" s="1"/>
  <c r="K105" i="58"/>
  <c r="K353" i="70" s="1"/>
  <c r="M352" i="70"/>
  <c r="L352" i="70"/>
  <c r="K104" i="58"/>
  <c r="K352" i="70" s="1"/>
  <c r="K83" i="58"/>
  <c r="K276" i="70" s="1"/>
  <c r="G2007" i="46"/>
  <c r="G284" i="70" s="1"/>
  <c r="K82" i="58"/>
  <c r="K275" i="70" s="1"/>
  <c r="G2006" i="46"/>
  <c r="G283" i="70" s="1"/>
  <c r="K81" i="58"/>
  <c r="K274" i="70" s="1"/>
  <c r="G2005" i="46"/>
  <c r="G282" i="70" s="1"/>
  <c r="K143" i="38"/>
  <c r="K79" i="58"/>
  <c r="K272" i="70" s="1"/>
  <c r="G2003" i="46"/>
  <c r="G280" i="70" s="1"/>
  <c r="K78" i="58"/>
  <c r="K77" i="58"/>
  <c r="K76" i="58"/>
  <c r="K75" i="58"/>
  <c r="K74" i="58"/>
  <c r="K52" i="58"/>
  <c r="K188" i="70" s="1"/>
  <c r="G188" i="70"/>
  <c r="F188" i="70"/>
  <c r="M187" i="70"/>
  <c r="L187" i="70"/>
  <c r="K51" i="58"/>
  <c r="E61" i="30"/>
  <c r="M186" i="70"/>
  <c r="L186" i="70"/>
  <c r="K50" i="58"/>
  <c r="E56" i="30"/>
  <c r="K49" i="58"/>
  <c r="E51" i="30"/>
  <c r="K48" i="58"/>
  <c r="K184" i="70" s="1"/>
  <c r="K47" i="58"/>
  <c r="K183" i="70" s="1"/>
  <c r="G183" i="70"/>
  <c r="F183" i="70"/>
  <c r="K46" i="58"/>
  <c r="E37" i="30"/>
  <c r="K45" i="58"/>
  <c r="E32" i="30"/>
  <c r="Q106" i="29" s="1"/>
  <c r="E106" i="29" s="1"/>
  <c r="K44" i="58"/>
  <c r="G180" i="70"/>
  <c r="F180" i="70"/>
  <c r="E28" i="30"/>
  <c r="M179" i="70"/>
  <c r="L179" i="70"/>
  <c r="K43" i="58"/>
  <c r="K179" i="70" s="1"/>
  <c r="E23" i="30"/>
  <c r="Q92" i="29" s="1"/>
  <c r="E92" i="29" s="1"/>
  <c r="K22" i="58"/>
  <c r="K103" i="70" s="1"/>
  <c r="K21" i="58"/>
  <c r="K102" i="70" s="1"/>
  <c r="G102" i="70"/>
  <c r="F102" i="70"/>
  <c r="K20" i="58"/>
  <c r="K101" i="70" s="1"/>
  <c r="G101" i="70"/>
  <c r="F101" i="70"/>
  <c r="M100" i="70"/>
  <c r="L100" i="70"/>
  <c r="K19" i="58"/>
  <c r="K978" i="46" s="1"/>
  <c r="K18" i="58"/>
  <c r="K99" i="70" s="1"/>
  <c r="G99" i="70"/>
  <c r="F99" i="70"/>
  <c r="K17" i="58"/>
  <c r="K16" i="58"/>
  <c r="K15" i="58"/>
  <c r="K14" i="58"/>
  <c r="K13" i="58"/>
  <c r="L1488" i="46" l="1"/>
  <c r="L1551" i="46" s="1"/>
  <c r="L1630" i="46" s="1"/>
  <c r="M1177" i="46"/>
  <c r="L273" i="31"/>
  <c r="L1177" i="46" s="1"/>
  <c r="E613" i="46"/>
  <c r="G1878" i="46"/>
  <c r="O225" i="31"/>
  <c r="O226" i="31"/>
  <c r="G1880" i="46"/>
  <c r="O224" i="31"/>
  <c r="K291" i="70"/>
  <c r="K288" i="70"/>
  <c r="K290" i="70"/>
  <c r="K293" i="70"/>
  <c r="K292" i="70"/>
  <c r="K289" i="70"/>
  <c r="K115" i="70"/>
  <c r="K116" i="70"/>
  <c r="K89" i="46"/>
  <c r="K93" i="46" s="1"/>
  <c r="K117" i="70"/>
  <c r="E477" i="38"/>
  <c r="E343" i="38"/>
  <c r="F28" i="30"/>
  <c r="K180" i="70"/>
  <c r="F37" i="30"/>
  <c r="K182" i="70"/>
  <c r="F32" i="30"/>
  <c r="K181" i="70"/>
  <c r="F51" i="30"/>
  <c r="K185" i="70"/>
  <c r="K120" i="70"/>
  <c r="K119" i="70"/>
  <c r="K118" i="70"/>
  <c r="K253" i="70"/>
  <c r="K257" i="70"/>
  <c r="K261" i="70"/>
  <c r="K265" i="70"/>
  <c r="K269" i="70"/>
  <c r="K251" i="70"/>
  <c r="K255" i="70"/>
  <c r="K263" i="70"/>
  <c r="K254" i="70"/>
  <c r="K262" i="70"/>
  <c r="K266" i="70"/>
  <c r="K252" i="70"/>
  <c r="K256" i="70"/>
  <c r="K260" i="70"/>
  <c r="K264" i="70"/>
  <c r="K268" i="70"/>
  <c r="K250" i="70"/>
  <c r="K259" i="70"/>
  <c r="K267" i="70"/>
  <c r="K258" i="70"/>
  <c r="L244" i="70"/>
  <c r="F61" i="30"/>
  <c r="K187" i="70"/>
  <c r="F56" i="30"/>
  <c r="K186" i="70"/>
  <c r="M2006" i="46"/>
  <c r="M275" i="70"/>
  <c r="L2006" i="46"/>
  <c r="L275" i="70"/>
  <c r="L2005" i="46"/>
  <c r="L274" i="70"/>
  <c r="M2005" i="46"/>
  <c r="M274" i="70"/>
  <c r="L2007" i="46"/>
  <c r="L276" i="70"/>
  <c r="M2007" i="46"/>
  <c r="M276" i="70"/>
  <c r="M2003" i="46"/>
  <c r="M280" i="70" s="1"/>
  <c r="M272" i="70"/>
  <c r="L2003" i="46"/>
  <c r="L280" i="70" s="1"/>
  <c r="L272" i="70"/>
  <c r="L956" i="46"/>
  <c r="L103" i="70"/>
  <c r="M956" i="46"/>
  <c r="M103" i="70"/>
  <c r="L955" i="46"/>
  <c r="L102" i="70"/>
  <c r="M955" i="46"/>
  <c r="M102" i="70"/>
  <c r="L954" i="46"/>
  <c r="L101" i="70"/>
  <c r="M954" i="46"/>
  <c r="M101" i="70"/>
  <c r="K67" i="38"/>
  <c r="K100" i="70"/>
  <c r="L952" i="46"/>
  <c r="L107" i="70" s="1"/>
  <c r="L99" i="70"/>
  <c r="M952" i="46"/>
  <c r="M107" i="70" s="1"/>
  <c r="M99" i="70"/>
  <c r="K323" i="70"/>
  <c r="K319" i="70"/>
  <c r="K147" i="70"/>
  <c r="K95" i="70"/>
  <c r="K91" i="70"/>
  <c r="K87" i="70"/>
  <c r="K83" i="70"/>
  <c r="K79" i="70"/>
  <c r="K149" i="70"/>
  <c r="K145" i="70"/>
  <c r="K93" i="70"/>
  <c r="K89" i="70"/>
  <c r="K81" i="70"/>
  <c r="K77" i="70"/>
  <c r="K322" i="70"/>
  <c r="K82" i="70"/>
  <c r="K78" i="70"/>
  <c r="K320" i="70"/>
  <c r="K148" i="70"/>
  <c r="K96" i="70"/>
  <c r="K92" i="70"/>
  <c r="K88" i="70"/>
  <c r="K84" i="70"/>
  <c r="K80" i="70"/>
  <c r="K321" i="70"/>
  <c r="K85" i="70"/>
  <c r="K318" i="70"/>
  <c r="K150" i="70"/>
  <c r="K146" i="70"/>
  <c r="K94" i="70"/>
  <c r="K90" i="70"/>
  <c r="K86" i="70"/>
  <c r="L320" i="70"/>
  <c r="L148" i="70"/>
  <c r="L96" i="70"/>
  <c r="L92" i="70"/>
  <c r="L88" i="70"/>
  <c r="L84" i="70"/>
  <c r="L80" i="70"/>
  <c r="L322" i="70"/>
  <c r="L318" i="70"/>
  <c r="L86" i="70"/>
  <c r="L319" i="70"/>
  <c r="L147" i="70"/>
  <c r="L95" i="70"/>
  <c r="L91" i="70"/>
  <c r="L87" i="70"/>
  <c r="L83" i="70"/>
  <c r="L321" i="70"/>
  <c r="L149" i="70"/>
  <c r="L145" i="70"/>
  <c r="L93" i="70"/>
  <c r="L89" i="70"/>
  <c r="L85" i="70"/>
  <c r="L81" i="70"/>
  <c r="L77" i="70"/>
  <c r="L150" i="70"/>
  <c r="L146" i="70"/>
  <c r="L94" i="70"/>
  <c r="L90" i="70"/>
  <c r="L82" i="70"/>
  <c r="L78" i="70"/>
  <c r="L323" i="70"/>
  <c r="L79" i="70"/>
  <c r="K113" i="31"/>
  <c r="O113" i="31" s="1"/>
  <c r="I71" i="32"/>
  <c r="I77" i="32"/>
  <c r="I73" i="32"/>
  <c r="I79" i="32"/>
  <c r="I75" i="32"/>
  <c r="I131" i="32"/>
  <c r="I136" i="32"/>
  <c r="F244" i="70"/>
  <c r="G323" i="70"/>
  <c r="G319" i="70"/>
  <c r="G78" i="70"/>
  <c r="G82" i="70"/>
  <c r="G86" i="70"/>
  <c r="G90" i="70"/>
  <c r="G94" i="70"/>
  <c r="G320" i="70"/>
  <c r="G146" i="70"/>
  <c r="G148" i="70"/>
  <c r="G150" i="70"/>
  <c r="G81" i="70"/>
  <c r="G85" i="70"/>
  <c r="G89" i="70"/>
  <c r="G93" i="70"/>
  <c r="G321" i="70"/>
  <c r="G322" i="70"/>
  <c r="G84" i="70"/>
  <c r="G92" i="70"/>
  <c r="G147" i="70"/>
  <c r="G79" i="70"/>
  <c r="G87" i="70"/>
  <c r="G95" i="70"/>
  <c r="G80" i="70"/>
  <c r="G88" i="70"/>
  <c r="G96" i="70"/>
  <c r="G318" i="70"/>
  <c r="G145" i="70"/>
  <c r="G149" i="70"/>
  <c r="G83" i="70"/>
  <c r="G91" i="70"/>
  <c r="G77" i="70"/>
  <c r="F322" i="70"/>
  <c r="F318" i="70"/>
  <c r="F146" i="70"/>
  <c r="F148" i="70"/>
  <c r="F150" i="70"/>
  <c r="F81" i="70"/>
  <c r="F85" i="70"/>
  <c r="F89" i="70"/>
  <c r="F93" i="70"/>
  <c r="F77" i="70"/>
  <c r="F323" i="70"/>
  <c r="F319" i="70"/>
  <c r="F80" i="70"/>
  <c r="F84" i="70"/>
  <c r="F88" i="70"/>
  <c r="F92" i="70"/>
  <c r="F96" i="70"/>
  <c r="F320" i="70"/>
  <c r="F147" i="70"/>
  <c r="F79" i="70"/>
  <c r="F87" i="70"/>
  <c r="F95" i="70"/>
  <c r="F321" i="70"/>
  <c r="F82" i="70"/>
  <c r="F90" i="70"/>
  <c r="F145" i="70"/>
  <c r="F149" i="70"/>
  <c r="F83" i="70"/>
  <c r="F91" i="70"/>
  <c r="F78" i="70"/>
  <c r="F86" i="70"/>
  <c r="F94" i="70"/>
  <c r="E89" i="31"/>
  <c r="I89" i="32"/>
  <c r="O107" i="32"/>
  <c r="K107" i="31"/>
  <c r="M1387" i="46"/>
  <c r="M1359" i="46"/>
  <c r="L1727" i="46"/>
  <c r="L1742" i="46"/>
  <c r="I80" i="32"/>
  <c r="I76" i="32"/>
  <c r="I72" i="32"/>
  <c r="E90" i="31"/>
  <c r="I90" i="31" s="1"/>
  <c r="I90" i="32"/>
  <c r="E94" i="31"/>
  <c r="I94" i="31" s="1"/>
  <c r="I94" i="32"/>
  <c r="E98" i="31"/>
  <c r="I98" i="31" s="1"/>
  <c r="I98" i="32"/>
  <c r="I132" i="32"/>
  <c r="I137" i="32"/>
  <c r="D131" i="46"/>
  <c r="J1167" i="46"/>
  <c r="J2067" i="46"/>
  <c r="J1459" i="46"/>
  <c r="J1016" i="46"/>
  <c r="J421" i="46"/>
  <c r="J131" i="46"/>
  <c r="J1457" i="46"/>
  <c r="J423" i="46"/>
  <c r="AZ34" i="63"/>
  <c r="AZ35" i="64"/>
  <c r="W35" i="64"/>
  <c r="D1457" i="46"/>
  <c r="D1459" i="46"/>
  <c r="D423" i="46"/>
  <c r="D421" i="46"/>
  <c r="W34" i="63"/>
  <c r="O273" i="32"/>
  <c r="K1644" i="46"/>
  <c r="K1707" i="46" s="1"/>
  <c r="K1786" i="46" s="1"/>
  <c r="K1488" i="46"/>
  <c r="K1551" i="46" s="1"/>
  <c r="K1630" i="46" s="1"/>
  <c r="K1212" i="46"/>
  <c r="K1326" i="46" s="1"/>
  <c r="K1474" i="46" s="1"/>
  <c r="K273" i="31"/>
  <c r="O111" i="32"/>
  <c r="K111" i="31"/>
  <c r="O318" i="32"/>
  <c r="K318" i="31"/>
  <c r="O279" i="32"/>
  <c r="K1494" i="46"/>
  <c r="K1557" i="46" s="1"/>
  <c r="K1636" i="46" s="1"/>
  <c r="K1205" i="46"/>
  <c r="K1319" i="46" s="1"/>
  <c r="K1468" i="46" s="1"/>
  <c r="K1218" i="46"/>
  <c r="K1332" i="46" s="1"/>
  <c r="K1480" i="46" s="1"/>
  <c r="K279" i="31"/>
  <c r="O314" i="32"/>
  <c r="K314" i="31"/>
  <c r="O294" i="32"/>
  <c r="K294" i="31"/>
  <c r="O296" i="32"/>
  <c r="K296" i="31"/>
  <c r="O109" i="32"/>
  <c r="K109" i="31"/>
  <c r="L1391" i="46"/>
  <c r="L1363" i="46"/>
  <c r="M1742" i="46"/>
  <c r="M1727" i="46"/>
  <c r="M1740" i="46"/>
  <c r="M1725" i="46"/>
  <c r="M1739" i="46"/>
  <c r="M1724" i="46"/>
  <c r="L1743" i="46"/>
  <c r="L1728" i="46"/>
  <c r="O274" i="32"/>
  <c r="K1645" i="46"/>
  <c r="K1708" i="46" s="1"/>
  <c r="K1787" i="46" s="1"/>
  <c r="K1489" i="46"/>
  <c r="K1552" i="46" s="1"/>
  <c r="K1631" i="46" s="1"/>
  <c r="K1213" i="46"/>
  <c r="K1327" i="46" s="1"/>
  <c r="K1475" i="46" s="1"/>
  <c r="K274" i="31"/>
  <c r="M1570" i="46"/>
  <c r="M1585" i="46"/>
  <c r="L1573" i="46"/>
  <c r="L1588" i="46"/>
  <c r="L1741" i="46"/>
  <c r="L1726" i="46"/>
  <c r="M1728" i="46"/>
  <c r="M1743" i="46"/>
  <c r="O292" i="32"/>
  <c r="K292" i="31"/>
  <c r="L1576" i="46"/>
  <c r="L1591" i="46"/>
  <c r="L1589" i="46"/>
  <c r="L1574" i="46"/>
  <c r="M1391" i="46"/>
  <c r="M1363" i="46"/>
  <c r="M1351" i="46"/>
  <c r="M1379" i="46"/>
  <c r="M1390" i="46"/>
  <c r="M1362" i="46"/>
  <c r="M1748" i="46"/>
  <c r="M1733" i="46"/>
  <c r="L1739" i="46"/>
  <c r="L1724" i="46"/>
  <c r="M1376" i="46"/>
  <c r="M1348" i="46"/>
  <c r="E93" i="31"/>
  <c r="I93" i="31" s="1"/>
  <c r="I93" i="32"/>
  <c r="E97" i="31"/>
  <c r="I97" i="31" s="1"/>
  <c r="I97" i="32"/>
  <c r="O280" i="32"/>
  <c r="K1495" i="46"/>
  <c r="K1558" i="46" s="1"/>
  <c r="K1637" i="46" s="1"/>
  <c r="K1206" i="46"/>
  <c r="K1320" i="46" s="1"/>
  <c r="K1469" i="46" s="1"/>
  <c r="K1219" i="46"/>
  <c r="K1333" i="46" s="1"/>
  <c r="K1481" i="46" s="1"/>
  <c r="K280" i="31"/>
  <c r="O312" i="32"/>
  <c r="K312" i="31"/>
  <c r="M1569" i="46"/>
  <c r="M1584" i="46"/>
  <c r="L1375" i="46"/>
  <c r="L1347" i="46"/>
  <c r="L1376" i="46"/>
  <c r="L1348" i="46"/>
  <c r="M1347" i="46"/>
  <c r="M1375" i="46"/>
  <c r="O278" i="32"/>
  <c r="K1649" i="46"/>
  <c r="K1712" i="46" s="1"/>
  <c r="K1791" i="46" s="1"/>
  <c r="K1493" i="46"/>
  <c r="K1556" i="46" s="1"/>
  <c r="K1635" i="46" s="1"/>
  <c r="K1204" i="46"/>
  <c r="K1318" i="46" s="1"/>
  <c r="K1467" i="46" s="1"/>
  <c r="K278" i="31"/>
  <c r="M1590" i="46"/>
  <c r="M1575" i="46"/>
  <c r="O295" i="32"/>
  <c r="K295" i="31"/>
  <c r="M1377" i="46"/>
  <c r="M1349" i="46"/>
  <c r="M1393" i="46"/>
  <c r="M1365" i="46"/>
  <c r="L1384" i="46"/>
  <c r="L1356" i="46"/>
  <c r="L1740" i="46"/>
  <c r="L1725" i="46"/>
  <c r="L1748" i="46"/>
  <c r="L1733" i="46"/>
  <c r="I78" i="32"/>
  <c r="I74" i="32"/>
  <c r="L915" i="46"/>
  <c r="L63" i="47" s="1"/>
  <c r="L916" i="46"/>
  <c r="L64" i="47" s="1"/>
  <c r="L158" i="47" s="1"/>
  <c r="E92" i="31"/>
  <c r="I92" i="31" s="1"/>
  <c r="I92" i="32"/>
  <c r="E96" i="31"/>
  <c r="I96" i="31" s="1"/>
  <c r="I96" i="32"/>
  <c r="I130" i="32"/>
  <c r="I135" i="32"/>
  <c r="J2083" i="46"/>
  <c r="J1032" i="46"/>
  <c r="O310" i="32"/>
  <c r="K310" i="31"/>
  <c r="O277" i="32"/>
  <c r="K1203" i="46"/>
  <c r="K1317" i="46" s="1"/>
  <c r="K1466" i="46" s="1"/>
  <c r="K1648" i="46"/>
  <c r="K1711" i="46" s="1"/>
  <c r="K1790" i="46" s="1"/>
  <c r="K1492" i="46"/>
  <c r="K1555" i="46" s="1"/>
  <c r="K1634" i="46" s="1"/>
  <c r="K277" i="31"/>
  <c r="O311" i="32"/>
  <c r="K311" i="31"/>
  <c r="O110" i="32"/>
  <c r="K110" i="31"/>
  <c r="O281" i="32"/>
  <c r="K1207" i="46"/>
  <c r="K1321" i="46" s="1"/>
  <c r="K1470" i="46" s="1"/>
  <c r="K1220" i="46"/>
  <c r="K1334" i="46" s="1"/>
  <c r="K1482" i="46" s="1"/>
  <c r="K1496" i="46"/>
  <c r="K1559" i="46" s="1"/>
  <c r="K1638" i="46" s="1"/>
  <c r="K281" i="31"/>
  <c r="O313" i="32"/>
  <c r="K313" i="31"/>
  <c r="O319" i="32"/>
  <c r="K319" i="31"/>
  <c r="O116" i="32"/>
  <c r="K116" i="31"/>
  <c r="L1350" i="46"/>
  <c r="L1378" i="46"/>
  <c r="M1586" i="46"/>
  <c r="M1571" i="46"/>
  <c r="M1385" i="46"/>
  <c r="M1357" i="46"/>
  <c r="M1583" i="46"/>
  <c r="M1568" i="46"/>
  <c r="L1572" i="46"/>
  <c r="L1587" i="46"/>
  <c r="M1741" i="46"/>
  <c r="M1726" i="46"/>
  <c r="O291" i="32"/>
  <c r="K291" i="31"/>
  <c r="L1585" i="46"/>
  <c r="L1570" i="46"/>
  <c r="M1587" i="46"/>
  <c r="M1572" i="46"/>
  <c r="O300" i="32"/>
  <c r="K300" i="31"/>
  <c r="L1392" i="46"/>
  <c r="L1364" i="46"/>
  <c r="L1390" i="46"/>
  <c r="L1362" i="46"/>
  <c r="O297" i="32"/>
  <c r="K297" i="31"/>
  <c r="L1586" i="46"/>
  <c r="L1571" i="46"/>
  <c r="M1574" i="46"/>
  <c r="M1589" i="46"/>
  <c r="M1380" i="46"/>
  <c r="M1352" i="46"/>
  <c r="L1568" i="46"/>
  <c r="L1583" i="46"/>
  <c r="L1569" i="46"/>
  <c r="L1584" i="46"/>
  <c r="L1380" i="46"/>
  <c r="L1352" i="46"/>
  <c r="J1456" i="46"/>
  <c r="J422" i="46"/>
  <c r="J1166" i="46"/>
  <c r="J2059" i="46"/>
  <c r="J1458" i="46"/>
  <c r="J1007" i="46"/>
  <c r="J420" i="46"/>
  <c r="J130" i="46"/>
  <c r="AZ33" i="63"/>
  <c r="AZ34" i="64"/>
  <c r="W34" i="64"/>
  <c r="D1456" i="46"/>
  <c r="D1458" i="46"/>
  <c r="D422" i="46"/>
  <c r="D420" i="46"/>
  <c r="W33" i="63"/>
  <c r="O315" i="32"/>
  <c r="K315" i="31"/>
  <c r="O115" i="32"/>
  <c r="K115" i="31"/>
  <c r="M1384" i="46"/>
  <c r="M1356" i="46"/>
  <c r="L1386" i="46"/>
  <c r="L1358" i="46"/>
  <c r="O108" i="31"/>
  <c r="AN11" i="63"/>
  <c r="M1392" i="46"/>
  <c r="M1364" i="46"/>
  <c r="M1573" i="46"/>
  <c r="M1588" i="46"/>
  <c r="M916" i="46"/>
  <c r="M915" i="46"/>
  <c r="E91" i="31"/>
  <c r="I91" i="31" s="1"/>
  <c r="I91" i="32"/>
  <c r="E95" i="31"/>
  <c r="I95" i="31" s="1"/>
  <c r="I95" i="32"/>
  <c r="I129" i="32"/>
  <c r="I134" i="32"/>
  <c r="I138" i="32"/>
  <c r="J2075" i="46"/>
  <c r="J1024" i="46"/>
  <c r="O276" i="32"/>
  <c r="K1491" i="46"/>
  <c r="K1554" i="46" s="1"/>
  <c r="K1633" i="46" s="1"/>
  <c r="K1215" i="46"/>
  <c r="K1329" i="46" s="1"/>
  <c r="K1477" i="46" s="1"/>
  <c r="K1647" i="46"/>
  <c r="K1710" i="46" s="1"/>
  <c r="K1789" i="46" s="1"/>
  <c r="K276" i="31"/>
  <c r="O316" i="32"/>
  <c r="K316" i="31"/>
  <c r="O317" i="32"/>
  <c r="K317" i="31"/>
  <c r="O114" i="32"/>
  <c r="K114" i="31"/>
  <c r="O112" i="32"/>
  <c r="K112" i="31"/>
  <c r="L1590" i="46"/>
  <c r="L1575" i="46"/>
  <c r="M1386" i="46"/>
  <c r="M1358" i="46"/>
  <c r="L1744" i="46"/>
  <c r="L1729" i="46"/>
  <c r="O299" i="32"/>
  <c r="K299" i="31"/>
  <c r="O293" i="32"/>
  <c r="K293" i="31"/>
  <c r="O298" i="32"/>
  <c r="K298" i="31"/>
  <c r="L1379" i="46"/>
  <c r="L1351" i="46"/>
  <c r="L1349" i="46"/>
  <c r="L1377" i="46"/>
  <c r="M1350" i="46"/>
  <c r="M1378" i="46"/>
  <c r="M1591" i="46"/>
  <c r="M1576" i="46"/>
  <c r="O275" i="32"/>
  <c r="K1646" i="46"/>
  <c r="K1709" i="46" s="1"/>
  <c r="K1788" i="46" s="1"/>
  <c r="K1490" i="46"/>
  <c r="K1553" i="46" s="1"/>
  <c r="K1632" i="46" s="1"/>
  <c r="K1214" i="46"/>
  <c r="K1328" i="46" s="1"/>
  <c r="K1476" i="46" s="1"/>
  <c r="K275" i="31"/>
  <c r="L1387" i="46"/>
  <c r="L1359" i="46"/>
  <c r="L1385" i="46"/>
  <c r="L1357" i="46"/>
  <c r="L1393" i="46"/>
  <c r="L1365" i="46"/>
  <c r="M1744" i="46"/>
  <c r="M1729" i="46"/>
  <c r="O282" i="32"/>
  <c r="K1208" i="46"/>
  <c r="K1322" i="46" s="1"/>
  <c r="K1471" i="46" s="1"/>
  <c r="K1653" i="46"/>
  <c r="K1716" i="46" s="1"/>
  <c r="K1795" i="46" s="1"/>
  <c r="K1221" i="46"/>
  <c r="K1335" i="46" s="1"/>
  <c r="K1483" i="46" s="1"/>
  <c r="K282" i="31"/>
  <c r="L2087" i="46"/>
  <c r="M953" i="46"/>
  <c r="L2004" i="46"/>
  <c r="F86" i="30"/>
  <c r="R193" i="29" s="1"/>
  <c r="K193" i="29" s="1"/>
  <c r="K353" i="31" s="1"/>
  <c r="O353" i="31" s="1"/>
  <c r="F85" i="30"/>
  <c r="R155" i="29" s="1"/>
  <c r="K155" i="29" s="1"/>
  <c r="F84" i="30"/>
  <c r="R143" i="29" s="1"/>
  <c r="K143" i="29" s="1"/>
  <c r="F110" i="30"/>
  <c r="R159" i="29" s="1"/>
  <c r="K159" i="29" s="1"/>
  <c r="F113" i="30"/>
  <c r="F109" i="30"/>
  <c r="R147" i="29" s="1"/>
  <c r="K147" i="29" s="1"/>
  <c r="F112" i="30"/>
  <c r="F111" i="30"/>
  <c r="R197" i="29" s="1"/>
  <c r="F138" i="30"/>
  <c r="R163" i="29" s="1"/>
  <c r="K163" i="29" s="1"/>
  <c r="F141" i="30"/>
  <c r="F137" i="30"/>
  <c r="R151" i="29" s="1"/>
  <c r="K151" i="29" s="1"/>
  <c r="F140" i="30"/>
  <c r="F139" i="30"/>
  <c r="R201" i="29" s="1"/>
  <c r="K201" i="29" s="1"/>
  <c r="K361" i="31" s="1"/>
  <c r="O361" i="31" s="1"/>
  <c r="L953" i="46"/>
  <c r="F23" i="30"/>
  <c r="R92" i="29" s="1"/>
  <c r="F149" i="31" s="1"/>
  <c r="L149" i="32" s="1"/>
  <c r="L149" i="31" s="1"/>
  <c r="K1036" i="46"/>
  <c r="M2004" i="46"/>
  <c r="M2087" i="46"/>
  <c r="F92" i="30"/>
  <c r="F91" i="30"/>
  <c r="R194" i="29" s="1"/>
  <c r="K194" i="29" s="1"/>
  <c r="K354" i="31" s="1"/>
  <c r="O354" i="31" s="1"/>
  <c r="F90" i="30"/>
  <c r="F89" i="30"/>
  <c r="F120" i="30"/>
  <c r="F116" i="30"/>
  <c r="F119" i="30"/>
  <c r="F118" i="30"/>
  <c r="R198" i="29" s="1"/>
  <c r="K198" i="29" s="1"/>
  <c r="K358" i="31" s="1"/>
  <c r="O358" i="31" s="1"/>
  <c r="F117" i="30"/>
  <c r="E149" i="31"/>
  <c r="L1036" i="46"/>
  <c r="F98" i="30"/>
  <c r="F97" i="30"/>
  <c r="R195" i="29" s="1"/>
  <c r="K195" i="29" s="1"/>
  <c r="K355" i="31" s="1"/>
  <c r="O355" i="31" s="1"/>
  <c r="F96" i="30"/>
  <c r="R157" i="29" s="1"/>
  <c r="K157" i="29" s="1"/>
  <c r="F99" i="30"/>
  <c r="F95" i="30"/>
  <c r="R145" i="29" s="1"/>
  <c r="K145" i="29" s="1"/>
  <c r="F126" i="30"/>
  <c r="F125" i="30"/>
  <c r="R199" i="29" s="1"/>
  <c r="K199" i="29" s="1"/>
  <c r="K359" i="31" s="1"/>
  <c r="O359" i="31" s="1"/>
  <c r="F124" i="30"/>
  <c r="R161" i="29" s="1"/>
  <c r="K161" i="29" s="1"/>
  <c r="F127" i="30"/>
  <c r="F123" i="30"/>
  <c r="R149" i="29" s="1"/>
  <c r="K149" i="29" s="1"/>
  <c r="M1036" i="46"/>
  <c r="K2087" i="46"/>
  <c r="F80" i="30"/>
  <c r="R192" i="29" s="1"/>
  <c r="K192" i="29" s="1"/>
  <c r="K352" i="31" s="1"/>
  <c r="O352" i="31" s="1"/>
  <c r="F79" i="30"/>
  <c r="F78" i="30"/>
  <c r="F81" i="30"/>
  <c r="F104" i="30"/>
  <c r="R196" i="29" s="1"/>
  <c r="K196" i="29" s="1"/>
  <c r="K356" i="31" s="1"/>
  <c r="O356" i="31" s="1"/>
  <c r="F103" i="30"/>
  <c r="F106" i="30"/>
  <c r="F102" i="30"/>
  <c r="F105" i="30"/>
  <c r="F132" i="30"/>
  <c r="R200" i="29" s="1"/>
  <c r="K200" i="29" s="1"/>
  <c r="K360" i="31" s="1"/>
  <c r="O360" i="31" s="1"/>
  <c r="F131" i="30"/>
  <c r="F134" i="30"/>
  <c r="F130" i="30"/>
  <c r="F133" i="30"/>
  <c r="G1877" i="46"/>
  <c r="G1879" i="46"/>
  <c r="G1885" i="46"/>
  <c r="G1882" i="46"/>
  <c r="G1881" i="46"/>
  <c r="G1883" i="46"/>
  <c r="G1886" i="46"/>
  <c r="G1884" i="46"/>
  <c r="E163" i="46"/>
  <c r="E608" i="46"/>
  <c r="E671" i="46" s="1"/>
  <c r="E750" i="46" s="1"/>
  <c r="E452" i="46"/>
  <c r="E515" i="46" s="1"/>
  <c r="E594" i="46" s="1"/>
  <c r="E176" i="46"/>
  <c r="E290" i="46" s="1"/>
  <c r="E438" i="46" s="1"/>
  <c r="E614" i="46"/>
  <c r="E182" i="46"/>
  <c r="E296" i="46" s="1"/>
  <c r="E444" i="46" s="1"/>
  <c r="E458" i="46"/>
  <c r="E521" i="46" s="1"/>
  <c r="E600" i="46" s="1"/>
  <c r="E169" i="46"/>
  <c r="E283" i="46" s="1"/>
  <c r="E432" i="46" s="1"/>
  <c r="E610" i="46"/>
  <c r="E673" i="46" s="1"/>
  <c r="E752" i="46" s="1"/>
  <c r="E178" i="46"/>
  <c r="E292" i="46" s="1"/>
  <c r="E440" i="46" s="1"/>
  <c r="E454" i="46"/>
  <c r="E517" i="46" s="1"/>
  <c r="E596" i="46" s="1"/>
  <c r="E165" i="46"/>
  <c r="G460" i="46"/>
  <c r="G523" i="46" s="1"/>
  <c r="G602" i="46" s="1"/>
  <c r="G171" i="46"/>
  <c r="G285" i="46" s="1"/>
  <c r="G434" i="46" s="1"/>
  <c r="G184" i="46"/>
  <c r="G298" i="46" s="1"/>
  <c r="G446" i="46" s="1"/>
  <c r="G458" i="46"/>
  <c r="G521" i="46" s="1"/>
  <c r="G600" i="46" s="1"/>
  <c r="G169" i="46"/>
  <c r="G283" i="46" s="1"/>
  <c r="G432" i="46" s="1"/>
  <c r="G182" i="46"/>
  <c r="G296" i="46" s="1"/>
  <c r="G444" i="46" s="1"/>
  <c r="G456" i="46"/>
  <c r="G519" i="46" s="1"/>
  <c r="G598" i="46" s="1"/>
  <c r="G167" i="46"/>
  <c r="G281" i="46" s="1"/>
  <c r="G430" i="46" s="1"/>
  <c r="G610" i="46"/>
  <c r="G673" i="46" s="1"/>
  <c r="G752" i="46" s="1"/>
  <c r="G454" i="46"/>
  <c r="G517" i="46" s="1"/>
  <c r="G596" i="46" s="1"/>
  <c r="G165" i="46"/>
  <c r="G178" i="46"/>
  <c r="G292" i="46" s="1"/>
  <c r="G440" i="46" s="1"/>
  <c r="G608" i="46"/>
  <c r="G671" i="46" s="1"/>
  <c r="G750" i="46" s="1"/>
  <c r="G452" i="46"/>
  <c r="G515" i="46" s="1"/>
  <c r="G594" i="46" s="1"/>
  <c r="G163" i="46"/>
  <c r="G176" i="46"/>
  <c r="G290" i="46" s="1"/>
  <c r="G438" i="46" s="1"/>
  <c r="E461" i="46"/>
  <c r="E172" i="46"/>
  <c r="E286" i="46" s="1"/>
  <c r="E435" i="46" s="1"/>
  <c r="E617" i="46"/>
  <c r="E680" i="46" s="1"/>
  <c r="E759" i="46" s="1"/>
  <c r="E185" i="46"/>
  <c r="E299" i="46" s="1"/>
  <c r="E447" i="46" s="1"/>
  <c r="E457" i="46"/>
  <c r="E520" i="46" s="1"/>
  <c r="E599" i="46" s="1"/>
  <c r="E168" i="46"/>
  <c r="E282" i="46" s="1"/>
  <c r="E431" i="46" s="1"/>
  <c r="E181" i="46"/>
  <c r="E295" i="46" s="1"/>
  <c r="E443" i="46" s="1"/>
  <c r="E453" i="46"/>
  <c r="E516" i="46" s="1"/>
  <c r="E595" i="46" s="1"/>
  <c r="E164" i="46"/>
  <c r="E609" i="46"/>
  <c r="E672" i="46" s="1"/>
  <c r="E751" i="46" s="1"/>
  <c r="E177" i="46"/>
  <c r="E291" i="46" s="1"/>
  <c r="E439" i="46" s="1"/>
  <c r="F171" i="46"/>
  <c r="F285" i="46" s="1"/>
  <c r="F434" i="46" s="1"/>
  <c r="F184" i="46"/>
  <c r="F298" i="46" s="1"/>
  <c r="F446" i="46" s="1"/>
  <c r="F460" i="46"/>
  <c r="F523" i="46" s="1"/>
  <c r="F602" i="46" s="1"/>
  <c r="F169" i="46"/>
  <c r="F283" i="46" s="1"/>
  <c r="F432" i="46" s="1"/>
  <c r="F182" i="46"/>
  <c r="F296" i="46" s="1"/>
  <c r="F444" i="46" s="1"/>
  <c r="F458" i="46"/>
  <c r="F521" i="46" s="1"/>
  <c r="F600" i="46" s="1"/>
  <c r="F167" i="46"/>
  <c r="F281" i="46" s="1"/>
  <c r="F430" i="46" s="1"/>
  <c r="F456" i="46"/>
  <c r="F519" i="46" s="1"/>
  <c r="F598" i="46" s="1"/>
  <c r="F165" i="46"/>
  <c r="F178" i="46"/>
  <c r="F292" i="46" s="1"/>
  <c r="F440" i="46" s="1"/>
  <c r="F454" i="46"/>
  <c r="F517" i="46" s="1"/>
  <c r="F596" i="46" s="1"/>
  <c r="F163" i="46"/>
  <c r="F176" i="46"/>
  <c r="F290" i="46" s="1"/>
  <c r="F438" i="46" s="1"/>
  <c r="F452" i="46"/>
  <c r="F515" i="46" s="1"/>
  <c r="F594" i="46" s="1"/>
  <c r="E460" i="46"/>
  <c r="E523" i="46" s="1"/>
  <c r="E602" i="46" s="1"/>
  <c r="E171" i="46"/>
  <c r="E285" i="46" s="1"/>
  <c r="E434" i="46" s="1"/>
  <c r="E616" i="46"/>
  <c r="E184" i="46"/>
  <c r="E298" i="46" s="1"/>
  <c r="E446" i="46" s="1"/>
  <c r="E456" i="46"/>
  <c r="E519" i="46" s="1"/>
  <c r="E598" i="46" s="1"/>
  <c r="E167" i="46"/>
  <c r="E281" i="46" s="1"/>
  <c r="E430" i="46" s="1"/>
  <c r="E612" i="46"/>
  <c r="E675" i="46" s="1"/>
  <c r="E754" i="46" s="1"/>
  <c r="G172" i="46"/>
  <c r="G286" i="46" s="1"/>
  <c r="G435" i="46" s="1"/>
  <c r="G185" i="46"/>
  <c r="G299" i="46" s="1"/>
  <c r="G447" i="46" s="1"/>
  <c r="G461" i="46"/>
  <c r="G170" i="46"/>
  <c r="G284" i="46" s="1"/>
  <c r="G433" i="46" s="1"/>
  <c r="G183" i="46"/>
  <c r="G297" i="46" s="1"/>
  <c r="G445" i="46" s="1"/>
  <c r="G459" i="46"/>
  <c r="G522" i="46" s="1"/>
  <c r="G601" i="46" s="1"/>
  <c r="G168" i="46"/>
  <c r="G282" i="46" s="1"/>
  <c r="G431" i="46" s="1"/>
  <c r="G181" i="46"/>
  <c r="G295" i="46" s="1"/>
  <c r="G443" i="46" s="1"/>
  <c r="G457" i="46"/>
  <c r="G520" i="46" s="1"/>
  <c r="G599" i="46" s="1"/>
  <c r="G611" i="46"/>
  <c r="G674" i="46" s="1"/>
  <c r="G753" i="46" s="1"/>
  <c r="G166" i="46"/>
  <c r="G280" i="46" s="1"/>
  <c r="G429" i="46" s="1"/>
  <c r="G179" i="46"/>
  <c r="G455" i="46"/>
  <c r="G518" i="46" s="1"/>
  <c r="G597" i="46" s="1"/>
  <c r="G609" i="46"/>
  <c r="G672" i="46" s="1"/>
  <c r="G751" i="46" s="1"/>
  <c r="G164" i="46"/>
  <c r="G177" i="46"/>
  <c r="G291" i="46" s="1"/>
  <c r="G439" i="46" s="1"/>
  <c r="G453" i="46"/>
  <c r="G516" i="46" s="1"/>
  <c r="G595" i="46" s="1"/>
  <c r="E183" i="46"/>
  <c r="E297" i="46" s="1"/>
  <c r="E445" i="46" s="1"/>
  <c r="E459" i="46"/>
  <c r="E522" i="46" s="1"/>
  <c r="E601" i="46" s="1"/>
  <c r="E170" i="46"/>
  <c r="E284" i="46" s="1"/>
  <c r="E433" i="46" s="1"/>
  <c r="E615" i="46"/>
  <c r="E179" i="46"/>
  <c r="E455" i="46"/>
  <c r="E518" i="46" s="1"/>
  <c r="E597" i="46" s="1"/>
  <c r="E166" i="46"/>
  <c r="E280" i="46" s="1"/>
  <c r="E429" i="46" s="1"/>
  <c r="E611" i="46"/>
  <c r="E674" i="46" s="1"/>
  <c r="E753" i="46" s="1"/>
  <c r="F172" i="46"/>
  <c r="F286" i="46" s="1"/>
  <c r="F435" i="46" s="1"/>
  <c r="F185" i="46"/>
  <c r="F299" i="46" s="1"/>
  <c r="F447" i="46" s="1"/>
  <c r="F461" i="46"/>
  <c r="F170" i="46"/>
  <c r="F284" i="46" s="1"/>
  <c r="F433" i="46" s="1"/>
  <c r="F183" i="46"/>
  <c r="F297" i="46" s="1"/>
  <c r="F445" i="46" s="1"/>
  <c r="F459" i="46"/>
  <c r="F522" i="46" s="1"/>
  <c r="F601" i="46" s="1"/>
  <c r="F168" i="46"/>
  <c r="F282" i="46" s="1"/>
  <c r="F431" i="46" s="1"/>
  <c r="F181" i="46"/>
  <c r="F295" i="46" s="1"/>
  <c r="F443" i="46" s="1"/>
  <c r="F457" i="46"/>
  <c r="F520" i="46" s="1"/>
  <c r="F599" i="46" s="1"/>
  <c r="F166" i="46"/>
  <c r="F280" i="46" s="1"/>
  <c r="F429" i="46" s="1"/>
  <c r="F179" i="46"/>
  <c r="F455" i="46"/>
  <c r="F518" i="46" s="1"/>
  <c r="F597" i="46" s="1"/>
  <c r="F164" i="46"/>
  <c r="F177" i="46"/>
  <c r="F291" i="46" s="1"/>
  <c r="F439" i="46" s="1"/>
  <c r="F453" i="46"/>
  <c r="F516" i="46" s="1"/>
  <c r="F595" i="46" s="1"/>
  <c r="E67" i="38"/>
  <c r="E155" i="30"/>
  <c r="E156" i="30"/>
  <c r="E158" i="30"/>
  <c r="E157" i="30"/>
  <c r="E41" i="30"/>
  <c r="E42" i="30"/>
  <c r="Q96" i="29" s="1"/>
  <c r="E96" i="29" s="1"/>
  <c r="E486" i="30"/>
  <c r="E484" i="30"/>
  <c r="E479" i="30"/>
  <c r="E477" i="30"/>
  <c r="E433" i="30"/>
  <c r="E431" i="30"/>
  <c r="E372" i="30"/>
  <c r="E395" i="30"/>
  <c r="E496" i="30"/>
  <c r="E494" i="30"/>
  <c r="E471" i="30"/>
  <c r="E469" i="30"/>
  <c r="E462" i="30"/>
  <c r="E424" i="30"/>
  <c r="E422" i="30"/>
  <c r="E411" i="30"/>
  <c r="E487" i="30"/>
  <c r="E485" i="30"/>
  <c r="E478" i="30"/>
  <c r="E432" i="30"/>
  <c r="E430" i="30"/>
  <c r="E402" i="30"/>
  <c r="E495" i="30"/>
  <c r="E493" i="30"/>
  <c r="E470" i="30"/>
  <c r="E468" i="30"/>
  <c r="E463" i="30"/>
  <c r="E461" i="30"/>
  <c r="E423" i="30"/>
  <c r="E381" i="30"/>
  <c r="E355" i="30"/>
  <c r="E367" i="30"/>
  <c r="E399" i="30"/>
  <c r="E409" i="30"/>
  <c r="E438" i="30"/>
  <c r="E454" i="30"/>
  <c r="E394" i="30"/>
  <c r="Q119" i="29" s="1"/>
  <c r="E119" i="29" s="1"/>
  <c r="E408" i="30"/>
  <c r="E418" i="30"/>
  <c r="E458" i="30"/>
  <c r="E483" i="30"/>
  <c r="E501" i="30"/>
  <c r="E511" i="30"/>
  <c r="E363" i="30"/>
  <c r="E385" i="30"/>
  <c r="E475" i="30"/>
  <c r="E356" i="30"/>
  <c r="E491" i="30"/>
  <c r="E460" i="30"/>
  <c r="E508" i="30"/>
  <c r="E400" i="30"/>
  <c r="E449" i="30"/>
  <c r="E421" i="30"/>
  <c r="E472" i="30"/>
  <c r="E497" i="30"/>
  <c r="E507" i="30"/>
  <c r="E360" i="30"/>
  <c r="E370" i="30"/>
  <c r="E380" i="30"/>
  <c r="E398" i="30"/>
  <c r="E420" i="30"/>
  <c r="E437" i="30"/>
  <c r="E453" i="30"/>
  <c r="E401" i="30"/>
  <c r="E417" i="30"/>
  <c r="E434" i="30"/>
  <c r="E450" i="30"/>
  <c r="E498" i="30"/>
  <c r="E410" i="30"/>
  <c r="E361" i="30"/>
  <c r="E371" i="30"/>
  <c r="E389" i="30"/>
  <c r="E403" i="30"/>
  <c r="E413" i="30"/>
  <c r="E428" i="30"/>
  <c r="E446" i="30"/>
  <c r="E474" i="30"/>
  <c r="E499" i="30"/>
  <c r="E509" i="30"/>
  <c r="E386" i="30"/>
  <c r="E412" i="30"/>
  <c r="E357" i="30"/>
  <c r="E369" i="30"/>
  <c r="E379" i="30"/>
  <c r="E391" i="30"/>
  <c r="E407" i="30"/>
  <c r="E467" i="30"/>
  <c r="E482" i="30"/>
  <c r="E500" i="30"/>
  <c r="E510" i="30"/>
  <c r="E362" i="30"/>
  <c r="E416" i="30"/>
  <c r="E492" i="30"/>
  <c r="E419" i="30"/>
  <c r="E377" i="30"/>
  <c r="E488" i="30"/>
  <c r="E504" i="30"/>
  <c r="E512" i="30"/>
  <c r="E366" i="30"/>
  <c r="E376" i="30"/>
  <c r="E427" i="30"/>
  <c r="E445" i="30"/>
  <c r="E456" i="30"/>
  <c r="E476" i="30"/>
  <c r="E442" i="30"/>
  <c r="E473" i="30"/>
  <c r="E378" i="30"/>
  <c r="E390" i="30"/>
  <c r="E404" i="30"/>
  <c r="E441" i="30"/>
  <c r="E455" i="30"/>
  <c r="E466" i="30"/>
  <c r="E375" i="30"/>
  <c r="E506" i="30"/>
  <c r="E368" i="30"/>
  <c r="E457" i="30"/>
  <c r="E505" i="30"/>
  <c r="E384" i="30"/>
  <c r="E429" i="30"/>
  <c r="E459" i="30"/>
  <c r="E163" i="30"/>
  <c r="E161" i="30"/>
  <c r="E162" i="30"/>
  <c r="E160" i="30"/>
  <c r="E143" i="38"/>
  <c r="E177" i="30"/>
  <c r="E178" i="30"/>
  <c r="E176" i="30"/>
  <c r="E175" i="30"/>
  <c r="C2055" i="46"/>
  <c r="A257" i="32"/>
  <c r="A257" i="31"/>
  <c r="C1003" i="46"/>
  <c r="D1007" i="46"/>
  <c r="D2059" i="46"/>
  <c r="A55" i="31"/>
  <c r="A55" i="32"/>
  <c r="B137" i="29"/>
  <c r="B37" i="29"/>
  <c r="B33" i="29"/>
  <c r="B133" i="29"/>
  <c r="D1166" i="46"/>
  <c r="F47" i="30"/>
  <c r="F46" i="30"/>
  <c r="F185" i="30"/>
  <c r="F184" i="30"/>
  <c r="B36" i="29"/>
  <c r="B136" i="29"/>
  <c r="A58" i="31"/>
  <c r="A58" i="32"/>
  <c r="C2079" i="46"/>
  <c r="D2083" i="46"/>
  <c r="A260" i="32"/>
  <c r="A260" i="31"/>
  <c r="D1032" i="46"/>
  <c r="C1028" i="46"/>
  <c r="B140" i="29"/>
  <c r="B40" i="29"/>
  <c r="E182" i="30"/>
  <c r="E181" i="30"/>
  <c r="E46" i="30"/>
  <c r="E47" i="30"/>
  <c r="Q197" i="29" s="1"/>
  <c r="E197" i="29" s="1"/>
  <c r="G2004" i="46"/>
  <c r="E184" i="30"/>
  <c r="E185" i="30"/>
  <c r="C2071" i="46"/>
  <c r="A259" i="32"/>
  <c r="A259" i="31"/>
  <c r="D1024" i="46"/>
  <c r="C1020" i="46"/>
  <c r="D2075" i="46"/>
  <c r="A57" i="31"/>
  <c r="A57" i="32"/>
  <c r="B135" i="29"/>
  <c r="B139" i="29"/>
  <c r="B39" i="29"/>
  <c r="B35" i="29"/>
  <c r="F181" i="30"/>
  <c r="F182" i="30"/>
  <c r="F336" i="30"/>
  <c r="F319" i="30"/>
  <c r="F302" i="30"/>
  <c r="F262" i="30"/>
  <c r="F263" i="30"/>
  <c r="F335" i="30"/>
  <c r="F318" i="30"/>
  <c r="F303" i="30"/>
  <c r="F221" i="30"/>
  <c r="F301" i="30"/>
  <c r="F334" i="30"/>
  <c r="F317" i="30"/>
  <c r="F264" i="30"/>
  <c r="F212" i="30"/>
  <c r="F333" i="30"/>
  <c r="F211" i="30"/>
  <c r="F352" i="30"/>
  <c r="F220" i="30"/>
  <c r="F210" i="30"/>
  <c r="F203" i="30"/>
  <c r="F219" i="30"/>
  <c r="F197" i="30"/>
  <c r="F251" i="30"/>
  <c r="F249" i="30"/>
  <c r="F250" i="30"/>
  <c r="F252" i="30"/>
  <c r="F253" i="30"/>
  <c r="F247" i="30"/>
  <c r="F248" i="30"/>
  <c r="F156" i="30"/>
  <c r="F158" i="30"/>
  <c r="F157" i="30"/>
  <c r="F155" i="30"/>
  <c r="F172" i="30"/>
  <c r="F173" i="30"/>
  <c r="F171" i="30"/>
  <c r="F170" i="30"/>
  <c r="F42" i="30"/>
  <c r="R96" i="29" s="1"/>
  <c r="F153" i="31" s="1"/>
  <c r="L153" i="32" s="1"/>
  <c r="L153" i="31" s="1"/>
  <c r="F41" i="30"/>
  <c r="F395" i="30"/>
  <c r="F496" i="30"/>
  <c r="F494" i="30"/>
  <c r="F471" i="30"/>
  <c r="F469" i="30"/>
  <c r="F462" i="30"/>
  <c r="F424" i="30"/>
  <c r="F422" i="30"/>
  <c r="F411" i="30"/>
  <c r="F487" i="30"/>
  <c r="F485" i="30"/>
  <c r="F478" i="30"/>
  <c r="F432" i="30"/>
  <c r="F430" i="30"/>
  <c r="F402" i="30"/>
  <c r="F495" i="30"/>
  <c r="F493" i="30"/>
  <c r="F470" i="30"/>
  <c r="F468" i="30"/>
  <c r="F463" i="30"/>
  <c r="F461" i="30"/>
  <c r="F423" i="30"/>
  <c r="F381" i="30"/>
  <c r="F486" i="30"/>
  <c r="F484" i="30"/>
  <c r="F479" i="30"/>
  <c r="F477" i="30"/>
  <c r="F433" i="30"/>
  <c r="F431" i="30"/>
  <c r="F372" i="30"/>
  <c r="F378" i="30"/>
  <c r="F419" i="30"/>
  <c r="F466" i="30"/>
  <c r="F491" i="30"/>
  <c r="F505" i="30"/>
  <c r="F355" i="30"/>
  <c r="F367" i="30"/>
  <c r="F377" i="30"/>
  <c r="F428" i="30"/>
  <c r="F446" i="30"/>
  <c r="F427" i="30"/>
  <c r="F391" i="30"/>
  <c r="F442" i="30"/>
  <c r="F492" i="30"/>
  <c r="F356" i="30"/>
  <c r="F368" i="30"/>
  <c r="F384" i="30"/>
  <c r="F400" i="30"/>
  <c r="F410" i="30"/>
  <c r="F441" i="30"/>
  <c r="F455" i="30"/>
  <c r="F409" i="30"/>
  <c r="F472" i="30"/>
  <c r="F488" i="30"/>
  <c r="F504" i="30"/>
  <c r="F512" i="30"/>
  <c r="F366" i="30"/>
  <c r="F376" i="30"/>
  <c r="F386" i="30"/>
  <c r="F369" i="30"/>
  <c r="F473" i="30"/>
  <c r="F457" i="30"/>
  <c r="F361" i="30"/>
  <c r="F371" i="30"/>
  <c r="F399" i="30"/>
  <c r="F421" i="30"/>
  <c r="F438" i="30"/>
  <c r="F454" i="30"/>
  <c r="F474" i="30"/>
  <c r="F497" i="30"/>
  <c r="F507" i="30"/>
  <c r="F418" i="30"/>
  <c r="F437" i="30"/>
  <c r="F453" i="30"/>
  <c r="F375" i="30"/>
  <c r="F385" i="30"/>
  <c r="F401" i="30"/>
  <c r="F434" i="30"/>
  <c r="F450" i="30"/>
  <c r="F460" i="30"/>
  <c r="F475" i="30"/>
  <c r="F498" i="30"/>
  <c r="F508" i="30"/>
  <c r="F398" i="30"/>
  <c r="F445" i="30"/>
  <c r="F379" i="30"/>
  <c r="F467" i="30"/>
  <c r="F362" i="30"/>
  <c r="F390" i="30"/>
  <c r="F404" i="30"/>
  <c r="F416" i="30"/>
  <c r="F429" i="30"/>
  <c r="F449" i="30"/>
  <c r="F459" i="30"/>
  <c r="F389" i="30"/>
  <c r="F403" i="30"/>
  <c r="F413" i="30"/>
  <c r="F499" i="30"/>
  <c r="F509" i="30"/>
  <c r="F360" i="30"/>
  <c r="F370" i="30"/>
  <c r="F380" i="30"/>
  <c r="F394" i="30"/>
  <c r="F408" i="30"/>
  <c r="F420" i="30"/>
  <c r="F456" i="30"/>
  <c r="F483" i="30"/>
  <c r="F501" i="30"/>
  <c r="F511" i="30"/>
  <c r="F363" i="30"/>
  <c r="F417" i="30"/>
  <c r="F482" i="30"/>
  <c r="F500" i="30"/>
  <c r="F510" i="30"/>
  <c r="F412" i="30"/>
  <c r="F458" i="30"/>
  <c r="F407" i="30"/>
  <c r="F476" i="30"/>
  <c r="F357" i="30"/>
  <c r="F506" i="30"/>
  <c r="F162" i="30"/>
  <c r="F160" i="30"/>
  <c r="F163" i="30"/>
  <c r="F161" i="30"/>
  <c r="F175" i="30"/>
  <c r="F178" i="30"/>
  <c r="F176" i="30"/>
  <c r="F177" i="30"/>
  <c r="C2063" i="46"/>
  <c r="A56" i="31"/>
  <c r="A56" i="32"/>
  <c r="A258" i="32"/>
  <c r="A258" i="31"/>
  <c r="D1016" i="46"/>
  <c r="C1012" i="46"/>
  <c r="D2067" i="46"/>
  <c r="B38" i="29"/>
  <c r="B34" i="29"/>
  <c r="B134" i="29"/>
  <c r="B138" i="29"/>
  <c r="D1167" i="46"/>
  <c r="E171" i="30"/>
  <c r="E172" i="30"/>
  <c r="E170" i="30"/>
  <c r="E173" i="30"/>
  <c r="G265" i="31"/>
  <c r="M265" i="32" s="1"/>
  <c r="G267" i="31"/>
  <c r="M267" i="32" s="1"/>
  <c r="G269" i="31"/>
  <c r="M269" i="32" s="1"/>
  <c r="G268" i="31"/>
  <c r="M268" i="32" s="1"/>
  <c r="E248" i="30"/>
  <c r="E250" i="30"/>
  <c r="E252" i="30"/>
  <c r="E247" i="30"/>
  <c r="E249" i="30"/>
  <c r="E251" i="30"/>
  <c r="E253" i="30"/>
  <c r="E212" i="30"/>
  <c r="E263" i="30"/>
  <c r="E210" i="30"/>
  <c r="E203" i="30"/>
  <c r="E302" i="30"/>
  <c r="E336" i="30"/>
  <c r="E333" i="30"/>
  <c r="E264" i="30"/>
  <c r="E219" i="30"/>
  <c r="E317" i="30"/>
  <c r="E262" i="30"/>
  <c r="E335" i="30"/>
  <c r="E303" i="30"/>
  <c r="E211" i="30"/>
  <c r="E319" i="30"/>
  <c r="E301" i="30"/>
  <c r="E197" i="30"/>
  <c r="E352" i="30"/>
  <c r="E221" i="30"/>
  <c r="E334" i="30"/>
  <c r="E318" i="30"/>
  <c r="E220" i="30"/>
  <c r="Q110" i="29"/>
  <c r="E110" i="29" s="1"/>
  <c r="Q210" i="29"/>
  <c r="E210" i="29" s="1"/>
  <c r="E2087" i="46"/>
  <c r="Q155" i="29"/>
  <c r="E155" i="29" s="1"/>
  <c r="Q143" i="29"/>
  <c r="E143" i="29" s="1"/>
  <c r="Q157" i="29"/>
  <c r="E157" i="29" s="1"/>
  <c r="Q145" i="29"/>
  <c r="E145" i="29" s="1"/>
  <c r="Q159" i="29"/>
  <c r="E159" i="29" s="1"/>
  <c r="Q147" i="29"/>
  <c r="E147" i="29" s="1"/>
  <c r="Q161" i="29"/>
  <c r="E161" i="29" s="1"/>
  <c r="Q149" i="29"/>
  <c r="E149" i="29" s="1"/>
  <c r="Q163" i="29"/>
  <c r="E163" i="29" s="1"/>
  <c r="Q151" i="29"/>
  <c r="E151" i="29" s="1"/>
  <c r="F31" i="30"/>
  <c r="E40" i="30"/>
  <c r="E50" i="30"/>
  <c r="F1036" i="46"/>
  <c r="F26" i="30"/>
  <c r="R43" i="29" s="1"/>
  <c r="K43" i="29" s="1"/>
  <c r="F27" i="30"/>
  <c r="R55" i="29" s="1"/>
  <c r="K55" i="29" s="1"/>
  <c r="F35" i="30"/>
  <c r="R45" i="29" s="1"/>
  <c r="K45" i="29" s="1"/>
  <c r="F36" i="30"/>
  <c r="R57" i="29" s="1"/>
  <c r="K57" i="29" s="1"/>
  <c r="F45" i="30"/>
  <c r="R47" i="29" s="1"/>
  <c r="K47" i="29" s="1"/>
  <c r="F54" i="30"/>
  <c r="R49" i="29" s="1"/>
  <c r="K49" i="29" s="1"/>
  <c r="F55" i="30"/>
  <c r="R61" i="29" s="1"/>
  <c r="K61" i="29" s="1"/>
  <c r="F64" i="30"/>
  <c r="R51" i="29" s="1"/>
  <c r="K51" i="29" s="1"/>
  <c r="F65" i="30"/>
  <c r="R63" i="29" s="1"/>
  <c r="K63" i="29" s="1"/>
  <c r="F21" i="30"/>
  <c r="F22" i="30"/>
  <c r="F40" i="30"/>
  <c r="F50" i="30"/>
  <c r="F59" i="30"/>
  <c r="F60" i="30"/>
  <c r="E31" i="30"/>
  <c r="E60" i="30"/>
  <c r="E59" i="30"/>
  <c r="G1036" i="46"/>
  <c r="E26" i="30"/>
  <c r="Q43" i="29" s="1"/>
  <c r="E43" i="29" s="1"/>
  <c r="E27" i="30"/>
  <c r="Q55" i="29" s="1"/>
  <c r="E55" i="29" s="1"/>
  <c r="E36" i="30"/>
  <c r="Q57" i="29" s="1"/>
  <c r="E57" i="29" s="1"/>
  <c r="E35" i="30"/>
  <c r="Q45" i="29" s="1"/>
  <c r="E45" i="29" s="1"/>
  <c r="E45" i="30"/>
  <c r="Q47" i="29" s="1"/>
  <c r="E47" i="29" s="1"/>
  <c r="E55" i="30"/>
  <c r="Q61" i="29" s="1"/>
  <c r="E61" i="29" s="1"/>
  <c r="E54" i="30"/>
  <c r="Q49" i="29" s="1"/>
  <c r="E49" i="29" s="1"/>
  <c r="E64" i="30"/>
  <c r="Q51" i="29" s="1"/>
  <c r="E51" i="29" s="1"/>
  <c r="E65" i="30"/>
  <c r="Q63" i="29" s="1"/>
  <c r="E63" i="29" s="1"/>
  <c r="F234" i="30"/>
  <c r="F235" i="30"/>
  <c r="E1036" i="46"/>
  <c r="F35" i="63" s="1"/>
  <c r="E21" i="30"/>
  <c r="E22" i="30"/>
  <c r="F2087" i="46"/>
  <c r="G2087" i="46"/>
  <c r="E234" i="30"/>
  <c r="E235" i="30"/>
  <c r="G617" i="46"/>
  <c r="G680" i="46" s="1"/>
  <c r="G759" i="46" s="1"/>
  <c r="G615" i="46"/>
  <c r="G613" i="46"/>
  <c r="E78" i="31"/>
  <c r="E80" i="31"/>
  <c r="E76" i="31"/>
  <c r="F915" i="46"/>
  <c r="F63" i="47" s="1"/>
  <c r="F157" i="47" s="1"/>
  <c r="F916" i="46"/>
  <c r="F64" i="47" s="1"/>
  <c r="F158" i="47" s="1"/>
  <c r="G616" i="46"/>
  <c r="G614" i="46"/>
  <c r="G612" i="46"/>
  <c r="G675" i="46" s="1"/>
  <c r="G754" i="46" s="1"/>
  <c r="G915" i="46"/>
  <c r="G916" i="46"/>
  <c r="E72" i="31"/>
  <c r="E74" i="31"/>
  <c r="F80" i="31"/>
  <c r="L80" i="32" s="1"/>
  <c r="F76" i="31"/>
  <c r="L76" i="32" s="1"/>
  <c r="F72" i="31"/>
  <c r="L72" i="32" s="1"/>
  <c r="F79" i="31"/>
  <c r="L79" i="32" s="1"/>
  <c r="F75" i="31"/>
  <c r="L75" i="32" s="1"/>
  <c r="F71" i="31"/>
  <c r="F210" i="32"/>
  <c r="F163" i="32"/>
  <c r="G211" i="32"/>
  <c r="G164" i="32"/>
  <c r="E213" i="32"/>
  <c r="E166" i="32"/>
  <c r="G215" i="32"/>
  <c r="G168" i="32"/>
  <c r="E217" i="32"/>
  <c r="E170" i="32"/>
  <c r="F218" i="32"/>
  <c r="F171" i="32"/>
  <c r="G219" i="32"/>
  <c r="G172" i="32"/>
  <c r="G210" i="32"/>
  <c r="G163" i="32"/>
  <c r="E212" i="32"/>
  <c r="E165" i="32"/>
  <c r="F213" i="32"/>
  <c r="F166" i="32"/>
  <c r="E216" i="32"/>
  <c r="E169" i="32"/>
  <c r="F217" i="32"/>
  <c r="F170" i="32"/>
  <c r="G218" i="32"/>
  <c r="G171" i="32"/>
  <c r="E211" i="32"/>
  <c r="E164" i="32"/>
  <c r="F212" i="32"/>
  <c r="F165" i="32"/>
  <c r="G213" i="32"/>
  <c r="G166" i="32"/>
  <c r="E215" i="32"/>
  <c r="E168" i="32"/>
  <c r="F216" i="32"/>
  <c r="F169" i="32"/>
  <c r="G217" i="32"/>
  <c r="G170" i="32"/>
  <c r="E219" i="32"/>
  <c r="E172" i="32"/>
  <c r="E210" i="32"/>
  <c r="E163" i="32"/>
  <c r="F211" i="32"/>
  <c r="F164" i="32"/>
  <c r="G212" i="32"/>
  <c r="G165" i="32"/>
  <c r="F215" i="32"/>
  <c r="F168" i="32"/>
  <c r="G216" i="32"/>
  <c r="G169" i="32"/>
  <c r="E218" i="32"/>
  <c r="E171" i="32"/>
  <c r="F219" i="32"/>
  <c r="F172" i="32"/>
  <c r="R128" i="29"/>
  <c r="Q128" i="29"/>
  <c r="E128" i="29" s="1"/>
  <c r="G77" i="31"/>
  <c r="M77" i="32" s="1"/>
  <c r="G73" i="31"/>
  <c r="M73" i="32" s="1"/>
  <c r="F216" i="30"/>
  <c r="F240" i="30"/>
  <c r="F281" i="30"/>
  <c r="F271" i="30"/>
  <c r="F346" i="30"/>
  <c r="F218" i="30"/>
  <c r="F278" i="30"/>
  <c r="F307" i="30"/>
  <c r="F308" i="30"/>
  <c r="F344" i="30"/>
  <c r="F230" i="30"/>
  <c r="F267" i="30"/>
  <c r="F296" i="30"/>
  <c r="R28" i="29"/>
  <c r="F341" i="30"/>
  <c r="F225" i="30"/>
  <c r="F242" i="30"/>
  <c r="F282" i="30"/>
  <c r="F312" i="30"/>
  <c r="F309" i="30"/>
  <c r="F332" i="30"/>
  <c r="F224" i="30"/>
  <c r="F289" i="30"/>
  <c r="F323" i="30"/>
  <c r="F348" i="30"/>
  <c r="F286" i="30"/>
  <c r="F313" i="30"/>
  <c r="F310" i="30"/>
  <c r="F328" i="30"/>
  <c r="F350" i="30"/>
  <c r="F238" i="30"/>
  <c r="F257" i="30"/>
  <c r="F277" i="30"/>
  <c r="F306" i="30"/>
  <c r="F324" i="30"/>
  <c r="F347" i="30"/>
  <c r="F229" i="30"/>
  <c r="F290" i="30"/>
  <c r="F314" i="30"/>
  <c r="F311" i="30"/>
  <c r="F338" i="30"/>
  <c r="F295" i="30"/>
  <c r="F325" i="30"/>
  <c r="F351" i="30"/>
  <c r="F231" i="30"/>
  <c r="F258" i="30"/>
  <c r="F294" i="30"/>
  <c r="F316" i="30"/>
  <c r="F322" i="30"/>
  <c r="F337" i="30"/>
  <c r="F244" i="30"/>
  <c r="F261" i="30"/>
  <c r="F285" i="30"/>
  <c r="F315" i="30"/>
  <c r="F326" i="30"/>
  <c r="F349" i="30"/>
  <c r="F256" i="30"/>
  <c r="F300" i="30"/>
  <c r="F272" i="30"/>
  <c r="F340" i="30"/>
  <c r="F269" i="30"/>
  <c r="F297" i="30"/>
  <c r="F331" i="30"/>
  <c r="F215" i="30"/>
  <c r="F239" i="30"/>
  <c r="F268" i="30"/>
  <c r="F298" i="30"/>
  <c r="F270" i="30"/>
  <c r="F327" i="30"/>
  <c r="F339" i="30"/>
  <c r="F226" i="30"/>
  <c r="F259" i="30"/>
  <c r="F293" i="30"/>
  <c r="F273" i="30"/>
  <c r="F217" i="30"/>
  <c r="F241" i="30"/>
  <c r="F260" i="30"/>
  <c r="F299" i="30"/>
  <c r="F274" i="30"/>
  <c r="F345" i="30"/>
  <c r="F209" i="30"/>
  <c r="F208" i="30"/>
  <c r="F207" i="30"/>
  <c r="E340" i="30"/>
  <c r="E339" i="30"/>
  <c r="E274" i="30"/>
  <c r="E224" i="30"/>
  <c r="E244" i="30"/>
  <c r="E282" i="30"/>
  <c r="E315" i="30"/>
  <c r="E328" i="30"/>
  <c r="E218" i="30"/>
  <c r="E269" i="30"/>
  <c r="E297" i="30"/>
  <c r="E273" i="30"/>
  <c r="E278" i="30"/>
  <c r="E308" i="30"/>
  <c r="E332" i="30"/>
  <c r="E217" i="30"/>
  <c r="E241" i="30"/>
  <c r="E261" i="30"/>
  <c r="E293" i="30"/>
  <c r="E313" i="30"/>
  <c r="Q28" i="29"/>
  <c r="E28" i="29" s="1"/>
  <c r="E331" i="30"/>
  <c r="E290" i="30"/>
  <c r="E309" i="30"/>
  <c r="E337" i="30"/>
  <c r="E281" i="30"/>
  <c r="E299" i="30"/>
  <c r="E323" i="30"/>
  <c r="E346" i="30"/>
  <c r="E226" i="30"/>
  <c r="E286" i="30"/>
  <c r="E310" i="30"/>
  <c r="E338" i="30"/>
  <c r="E225" i="30"/>
  <c r="E242" i="30"/>
  <c r="E267" i="30"/>
  <c r="E296" i="30"/>
  <c r="E316" i="30"/>
  <c r="E324" i="30"/>
  <c r="E341" i="30"/>
  <c r="E300" i="30"/>
  <c r="E311" i="30"/>
  <c r="E349" i="30"/>
  <c r="E231" i="30"/>
  <c r="E258" i="30"/>
  <c r="E289" i="30"/>
  <c r="E312" i="30"/>
  <c r="E325" i="30"/>
  <c r="E348" i="30"/>
  <c r="E230" i="30"/>
  <c r="E257" i="30"/>
  <c r="E294" i="30"/>
  <c r="E322" i="30"/>
  <c r="E344" i="30"/>
  <c r="E229" i="30"/>
  <c r="E277" i="30"/>
  <c r="E298" i="30"/>
  <c r="E270" i="30"/>
  <c r="E327" i="30"/>
  <c r="E347" i="30"/>
  <c r="E216" i="30"/>
  <c r="E240" i="30"/>
  <c r="E260" i="30"/>
  <c r="E326" i="30"/>
  <c r="E215" i="30"/>
  <c r="E239" i="30"/>
  <c r="E259" i="30"/>
  <c r="E295" i="30"/>
  <c r="E314" i="30"/>
  <c r="E345" i="30"/>
  <c r="E238" i="30"/>
  <c r="E268" i="30"/>
  <c r="E272" i="30"/>
  <c r="E351" i="30"/>
  <c r="E256" i="30"/>
  <c r="E285" i="30"/>
  <c r="E307" i="30"/>
  <c r="E271" i="30"/>
  <c r="E350" i="30"/>
  <c r="E207" i="30"/>
  <c r="E209" i="30"/>
  <c r="E208" i="30"/>
  <c r="F202" i="30"/>
  <c r="F201" i="30"/>
  <c r="F195" i="30"/>
  <c r="F200" i="30"/>
  <c r="F243" i="30"/>
  <c r="F206" i="30"/>
  <c r="F196" i="30"/>
  <c r="E202" i="30"/>
  <c r="E200" i="30"/>
  <c r="E196" i="30"/>
  <c r="E243" i="30"/>
  <c r="E206" i="30"/>
  <c r="E201" i="30"/>
  <c r="E195" i="30"/>
  <c r="F136" i="52"/>
  <c r="F134" i="52"/>
  <c r="E71" i="31"/>
  <c r="E75" i="31"/>
  <c r="E79" i="31"/>
  <c r="G80" i="31"/>
  <c r="M80" i="32" s="1"/>
  <c r="G78" i="31"/>
  <c r="M78" i="32" s="1"/>
  <c r="G76" i="31"/>
  <c r="M76" i="32" s="1"/>
  <c r="G74" i="31"/>
  <c r="M74" i="32" s="1"/>
  <c r="G72" i="31"/>
  <c r="M72" i="32" s="1"/>
  <c r="F78" i="31"/>
  <c r="L78" i="32" s="1"/>
  <c r="F74" i="31"/>
  <c r="L74" i="32" s="1"/>
  <c r="E73" i="31"/>
  <c r="E77" i="31"/>
  <c r="G79" i="31"/>
  <c r="M79" i="32" s="1"/>
  <c r="G75" i="31"/>
  <c r="M75" i="32" s="1"/>
  <c r="G71" i="31"/>
  <c r="F77" i="31"/>
  <c r="L77" i="32" s="1"/>
  <c r="F73" i="31"/>
  <c r="L73" i="32" s="1"/>
  <c r="M71" i="32" l="1"/>
  <c r="G141" i="46"/>
  <c r="L71" i="32"/>
  <c r="F141" i="46"/>
  <c r="I13" i="63"/>
  <c r="D759" i="30"/>
  <c r="D772" i="30"/>
  <c r="D713" i="30"/>
  <c r="D648" i="30"/>
  <c r="D701" i="30"/>
  <c r="D662" i="30"/>
  <c r="D634" i="30"/>
  <c r="D724" i="30"/>
  <c r="D765" i="30"/>
  <c r="D778" i="30"/>
  <c r="D707" i="30"/>
  <c r="D668" i="30"/>
  <c r="D640" i="30"/>
  <c r="D654" i="30"/>
  <c r="D730" i="30"/>
  <c r="D719" i="30"/>
  <c r="D712" i="30"/>
  <c r="D700" i="30"/>
  <c r="D661" i="30"/>
  <c r="D647" i="30"/>
  <c r="D633" i="30"/>
  <c r="D777" i="30"/>
  <c r="D764" i="30"/>
  <c r="D729" i="30"/>
  <c r="D706" i="30"/>
  <c r="D667" i="30"/>
  <c r="D653" i="30"/>
  <c r="D718" i="30"/>
  <c r="D639" i="30"/>
  <c r="D774" i="30"/>
  <c r="D761" i="30"/>
  <c r="D703" i="30"/>
  <c r="D664" i="30"/>
  <c r="D636" i="30"/>
  <c r="D715" i="30"/>
  <c r="D650" i="30"/>
  <c r="D726" i="30"/>
  <c r="D763" i="30"/>
  <c r="D776" i="30"/>
  <c r="D717" i="30"/>
  <c r="D652" i="30"/>
  <c r="D638" i="30"/>
  <c r="D728" i="30"/>
  <c r="D705" i="30"/>
  <c r="D666" i="30"/>
  <c r="D760" i="30"/>
  <c r="D773" i="30"/>
  <c r="D725" i="30"/>
  <c r="D702" i="30"/>
  <c r="D635" i="30"/>
  <c r="D714" i="30"/>
  <c r="D663" i="30"/>
  <c r="D649" i="30"/>
  <c r="D775" i="30"/>
  <c r="D762" i="30"/>
  <c r="D637" i="30"/>
  <c r="D727" i="30"/>
  <c r="D704" i="30"/>
  <c r="D665" i="30"/>
  <c r="D651" i="30"/>
  <c r="D716" i="30"/>
  <c r="E915" i="46"/>
  <c r="I10" i="63"/>
  <c r="K276" i="71"/>
  <c r="K343" i="38"/>
  <c r="K477" i="38"/>
  <c r="AI36" i="64"/>
  <c r="AI37" i="64"/>
  <c r="AI36" i="63"/>
  <c r="AI35" i="63"/>
  <c r="G767" i="46"/>
  <c r="G338" i="46"/>
  <c r="G310" i="46"/>
  <c r="G707" i="46"/>
  <c r="G692" i="46"/>
  <c r="G693" i="46"/>
  <c r="F308" i="46"/>
  <c r="F537" i="46"/>
  <c r="F552" i="46"/>
  <c r="F327" i="46"/>
  <c r="F355" i="46"/>
  <c r="F316" i="46"/>
  <c r="F344" i="46"/>
  <c r="E355" i="46"/>
  <c r="E327" i="46"/>
  <c r="G704" i="46"/>
  <c r="G689" i="46"/>
  <c r="G706" i="46"/>
  <c r="G691" i="46"/>
  <c r="G554" i="46"/>
  <c r="G539" i="46"/>
  <c r="G357" i="46"/>
  <c r="G329" i="46"/>
  <c r="E536" i="46"/>
  <c r="E551" i="46"/>
  <c r="E540" i="46"/>
  <c r="E555" i="46"/>
  <c r="F549" i="46"/>
  <c r="F534" i="46"/>
  <c r="F339" i="46"/>
  <c r="F311" i="46"/>
  <c r="F555" i="46"/>
  <c r="F540" i="46"/>
  <c r="E704" i="46"/>
  <c r="E689" i="46"/>
  <c r="E712" i="46"/>
  <c r="E697" i="46"/>
  <c r="G764" i="46"/>
  <c r="G307" i="46"/>
  <c r="G766" i="46"/>
  <c r="G309" i="46"/>
  <c r="G536" i="46"/>
  <c r="G551" i="46"/>
  <c r="G356" i="46"/>
  <c r="G328" i="46"/>
  <c r="E534" i="46"/>
  <c r="E549" i="46"/>
  <c r="E553" i="46"/>
  <c r="E538" i="46"/>
  <c r="E532" i="46"/>
  <c r="E547" i="46"/>
  <c r="F321" i="46"/>
  <c r="F349" i="46"/>
  <c r="F310" i="46"/>
  <c r="F338" i="46"/>
  <c r="F539" i="46"/>
  <c r="F554" i="46"/>
  <c r="F357" i="46"/>
  <c r="F329" i="46"/>
  <c r="E550" i="46"/>
  <c r="E535" i="46"/>
  <c r="E554" i="46"/>
  <c r="E539" i="46"/>
  <c r="G765" i="46"/>
  <c r="G308" i="46"/>
  <c r="G769" i="46"/>
  <c r="G340" i="46"/>
  <c r="G312" i="46"/>
  <c r="G541" i="46"/>
  <c r="E311" i="46"/>
  <c r="E339" i="46"/>
  <c r="E772" i="46"/>
  <c r="E315" i="46"/>
  <c r="E343" i="46"/>
  <c r="F307" i="46"/>
  <c r="F551" i="46"/>
  <c r="F536" i="46"/>
  <c r="F341" i="46"/>
  <c r="F313" i="46"/>
  <c r="E349" i="46"/>
  <c r="E321" i="46"/>
  <c r="E353" i="46"/>
  <c r="E325" i="46"/>
  <c r="E329" i="46"/>
  <c r="E357" i="46"/>
  <c r="G320" i="46"/>
  <c r="G348" i="46"/>
  <c r="G322" i="46"/>
  <c r="G350" i="46"/>
  <c r="G311" i="46"/>
  <c r="G339" i="46"/>
  <c r="G553" i="46"/>
  <c r="G538" i="46"/>
  <c r="E766" i="46"/>
  <c r="E770" i="46"/>
  <c r="E313" i="46"/>
  <c r="E341" i="46"/>
  <c r="E320" i="46"/>
  <c r="E348" i="46"/>
  <c r="G694" i="46"/>
  <c r="G695" i="46"/>
  <c r="F550" i="46"/>
  <c r="F535" i="46"/>
  <c r="F325" i="46"/>
  <c r="F353" i="46"/>
  <c r="F314" i="46"/>
  <c r="F342" i="46"/>
  <c r="E706" i="46"/>
  <c r="E691" i="46"/>
  <c r="G548" i="46"/>
  <c r="G533" i="46"/>
  <c r="G535" i="46"/>
  <c r="G550" i="46"/>
  <c r="G552" i="46"/>
  <c r="G537" i="46"/>
  <c r="G355" i="46"/>
  <c r="G327" i="46"/>
  <c r="G773" i="46"/>
  <c r="G344" i="46"/>
  <c r="G316" i="46"/>
  <c r="E328" i="46"/>
  <c r="E356" i="46"/>
  <c r="F547" i="46"/>
  <c r="F532" i="46"/>
  <c r="F350" i="46"/>
  <c r="F322" i="46"/>
  <c r="F553" i="46"/>
  <c r="F538" i="46"/>
  <c r="F356" i="46"/>
  <c r="F328" i="46"/>
  <c r="E765" i="46"/>
  <c r="E340" i="46"/>
  <c r="E769" i="46"/>
  <c r="E312" i="46"/>
  <c r="E773" i="46"/>
  <c r="E344" i="46"/>
  <c r="E316" i="46"/>
  <c r="G547" i="46"/>
  <c r="G532" i="46"/>
  <c r="G534" i="46"/>
  <c r="G549" i="46"/>
  <c r="G326" i="46"/>
  <c r="G354" i="46"/>
  <c r="G315" i="46"/>
  <c r="G772" i="46"/>
  <c r="G343" i="46"/>
  <c r="E322" i="46"/>
  <c r="E350" i="46"/>
  <c r="E354" i="46"/>
  <c r="E326" i="46"/>
  <c r="E688" i="46"/>
  <c r="E703" i="46"/>
  <c r="G696" i="46"/>
  <c r="G712" i="46"/>
  <c r="G697" i="46"/>
  <c r="F548" i="46"/>
  <c r="F533" i="46"/>
  <c r="F323" i="46"/>
  <c r="F312" i="46"/>
  <c r="F340" i="46"/>
  <c r="F541" i="46"/>
  <c r="E767" i="46"/>
  <c r="E338" i="46"/>
  <c r="E310" i="46"/>
  <c r="E771" i="46"/>
  <c r="E342" i="46"/>
  <c r="E314" i="46"/>
  <c r="G349" i="46"/>
  <c r="G321" i="46"/>
  <c r="G323" i="46"/>
  <c r="G353" i="46"/>
  <c r="G325" i="46"/>
  <c r="G771" i="46"/>
  <c r="G342" i="46"/>
  <c r="G314" i="46"/>
  <c r="E707" i="46"/>
  <c r="E692" i="46"/>
  <c r="F348" i="46"/>
  <c r="F320" i="46"/>
  <c r="F309" i="46"/>
  <c r="F354" i="46"/>
  <c r="F326" i="46"/>
  <c r="F343" i="46"/>
  <c r="F315" i="46"/>
  <c r="E548" i="46"/>
  <c r="E533" i="46"/>
  <c r="E552" i="46"/>
  <c r="E537" i="46"/>
  <c r="G688" i="46"/>
  <c r="G703" i="46"/>
  <c r="G705" i="46"/>
  <c r="G690" i="46"/>
  <c r="G313" i="46"/>
  <c r="G770" i="46"/>
  <c r="G341" i="46"/>
  <c r="G555" i="46"/>
  <c r="G540" i="46"/>
  <c r="E705" i="46"/>
  <c r="E690" i="46"/>
  <c r="E764" i="46"/>
  <c r="L63" i="31"/>
  <c r="K128" i="29"/>
  <c r="L265" i="31"/>
  <c r="K234" i="71"/>
  <c r="K93" i="32"/>
  <c r="K93" i="31" s="1"/>
  <c r="I208" i="70"/>
  <c r="I180" i="70"/>
  <c r="I222" i="70"/>
  <c r="I194" i="70"/>
  <c r="L266" i="31"/>
  <c r="L281" i="70"/>
  <c r="M266" i="31"/>
  <c r="M281" i="70"/>
  <c r="M265" i="31"/>
  <c r="M2058" i="46" s="1"/>
  <c r="L268" i="31"/>
  <c r="L283" i="70"/>
  <c r="M268" i="31"/>
  <c r="M283" i="70"/>
  <c r="M267" i="31"/>
  <c r="M282" i="70"/>
  <c r="L267" i="31"/>
  <c r="L282" i="70"/>
  <c r="M269" i="31"/>
  <c r="M284" i="70"/>
  <c r="L269" i="31"/>
  <c r="L284" i="70"/>
  <c r="M67" i="31"/>
  <c r="M111" i="70"/>
  <c r="L67" i="31"/>
  <c r="L111" i="70"/>
  <c r="M66" i="31"/>
  <c r="M110" i="70"/>
  <c r="L66" i="31"/>
  <c r="L110" i="70"/>
  <c r="M65" i="31"/>
  <c r="M109" i="70"/>
  <c r="L65" i="31"/>
  <c r="L109" i="70"/>
  <c r="M64" i="31"/>
  <c r="M108" i="70"/>
  <c r="L64" i="31"/>
  <c r="L108" i="70"/>
  <c r="M63" i="31"/>
  <c r="AN16" i="63"/>
  <c r="B227" i="70" s="1"/>
  <c r="K94" i="32"/>
  <c r="K94" i="31" s="1"/>
  <c r="K95" i="32"/>
  <c r="K95" i="31" s="1"/>
  <c r="I14" i="63"/>
  <c r="I15" i="63"/>
  <c r="I16" i="63"/>
  <c r="E916" i="46"/>
  <c r="K92" i="32"/>
  <c r="O92" i="32" s="1"/>
  <c r="K96" i="32"/>
  <c r="O96" i="32" s="1"/>
  <c r="I76" i="31"/>
  <c r="I218" i="32"/>
  <c r="I219" i="32"/>
  <c r="I78" i="31"/>
  <c r="K98" i="32"/>
  <c r="K98" i="31" s="1"/>
  <c r="K90" i="32"/>
  <c r="K90" i="31" s="1"/>
  <c r="K97" i="32"/>
  <c r="O97" i="32" s="1"/>
  <c r="K91" i="32"/>
  <c r="O91" i="32" s="1"/>
  <c r="I17" i="63"/>
  <c r="I73" i="31"/>
  <c r="I79" i="31"/>
  <c r="I163" i="32"/>
  <c r="I168" i="32"/>
  <c r="I166" i="32"/>
  <c r="I19" i="63"/>
  <c r="I11" i="63"/>
  <c r="I18" i="63"/>
  <c r="I12" i="63"/>
  <c r="B222" i="70"/>
  <c r="B208" i="70"/>
  <c r="B194" i="70"/>
  <c r="B180" i="70"/>
  <c r="G266" i="31"/>
  <c r="M266" i="32" s="1"/>
  <c r="G281" i="70"/>
  <c r="M456" i="46"/>
  <c r="M519" i="46" s="1"/>
  <c r="M598" i="46" s="1"/>
  <c r="M167" i="46"/>
  <c r="M612" i="46"/>
  <c r="M675" i="46" s="1"/>
  <c r="M754" i="46" s="1"/>
  <c r="M75" i="31"/>
  <c r="L455" i="46"/>
  <c r="L518" i="46" s="1"/>
  <c r="L597" i="46" s="1"/>
  <c r="L166" i="46"/>
  <c r="L611" i="46"/>
  <c r="L674" i="46" s="1"/>
  <c r="L753" i="46" s="1"/>
  <c r="L74" i="31"/>
  <c r="M457" i="46"/>
  <c r="M520" i="46" s="1"/>
  <c r="M599" i="46" s="1"/>
  <c r="M168" i="46"/>
  <c r="M181" i="46"/>
  <c r="M76" i="31"/>
  <c r="I75" i="31"/>
  <c r="I169" i="32"/>
  <c r="I165" i="32"/>
  <c r="I170" i="32"/>
  <c r="L171" i="46"/>
  <c r="L184" i="46"/>
  <c r="L460" i="46"/>
  <c r="L523" i="46" s="1"/>
  <c r="L602" i="46" s="1"/>
  <c r="L79" i="31"/>
  <c r="I74" i="31"/>
  <c r="K1393" i="46"/>
  <c r="K1365" i="46"/>
  <c r="O275" i="31"/>
  <c r="AJ12" i="64"/>
  <c r="K1571" i="46"/>
  <c r="K1586" i="46"/>
  <c r="K1379" i="46"/>
  <c r="K1351" i="46"/>
  <c r="O311" i="31"/>
  <c r="AN11" i="64"/>
  <c r="K1743" i="46"/>
  <c r="K1728" i="46"/>
  <c r="K1744" i="46"/>
  <c r="K1729" i="46"/>
  <c r="O280" i="31"/>
  <c r="AJ17" i="64"/>
  <c r="K1740" i="46"/>
  <c r="K1725" i="46"/>
  <c r="O109" i="31"/>
  <c r="AN12" i="63"/>
  <c r="O294" i="31"/>
  <c r="AL13" i="64"/>
  <c r="O279" i="31"/>
  <c r="AJ16" i="64"/>
  <c r="K1739" i="46"/>
  <c r="K1724" i="46"/>
  <c r="O107" i="31"/>
  <c r="AN10" i="63"/>
  <c r="K1748" i="46"/>
  <c r="K1733" i="46"/>
  <c r="K1386" i="46"/>
  <c r="K1358" i="46"/>
  <c r="O299" i="31"/>
  <c r="AL18" i="64"/>
  <c r="O112" i="31"/>
  <c r="AN15" i="63"/>
  <c r="O317" i="31"/>
  <c r="AN17" i="64"/>
  <c r="O276" i="31"/>
  <c r="AJ13" i="64"/>
  <c r="O315" i="31"/>
  <c r="AN15" i="64"/>
  <c r="O300" i="31"/>
  <c r="AL19" i="64"/>
  <c r="O116" i="31"/>
  <c r="AN19" i="63"/>
  <c r="O319" i="31"/>
  <c r="AN19" i="64"/>
  <c r="O281" i="31"/>
  <c r="AJ18" i="64"/>
  <c r="K1375" i="46"/>
  <c r="K1347" i="46"/>
  <c r="O278" i="31"/>
  <c r="AJ15" i="64"/>
  <c r="K1391" i="46"/>
  <c r="K1363" i="46"/>
  <c r="O274" i="31"/>
  <c r="AJ11" i="64"/>
  <c r="K1390" i="46"/>
  <c r="K1362" i="46"/>
  <c r="O318" i="31"/>
  <c r="AN18" i="64"/>
  <c r="O273" i="31"/>
  <c r="AJ10" i="64"/>
  <c r="M452" i="46"/>
  <c r="M515" i="46" s="1"/>
  <c r="M594" i="46" s="1"/>
  <c r="M176" i="46"/>
  <c r="M608" i="46"/>
  <c r="M671" i="46" s="1"/>
  <c r="M750" i="46" s="1"/>
  <c r="M71" i="31"/>
  <c r="M611" i="46"/>
  <c r="M674" i="46" s="1"/>
  <c r="M753" i="46" s="1"/>
  <c r="M455" i="46"/>
  <c r="M518" i="46" s="1"/>
  <c r="M597" i="46" s="1"/>
  <c r="M166" i="46"/>
  <c r="M74" i="31"/>
  <c r="I211" i="32"/>
  <c r="L167" i="46"/>
  <c r="L612" i="46"/>
  <c r="L675" i="46" s="1"/>
  <c r="L754" i="46" s="1"/>
  <c r="L456" i="46"/>
  <c r="L519" i="46" s="1"/>
  <c r="L598" i="46" s="1"/>
  <c r="L75" i="31"/>
  <c r="L172" i="46"/>
  <c r="L185" i="46"/>
  <c r="L617" i="46"/>
  <c r="L680" i="46" s="1"/>
  <c r="L759" i="46" s="1"/>
  <c r="L80" i="31"/>
  <c r="L178" i="46"/>
  <c r="L610" i="46"/>
  <c r="L673" i="46" s="1"/>
  <c r="L752" i="46" s="1"/>
  <c r="L454" i="46"/>
  <c r="L517" i="46" s="1"/>
  <c r="L596" i="46" s="1"/>
  <c r="L73" i="31"/>
  <c r="M460" i="46"/>
  <c r="M523" i="46" s="1"/>
  <c r="M602" i="46" s="1"/>
  <c r="M171" i="46"/>
  <c r="M184" i="46"/>
  <c r="M79" i="31"/>
  <c r="L459" i="46"/>
  <c r="L522" i="46" s="1"/>
  <c r="L601" i="46" s="1"/>
  <c r="L170" i="46"/>
  <c r="L183" i="46"/>
  <c r="L78" i="31"/>
  <c r="M459" i="46"/>
  <c r="M522" i="46" s="1"/>
  <c r="M601" i="46" s="1"/>
  <c r="M170" i="46"/>
  <c r="M183" i="46"/>
  <c r="M78" i="31"/>
  <c r="K71" i="32"/>
  <c r="I71" i="31"/>
  <c r="M454" i="46"/>
  <c r="M517" i="46" s="1"/>
  <c r="M596" i="46" s="1"/>
  <c r="M178" i="46"/>
  <c r="M610" i="46"/>
  <c r="M673" i="46" s="1"/>
  <c r="M752" i="46" s="1"/>
  <c r="M73" i="31"/>
  <c r="I210" i="32"/>
  <c r="I215" i="32"/>
  <c r="I216" i="32"/>
  <c r="I212" i="32"/>
  <c r="I217" i="32"/>
  <c r="I213" i="32"/>
  <c r="L453" i="46"/>
  <c r="L516" i="46" s="1"/>
  <c r="L595" i="46" s="1"/>
  <c r="L177" i="46"/>
  <c r="L609" i="46"/>
  <c r="L672" i="46" s="1"/>
  <c r="L751" i="46" s="1"/>
  <c r="L72" i="31"/>
  <c r="I72" i="31"/>
  <c r="L169" i="46"/>
  <c r="L182" i="46"/>
  <c r="L458" i="46"/>
  <c r="L521" i="46" s="1"/>
  <c r="L600" i="46" s="1"/>
  <c r="L77" i="31"/>
  <c r="I77" i="31"/>
  <c r="M609" i="46"/>
  <c r="M672" i="46" s="1"/>
  <c r="M751" i="46" s="1"/>
  <c r="M453" i="46"/>
  <c r="M516" i="46" s="1"/>
  <c r="M595" i="46" s="1"/>
  <c r="M177" i="46"/>
  <c r="M72" i="31"/>
  <c r="M617" i="46"/>
  <c r="M680" i="46" s="1"/>
  <c r="M759" i="46" s="1"/>
  <c r="M172" i="46"/>
  <c r="M185" i="46"/>
  <c r="M80" i="31"/>
  <c r="M458" i="46"/>
  <c r="M521" i="46" s="1"/>
  <c r="M600" i="46" s="1"/>
  <c r="M169" i="46"/>
  <c r="M182" i="46"/>
  <c r="M77" i="31"/>
  <c r="I171" i="32"/>
  <c r="I172" i="32"/>
  <c r="I164" i="32"/>
  <c r="L176" i="46"/>
  <c r="L608" i="46"/>
  <c r="L671" i="46" s="1"/>
  <c r="L750" i="46" s="1"/>
  <c r="L452" i="46"/>
  <c r="L515" i="46" s="1"/>
  <c r="L594" i="46" s="1"/>
  <c r="L71" i="31"/>
  <c r="L457" i="46"/>
  <c r="L520" i="46" s="1"/>
  <c r="L599" i="46" s="1"/>
  <c r="L168" i="46"/>
  <c r="L181" i="46"/>
  <c r="L76" i="31"/>
  <c r="I80" i="31"/>
  <c r="K1352" i="46"/>
  <c r="K1380" i="46"/>
  <c r="K1585" i="46"/>
  <c r="K1570" i="46"/>
  <c r="K1742" i="46"/>
  <c r="K1727" i="46"/>
  <c r="K1576" i="46"/>
  <c r="K1591" i="46"/>
  <c r="O110" i="31"/>
  <c r="AN13" i="63"/>
  <c r="O277" i="31"/>
  <c r="AJ14" i="64"/>
  <c r="L157" i="47"/>
  <c r="L66" i="47"/>
  <c r="L71" i="70" s="1"/>
  <c r="K1348" i="46"/>
  <c r="K1376" i="46"/>
  <c r="O312" i="31"/>
  <c r="AN12" i="64"/>
  <c r="K1378" i="46"/>
  <c r="K1350" i="46"/>
  <c r="K1385" i="46"/>
  <c r="K1357" i="46"/>
  <c r="O296" i="31"/>
  <c r="AL15" i="64"/>
  <c r="O314" i="31"/>
  <c r="AN14" i="64"/>
  <c r="K1349" i="46"/>
  <c r="K1377" i="46"/>
  <c r="K1384" i="46"/>
  <c r="K1356" i="46"/>
  <c r="L958" i="46"/>
  <c r="O282" i="31"/>
  <c r="AJ19" i="64"/>
  <c r="K1741" i="46"/>
  <c r="K1726" i="46"/>
  <c r="O298" i="31"/>
  <c r="AL17" i="64"/>
  <c r="O293" i="31"/>
  <c r="AL12" i="64"/>
  <c r="O114" i="31"/>
  <c r="AN17" i="63"/>
  <c r="O316" i="31"/>
  <c r="AN16" i="64"/>
  <c r="K1387" i="46"/>
  <c r="K1359" i="46"/>
  <c r="O115" i="31"/>
  <c r="AN18" i="63"/>
  <c r="O297" i="31"/>
  <c r="AL16" i="64"/>
  <c r="O291" i="31"/>
  <c r="AL10" i="64"/>
  <c r="K1967" i="46"/>
  <c r="K1966" i="46"/>
  <c r="O313" i="31"/>
  <c r="AN13" i="64"/>
  <c r="K1392" i="46"/>
  <c r="K1364" i="46"/>
  <c r="K1572" i="46"/>
  <c r="K1587" i="46"/>
  <c r="O310" i="31"/>
  <c r="AN10" i="64"/>
  <c r="O295" i="31"/>
  <c r="AL14" i="64"/>
  <c r="K1588" i="46"/>
  <c r="K1573" i="46"/>
  <c r="K1575" i="46"/>
  <c r="K1590" i="46"/>
  <c r="O292" i="31"/>
  <c r="AL11" i="64"/>
  <c r="K1584" i="46"/>
  <c r="K1569" i="46"/>
  <c r="K1589" i="46"/>
  <c r="K1574" i="46"/>
  <c r="O111" i="31"/>
  <c r="AN14" i="63"/>
  <c r="K1568" i="46"/>
  <c r="K1583" i="46"/>
  <c r="K89" i="32"/>
  <c r="I89" i="31"/>
  <c r="K149" i="32"/>
  <c r="O149" i="32" s="1"/>
  <c r="I149" i="31"/>
  <c r="K92" i="29"/>
  <c r="E1993" i="46"/>
  <c r="E21" i="66" s="1"/>
  <c r="K28" i="29"/>
  <c r="E153" i="31"/>
  <c r="K96" i="29"/>
  <c r="L2009" i="46"/>
  <c r="E357" i="31"/>
  <c r="K197" i="29"/>
  <c r="M958" i="46"/>
  <c r="M2009" i="46"/>
  <c r="G12" i="63"/>
  <c r="K73" i="32"/>
  <c r="G18" i="63"/>
  <c r="K79" i="32"/>
  <c r="G17" i="63"/>
  <c r="K78" i="32"/>
  <c r="G14" i="63"/>
  <c r="K75" i="32"/>
  <c r="G13" i="63"/>
  <c r="K74" i="32"/>
  <c r="G11" i="63"/>
  <c r="K72" i="32"/>
  <c r="G15" i="63"/>
  <c r="K76" i="32"/>
  <c r="G16" i="63"/>
  <c r="K77" i="32"/>
  <c r="G19" i="63"/>
  <c r="K80" i="32"/>
  <c r="R186" i="29"/>
  <c r="F228" i="31" s="1"/>
  <c r="L228" i="32" s="1"/>
  <c r="R85" i="29"/>
  <c r="F25" i="31" s="1"/>
  <c r="L25" i="32" s="1"/>
  <c r="R166" i="29"/>
  <c r="F36" i="63"/>
  <c r="F37" i="64"/>
  <c r="F36" i="64"/>
  <c r="Q187" i="29"/>
  <c r="E187" i="29" s="1"/>
  <c r="Q185" i="29"/>
  <c r="E185" i="29" s="1"/>
  <c r="R185" i="29"/>
  <c r="F227" i="31" s="1"/>
  <c r="L227" i="32" s="1"/>
  <c r="R66" i="29"/>
  <c r="R86" i="29"/>
  <c r="F26" i="31" s="1"/>
  <c r="L26" i="32" s="1"/>
  <c r="Q186" i="29"/>
  <c r="E186" i="29" s="1"/>
  <c r="D469" i="30"/>
  <c r="D485" i="30"/>
  <c r="D494" i="30"/>
  <c r="D431" i="30"/>
  <c r="D335" i="30"/>
  <c r="D272" i="30"/>
  <c r="D310" i="30"/>
  <c r="D326" i="30"/>
  <c r="D433" i="30"/>
  <c r="D496" i="30"/>
  <c r="D471" i="30"/>
  <c r="D487" i="30"/>
  <c r="D608" i="30"/>
  <c r="D587" i="30"/>
  <c r="D571" i="30"/>
  <c r="D555" i="30"/>
  <c r="D622" i="30"/>
  <c r="D534" i="30"/>
  <c r="D160" i="30"/>
  <c r="D472" i="30"/>
  <c r="D419" i="30"/>
  <c r="D456" i="30"/>
  <c r="D497" i="30"/>
  <c r="D507" i="30"/>
  <c r="D572" i="30"/>
  <c r="D588" i="30"/>
  <c r="D535" i="30"/>
  <c r="D623" i="30"/>
  <c r="D556" i="30"/>
  <c r="D609" i="30"/>
  <c r="D161" i="30"/>
  <c r="D508" i="30"/>
  <c r="D473" i="30"/>
  <c r="D457" i="30"/>
  <c r="D498" i="30"/>
  <c r="D420" i="30"/>
  <c r="D432" i="30"/>
  <c r="D495" i="30"/>
  <c r="D470" i="30"/>
  <c r="D486" i="30"/>
  <c r="D625" i="30"/>
  <c r="D611" i="30"/>
  <c r="D590" i="30"/>
  <c r="D558" i="30"/>
  <c r="D537" i="30"/>
  <c r="D574" i="30"/>
  <c r="D163" i="30"/>
  <c r="D459" i="30"/>
  <c r="D500" i="30"/>
  <c r="D475" i="30"/>
  <c r="D510" i="30"/>
  <c r="D155" i="30"/>
  <c r="D530" i="30"/>
  <c r="D551" i="30"/>
  <c r="D604" i="30"/>
  <c r="D583" i="30"/>
  <c r="D567" i="30"/>
  <c r="D618" i="30"/>
  <c r="D347" i="30"/>
  <c r="D259" i="30"/>
  <c r="D337" i="30"/>
  <c r="D312" i="30"/>
  <c r="D296" i="30"/>
  <c r="D156" i="30"/>
  <c r="D568" i="30"/>
  <c r="D619" i="30"/>
  <c r="D605" i="30"/>
  <c r="D531" i="30"/>
  <c r="D584" i="30"/>
  <c r="D552" i="30"/>
  <c r="D260" i="30"/>
  <c r="D297" i="30"/>
  <c r="D313" i="30"/>
  <c r="D338" i="30"/>
  <c r="D348" i="30"/>
  <c r="R187" i="29"/>
  <c r="F229" i="31" s="1"/>
  <c r="L229" i="32" s="1"/>
  <c r="R87" i="29"/>
  <c r="F27" i="31" s="1"/>
  <c r="L27" i="32" s="1"/>
  <c r="D557" i="30"/>
  <c r="D624" i="30"/>
  <c r="D610" i="30"/>
  <c r="D589" i="30"/>
  <c r="D573" i="30"/>
  <c r="D536" i="30"/>
  <c r="D162" i="30"/>
  <c r="D458" i="30"/>
  <c r="D499" i="30"/>
  <c r="D474" i="30"/>
  <c r="D509" i="30"/>
  <c r="D621" i="30"/>
  <c r="D607" i="30"/>
  <c r="D586" i="30"/>
  <c r="D554" i="30"/>
  <c r="D570" i="30"/>
  <c r="D533" i="30"/>
  <c r="D158" i="30"/>
  <c r="D315" i="30"/>
  <c r="D299" i="30"/>
  <c r="D350" i="30"/>
  <c r="D340" i="30"/>
  <c r="D333" i="30"/>
  <c r="D324" i="30"/>
  <c r="D270" i="30"/>
  <c r="D308" i="30"/>
  <c r="D334" i="30"/>
  <c r="D325" i="30"/>
  <c r="D309" i="30"/>
  <c r="D271" i="30"/>
  <c r="D157" i="30"/>
  <c r="D553" i="30"/>
  <c r="D532" i="30"/>
  <c r="D620" i="30"/>
  <c r="D606" i="30"/>
  <c r="D585" i="30"/>
  <c r="D569" i="30"/>
  <c r="D339" i="30"/>
  <c r="D349" i="30"/>
  <c r="D314" i="30"/>
  <c r="D298" i="30"/>
  <c r="D336" i="30"/>
  <c r="D311" i="30"/>
  <c r="D273" i="30"/>
  <c r="D327" i="30"/>
  <c r="D493" i="30"/>
  <c r="D484" i="30"/>
  <c r="D468" i="30"/>
  <c r="D430" i="30"/>
  <c r="G2058" i="46"/>
  <c r="G2082" i="46"/>
  <c r="G2074" i="46"/>
  <c r="G2066" i="46"/>
  <c r="Q87" i="29"/>
  <c r="E87" i="29" s="1"/>
  <c r="Q85" i="29"/>
  <c r="E85" i="29" s="1"/>
  <c r="Q86" i="29"/>
  <c r="E86" i="29" s="1"/>
  <c r="R59" i="29"/>
  <c r="K59" i="29" s="1"/>
  <c r="R97" i="29"/>
  <c r="F154" i="31" s="1"/>
  <c r="L154" i="32" s="1"/>
  <c r="L154" i="31" s="1"/>
  <c r="Q59" i="29"/>
  <c r="E59" i="29" s="1"/>
  <c r="Q97" i="29"/>
  <c r="E97" i="29" s="1"/>
  <c r="Q19" i="29"/>
  <c r="Q166" i="29"/>
  <c r="E166" i="29" s="1"/>
  <c r="Q66" i="29"/>
  <c r="E66" i="29" s="1"/>
  <c r="F33" i="63" s="1"/>
  <c r="G10" i="63"/>
  <c r="R130" i="29"/>
  <c r="K130" i="29" s="1"/>
  <c r="R131" i="29"/>
  <c r="K131" i="29" s="1"/>
  <c r="R137" i="29"/>
  <c r="K137" i="29" s="1"/>
  <c r="R31" i="29"/>
  <c r="K31" i="29" s="1"/>
  <c r="R164" i="29"/>
  <c r="K164" i="29" s="1"/>
  <c r="R150" i="29"/>
  <c r="K150" i="29" s="1"/>
  <c r="R142" i="29"/>
  <c r="K142" i="29" s="1"/>
  <c r="R152" i="29"/>
  <c r="K152" i="29" s="1"/>
  <c r="R144" i="29"/>
  <c r="K144" i="29" s="1"/>
  <c r="R140" i="29"/>
  <c r="K140" i="29" s="1"/>
  <c r="R146" i="29"/>
  <c r="K146" i="29" s="1"/>
  <c r="R148" i="29"/>
  <c r="K148" i="29" s="1"/>
  <c r="R156" i="29"/>
  <c r="K156" i="29" s="1"/>
  <c r="R162" i="29"/>
  <c r="K162" i="29" s="1"/>
  <c r="R158" i="29"/>
  <c r="K158" i="29" s="1"/>
  <c r="R160" i="29"/>
  <c r="K160" i="29" s="1"/>
  <c r="R154" i="29"/>
  <c r="K154" i="29" s="1"/>
  <c r="R138" i="29"/>
  <c r="K138" i="29" s="1"/>
  <c r="R139" i="29"/>
  <c r="K139" i="29" s="1"/>
  <c r="R132" i="29"/>
  <c r="R129" i="29"/>
  <c r="R126" i="29"/>
  <c r="R123" i="29"/>
  <c r="K123" i="29" s="1"/>
  <c r="Q125" i="29"/>
  <c r="E125" i="29" s="1"/>
  <c r="Q131" i="29"/>
  <c r="E131" i="29" s="1"/>
  <c r="Q160" i="29"/>
  <c r="E160" i="29" s="1"/>
  <c r="Q152" i="29"/>
  <c r="E152" i="29" s="1"/>
  <c r="Q150" i="29"/>
  <c r="E150" i="29" s="1"/>
  <c r="Q148" i="29"/>
  <c r="E148" i="29" s="1"/>
  <c r="Q146" i="29"/>
  <c r="E146" i="29" s="1"/>
  <c r="Q144" i="29"/>
  <c r="E144" i="29" s="1"/>
  <c r="Q142" i="29"/>
  <c r="E142" i="29" s="1"/>
  <c r="Q140" i="29"/>
  <c r="E140" i="29" s="1"/>
  <c r="Q156" i="29"/>
  <c r="E156" i="29" s="1"/>
  <c r="Q154" i="29"/>
  <c r="E154" i="29" s="1"/>
  <c r="Q162" i="29"/>
  <c r="E162" i="29" s="1"/>
  <c r="Q164" i="29"/>
  <c r="E164" i="29" s="1"/>
  <c r="Q158" i="29"/>
  <c r="E158" i="29" s="1"/>
  <c r="Q130" i="29"/>
  <c r="E130" i="29" s="1"/>
  <c r="Q122" i="29"/>
  <c r="E122" i="29" s="1"/>
  <c r="Q126" i="29"/>
  <c r="E126" i="29" s="1"/>
  <c r="Q137" i="29"/>
  <c r="E137" i="29" s="1"/>
  <c r="Q129" i="29"/>
  <c r="E129" i="29" s="1"/>
  <c r="Q138" i="29"/>
  <c r="E138" i="29" s="1"/>
  <c r="Q121" i="29"/>
  <c r="E121" i="29" s="1"/>
  <c r="Q124" i="29"/>
  <c r="E124" i="29" s="1"/>
  <c r="Q123" i="29"/>
  <c r="E123" i="29" s="1"/>
  <c r="Q139" i="29"/>
  <c r="E139" i="29" s="1"/>
  <c r="R37" i="29"/>
  <c r="R30" i="29"/>
  <c r="K30" i="29" s="1"/>
  <c r="Q30" i="29"/>
  <c r="E30" i="29" s="1"/>
  <c r="R62" i="29"/>
  <c r="K62" i="29" s="1"/>
  <c r="R58" i="29"/>
  <c r="K58" i="29" s="1"/>
  <c r="R54" i="29"/>
  <c r="K54" i="29" s="1"/>
  <c r="R50" i="29"/>
  <c r="K50" i="29" s="1"/>
  <c r="R48" i="29"/>
  <c r="K48" i="29" s="1"/>
  <c r="R44" i="29"/>
  <c r="K44" i="29" s="1"/>
  <c r="R64" i="29"/>
  <c r="K64" i="29" s="1"/>
  <c r="R60" i="29"/>
  <c r="K60" i="29" s="1"/>
  <c r="R56" i="29"/>
  <c r="K56" i="29" s="1"/>
  <c r="R52" i="29"/>
  <c r="K52" i="29" s="1"/>
  <c r="R42" i="29"/>
  <c r="K42" i="29" s="1"/>
  <c r="R46" i="29"/>
  <c r="K46" i="29" s="1"/>
  <c r="R40" i="29"/>
  <c r="K40" i="29" s="1"/>
  <c r="R29" i="29"/>
  <c r="R23" i="29"/>
  <c r="K23" i="29" s="1"/>
  <c r="R39" i="29"/>
  <c r="R38" i="29"/>
  <c r="Q62" i="29"/>
  <c r="E62" i="29" s="1"/>
  <c r="Q58" i="29"/>
  <c r="E58" i="29" s="1"/>
  <c r="Q54" i="29"/>
  <c r="E54" i="29" s="1"/>
  <c r="Q50" i="29"/>
  <c r="E50" i="29" s="1"/>
  <c r="Q64" i="29"/>
  <c r="E64" i="29" s="1"/>
  <c r="Q60" i="29"/>
  <c r="E60" i="29" s="1"/>
  <c r="Q56" i="29"/>
  <c r="E56" i="29" s="1"/>
  <c r="Q52" i="29"/>
  <c r="E52" i="29" s="1"/>
  <c r="Q44" i="29"/>
  <c r="E44" i="29" s="1"/>
  <c r="Q42" i="29"/>
  <c r="E42" i="29" s="1"/>
  <c r="Q48" i="29"/>
  <c r="E48" i="29" s="1"/>
  <c r="Q46" i="29"/>
  <c r="E46" i="29" s="1"/>
  <c r="R26" i="29"/>
  <c r="R32" i="29"/>
  <c r="Q25" i="29"/>
  <c r="E25" i="29" s="1"/>
  <c r="E967" i="46" s="1"/>
  <c r="E44" i="38" s="1"/>
  <c r="Q31" i="29"/>
  <c r="E31" i="29" s="1"/>
  <c r="Q39" i="29"/>
  <c r="E39" i="29" s="1"/>
  <c r="Q22" i="29"/>
  <c r="Q23" i="29"/>
  <c r="Q24" i="29"/>
  <c r="E24" i="29" s="1"/>
  <c r="E18" i="51" s="1"/>
  <c r="E19" i="51" s="1"/>
  <c r="C20" i="51" s="1"/>
  <c r="Q26" i="29"/>
  <c r="E26" i="29" s="1"/>
  <c r="Q38" i="29"/>
  <c r="E38" i="29" s="1"/>
  <c r="Q37" i="29"/>
  <c r="E37" i="29" s="1"/>
  <c r="Q29" i="29"/>
  <c r="E29" i="29" s="1"/>
  <c r="Q40" i="29"/>
  <c r="E40" i="29" s="1"/>
  <c r="F66" i="47"/>
  <c r="F6" i="68"/>
  <c r="E134" i="52"/>
  <c r="D134" i="52" s="1"/>
  <c r="G134" i="52"/>
  <c r="H134" i="52" s="1"/>
  <c r="I134" i="52" s="1"/>
  <c r="J134" i="52" s="1"/>
  <c r="L141" i="46" l="1"/>
  <c r="M141" i="46"/>
  <c r="E349" i="31"/>
  <c r="E348" i="31"/>
  <c r="M2066" i="46"/>
  <c r="G833" i="46"/>
  <c r="F34" i="64"/>
  <c r="F35" i="64"/>
  <c r="B213" i="70"/>
  <c r="F34" i="63"/>
  <c r="G835" i="46"/>
  <c r="G836" i="46"/>
  <c r="G828" i="46"/>
  <c r="G832" i="46"/>
  <c r="G827" i="46"/>
  <c r="G834" i="46"/>
  <c r="G829" i="46"/>
  <c r="G830" i="46"/>
  <c r="L312" i="46"/>
  <c r="L340" i="46"/>
  <c r="L282" i="46"/>
  <c r="L431" i="46" s="1"/>
  <c r="M704" i="46"/>
  <c r="M689" i="46"/>
  <c r="M355" i="46"/>
  <c r="M327" i="46"/>
  <c r="M297" i="46"/>
  <c r="M445" i="46" s="1"/>
  <c r="L697" i="46"/>
  <c r="L712" i="46"/>
  <c r="L550" i="46"/>
  <c r="L535" i="46"/>
  <c r="M357" i="46"/>
  <c r="M329" i="46"/>
  <c r="M299" i="46"/>
  <c r="M447" i="46" s="1"/>
  <c r="M349" i="46"/>
  <c r="M321" i="46"/>
  <c r="M291" i="46"/>
  <c r="M439" i="46" s="1"/>
  <c r="L548" i="46"/>
  <c r="L533" i="46"/>
  <c r="M690" i="46"/>
  <c r="M705" i="46"/>
  <c r="M554" i="46"/>
  <c r="M539" i="46"/>
  <c r="L554" i="46"/>
  <c r="L539" i="46"/>
  <c r="M540" i="46"/>
  <c r="M555" i="46"/>
  <c r="L322" i="46"/>
  <c r="L350" i="46"/>
  <c r="L292" i="46"/>
  <c r="L440" i="46" s="1"/>
  <c r="L344" i="46"/>
  <c r="L316" i="46"/>
  <c r="L286" i="46"/>
  <c r="L435" i="46" s="1"/>
  <c r="L339" i="46"/>
  <c r="L311" i="46"/>
  <c r="L281" i="46"/>
  <c r="L430" i="46" s="1"/>
  <c r="M550" i="46"/>
  <c r="M535" i="46"/>
  <c r="M348" i="46"/>
  <c r="M320" i="46"/>
  <c r="M290" i="46"/>
  <c r="M438" i="46" s="1"/>
  <c r="L540" i="46"/>
  <c r="L555" i="46"/>
  <c r="M353" i="46"/>
  <c r="M325" i="46"/>
  <c r="M295" i="46"/>
  <c r="M443" i="46" s="1"/>
  <c r="L691" i="46"/>
  <c r="L706" i="46"/>
  <c r="M692" i="46"/>
  <c r="M707" i="46"/>
  <c r="M538" i="46"/>
  <c r="M553" i="46"/>
  <c r="M712" i="46"/>
  <c r="M697" i="46"/>
  <c r="L689" i="46"/>
  <c r="L704" i="46"/>
  <c r="M534" i="46"/>
  <c r="M549" i="46"/>
  <c r="M356" i="46"/>
  <c r="M328" i="46"/>
  <c r="M298" i="46"/>
  <c r="M446" i="46" s="1"/>
  <c r="L536" i="46"/>
  <c r="L551" i="46"/>
  <c r="L343" i="46"/>
  <c r="L315" i="46"/>
  <c r="L285" i="46"/>
  <c r="L434" i="46" s="1"/>
  <c r="M354" i="46"/>
  <c r="M326" i="46"/>
  <c r="M296" i="46"/>
  <c r="M444" i="46" s="1"/>
  <c r="L353" i="46"/>
  <c r="L325" i="46"/>
  <c r="L295" i="46"/>
  <c r="L443" i="46" s="1"/>
  <c r="L532" i="46"/>
  <c r="L547" i="46"/>
  <c r="M341" i="46"/>
  <c r="M313" i="46"/>
  <c r="M283" i="46"/>
  <c r="M432" i="46" s="1"/>
  <c r="M344" i="46"/>
  <c r="M316" i="46"/>
  <c r="M286" i="46"/>
  <c r="M435" i="46" s="1"/>
  <c r="M548" i="46"/>
  <c r="M533" i="46"/>
  <c r="L538" i="46"/>
  <c r="L553" i="46"/>
  <c r="M350" i="46"/>
  <c r="M322" i="46"/>
  <c r="M292" i="46"/>
  <c r="M440" i="46" s="1"/>
  <c r="M706" i="46"/>
  <c r="M691" i="46"/>
  <c r="M532" i="46"/>
  <c r="M547" i="46"/>
  <c r="L356" i="46"/>
  <c r="L298" i="46"/>
  <c r="L446" i="46" s="1"/>
  <c r="L328" i="46"/>
  <c r="M340" i="46"/>
  <c r="M282" i="46"/>
  <c r="M431" i="46" s="1"/>
  <c r="M312" i="46"/>
  <c r="L338" i="46"/>
  <c r="L280" i="46"/>
  <c r="L429" i="46" s="1"/>
  <c r="L310" i="46"/>
  <c r="M339" i="46"/>
  <c r="M311" i="46"/>
  <c r="M281" i="46"/>
  <c r="M430" i="46" s="1"/>
  <c r="L703" i="46"/>
  <c r="L688" i="46"/>
  <c r="L326" i="46"/>
  <c r="L354" i="46"/>
  <c r="L296" i="46"/>
  <c r="L444" i="46" s="1"/>
  <c r="L355" i="46"/>
  <c r="L327" i="46"/>
  <c r="L297" i="46"/>
  <c r="L445" i="46" s="1"/>
  <c r="L534" i="46"/>
  <c r="L549" i="46"/>
  <c r="M552" i="46"/>
  <c r="M537" i="46"/>
  <c r="M536" i="46"/>
  <c r="M551" i="46"/>
  <c r="L552" i="46"/>
  <c r="L537" i="46"/>
  <c r="L320" i="46"/>
  <c r="L348" i="46"/>
  <c r="L290" i="46"/>
  <c r="L438" i="46" s="1"/>
  <c r="L341" i="46"/>
  <c r="L313" i="46"/>
  <c r="L283" i="46"/>
  <c r="L432" i="46" s="1"/>
  <c r="L349" i="46"/>
  <c r="L321" i="46"/>
  <c r="L291" i="46"/>
  <c r="L439" i="46" s="1"/>
  <c r="M342" i="46"/>
  <c r="M314" i="46"/>
  <c r="M284" i="46"/>
  <c r="M433" i="46" s="1"/>
  <c r="L284" i="46"/>
  <c r="L433" i="46" s="1"/>
  <c r="L342" i="46"/>
  <c r="L314" i="46"/>
  <c r="M343" i="46"/>
  <c r="M315" i="46"/>
  <c r="M285" i="46"/>
  <c r="M434" i="46" s="1"/>
  <c r="L705" i="46"/>
  <c r="L690" i="46"/>
  <c r="L357" i="46"/>
  <c r="L329" i="46"/>
  <c r="L299" i="46"/>
  <c r="L447" i="46" s="1"/>
  <c r="L707" i="46"/>
  <c r="L692" i="46"/>
  <c r="M338" i="46"/>
  <c r="M280" i="46"/>
  <c r="M429" i="46" s="1"/>
  <c r="M310" i="46"/>
  <c r="M688" i="46"/>
  <c r="M703" i="46"/>
  <c r="M2082" i="46"/>
  <c r="M2074" i="46"/>
  <c r="K126" i="29"/>
  <c r="K2038" i="46" s="1"/>
  <c r="K66" i="29"/>
  <c r="K129" i="29"/>
  <c r="K132" i="29"/>
  <c r="K2046" i="46" s="1"/>
  <c r="K131" i="38" s="1"/>
  <c r="F18" i="68"/>
  <c r="F19" i="68" s="1"/>
  <c r="K38" i="29"/>
  <c r="K39" i="29"/>
  <c r="K37" i="29"/>
  <c r="M112" i="70"/>
  <c r="M996" i="46"/>
  <c r="L285" i="70"/>
  <c r="L2047" i="46"/>
  <c r="L988" i="46"/>
  <c r="L996" i="46"/>
  <c r="M285" i="70"/>
  <c r="M2047" i="46"/>
  <c r="E276" i="71"/>
  <c r="E234" i="71"/>
  <c r="I388" i="70"/>
  <c r="I402" i="70"/>
  <c r="I374" i="70"/>
  <c r="I360" i="70"/>
  <c r="I399" i="70"/>
  <c r="I371" i="70"/>
  <c r="I385" i="70"/>
  <c r="I357" i="70"/>
  <c r="I387" i="70"/>
  <c r="I359" i="70"/>
  <c r="I401" i="70"/>
  <c r="I373" i="70"/>
  <c r="I395" i="70"/>
  <c r="I367" i="70"/>
  <c r="I381" i="70"/>
  <c r="I353" i="70"/>
  <c r="I368" i="70"/>
  <c r="I382" i="70"/>
  <c r="I354" i="70"/>
  <c r="I396" i="70"/>
  <c r="I380" i="70"/>
  <c r="I394" i="70"/>
  <c r="I366" i="70"/>
  <c r="I352" i="70"/>
  <c r="I383" i="70"/>
  <c r="I355" i="70"/>
  <c r="I397" i="70"/>
  <c r="I369" i="70"/>
  <c r="I400" i="70"/>
  <c r="I386" i="70"/>
  <c r="I358" i="70"/>
  <c r="I372" i="70"/>
  <c r="I403" i="70"/>
  <c r="I375" i="70"/>
  <c r="I389" i="70"/>
  <c r="I361" i="70"/>
  <c r="I356" i="70"/>
  <c r="I398" i="70"/>
  <c r="I370" i="70"/>
  <c r="I384" i="70"/>
  <c r="O93" i="32"/>
  <c r="K96" i="31"/>
  <c r="AL17" i="63" s="1"/>
  <c r="O90" i="32"/>
  <c r="B185" i="70"/>
  <c r="O98" i="32"/>
  <c r="B199" i="70"/>
  <c r="I224" i="70"/>
  <c r="I196" i="70"/>
  <c r="I210" i="70"/>
  <c r="I182" i="70"/>
  <c r="I225" i="70"/>
  <c r="I197" i="70"/>
  <c r="I211" i="70"/>
  <c r="I183" i="70"/>
  <c r="I229" i="70"/>
  <c r="I201" i="70"/>
  <c r="I215" i="70"/>
  <c r="I187" i="70"/>
  <c r="I216" i="70"/>
  <c r="I188" i="70"/>
  <c r="I230" i="70"/>
  <c r="I202" i="70"/>
  <c r="I221" i="70"/>
  <c r="I193" i="70"/>
  <c r="I207" i="70"/>
  <c r="I179" i="70"/>
  <c r="I209" i="70"/>
  <c r="I181" i="70"/>
  <c r="I223" i="70"/>
  <c r="I195" i="70"/>
  <c r="I228" i="70"/>
  <c r="I200" i="70"/>
  <c r="I214" i="70"/>
  <c r="I186" i="70"/>
  <c r="I212" i="70"/>
  <c r="I184" i="70"/>
  <c r="I226" i="70"/>
  <c r="I198" i="70"/>
  <c r="I213" i="70"/>
  <c r="I185" i="70"/>
  <c r="I227" i="70"/>
  <c r="I199" i="70"/>
  <c r="E2017" i="46"/>
  <c r="E120" i="38" s="1"/>
  <c r="K32" i="29"/>
  <c r="K995" i="46" s="1"/>
  <c r="K55" i="38" s="1"/>
  <c r="L979" i="46"/>
  <c r="L68" i="31"/>
  <c r="L112" i="70"/>
  <c r="F1997" i="46"/>
  <c r="F2007" i="46" s="1"/>
  <c r="F284" i="70" s="1"/>
  <c r="K1997" i="46"/>
  <c r="F1995" i="46"/>
  <c r="F2005" i="46" s="1"/>
  <c r="F282" i="70" s="1"/>
  <c r="F1996" i="46"/>
  <c r="F2006" i="46" s="1"/>
  <c r="F283" i="70" s="1"/>
  <c r="F1994" i="46"/>
  <c r="F2004" i="46" s="1"/>
  <c r="F281" i="70" s="1"/>
  <c r="F1993" i="46"/>
  <c r="F2003" i="46" s="1"/>
  <c r="F280" i="70" s="1"/>
  <c r="K92" i="31"/>
  <c r="O92" i="31" s="1"/>
  <c r="O94" i="32"/>
  <c r="K91" i="31"/>
  <c r="O91" i="31" s="1"/>
  <c r="O95" i="32"/>
  <c r="B209" i="70"/>
  <c r="B195" i="70"/>
  <c r="B181" i="70"/>
  <c r="B223" i="70"/>
  <c r="B182" i="70"/>
  <c r="B224" i="70"/>
  <c r="B210" i="70"/>
  <c r="B196" i="70"/>
  <c r="K97" i="31"/>
  <c r="O97" i="31" s="1"/>
  <c r="B186" i="70"/>
  <c r="B228" i="70"/>
  <c r="B214" i="70"/>
  <c r="B200" i="70"/>
  <c r="B226" i="70"/>
  <c r="B212" i="70"/>
  <c r="B198" i="70"/>
  <c r="B184" i="70"/>
  <c r="B179" i="70"/>
  <c r="B221" i="70"/>
  <c r="B207" i="70"/>
  <c r="B193" i="70"/>
  <c r="B183" i="70"/>
  <c r="B225" i="70"/>
  <c r="B211" i="70"/>
  <c r="B197" i="70"/>
  <c r="B187" i="70"/>
  <c r="B229" i="70"/>
  <c r="B215" i="70"/>
  <c r="B201" i="70"/>
  <c r="B230" i="70"/>
  <c r="B216" i="70"/>
  <c r="B202" i="70"/>
  <c r="B188" i="70"/>
  <c r="B356" i="70"/>
  <c r="B398" i="70"/>
  <c r="B384" i="70"/>
  <c r="B370" i="70"/>
  <c r="B397" i="70"/>
  <c r="B355" i="70"/>
  <c r="B383" i="70"/>
  <c r="B369" i="70"/>
  <c r="B400" i="70"/>
  <c r="B358" i="70"/>
  <c r="B386" i="70"/>
  <c r="B372" i="70"/>
  <c r="B402" i="70"/>
  <c r="B388" i="70"/>
  <c r="B374" i="70"/>
  <c r="B360" i="70"/>
  <c r="B401" i="70"/>
  <c r="B359" i="70"/>
  <c r="B387" i="70"/>
  <c r="B373" i="70"/>
  <c r="B353" i="70"/>
  <c r="B395" i="70"/>
  <c r="B381" i="70"/>
  <c r="B367" i="70"/>
  <c r="B354" i="70"/>
  <c r="B396" i="70"/>
  <c r="B382" i="70"/>
  <c r="B368" i="70"/>
  <c r="B357" i="70"/>
  <c r="B399" i="70"/>
  <c r="B385" i="70"/>
  <c r="B371" i="70"/>
  <c r="B394" i="70"/>
  <c r="B380" i="70"/>
  <c r="B366" i="70"/>
  <c r="B352" i="70"/>
  <c r="B403" i="70"/>
  <c r="B389" i="70"/>
  <c r="B375" i="70"/>
  <c r="B361" i="70"/>
  <c r="F71" i="70"/>
  <c r="L52" i="31"/>
  <c r="L229" i="31"/>
  <c r="L76" i="47"/>
  <c r="L83" i="47"/>
  <c r="L90" i="47"/>
  <c r="O80" i="32"/>
  <c r="K185" i="46"/>
  <c r="K172" i="46"/>
  <c r="K617" i="46"/>
  <c r="K680" i="46" s="1"/>
  <c r="K759" i="46" s="1"/>
  <c r="K80" i="31"/>
  <c r="O76" i="32"/>
  <c r="K457" i="46"/>
  <c r="K520" i="46" s="1"/>
  <c r="K599" i="46" s="1"/>
  <c r="K181" i="46"/>
  <c r="K168" i="46"/>
  <c r="K76" i="31"/>
  <c r="O74" i="32"/>
  <c r="K455" i="46"/>
  <c r="K518" i="46" s="1"/>
  <c r="K597" i="46" s="1"/>
  <c r="K166" i="46"/>
  <c r="K611" i="46"/>
  <c r="K674" i="46" s="1"/>
  <c r="K753" i="46" s="1"/>
  <c r="K74" i="31"/>
  <c r="O78" i="32"/>
  <c r="K459" i="46"/>
  <c r="K522" i="46" s="1"/>
  <c r="K601" i="46" s="1"/>
  <c r="K183" i="46"/>
  <c r="K170" i="46"/>
  <c r="K78" i="31"/>
  <c r="O73" i="32"/>
  <c r="K610" i="46"/>
  <c r="K673" i="46" s="1"/>
  <c r="K752" i="46" s="1"/>
  <c r="K178" i="46"/>
  <c r="K454" i="46"/>
  <c r="K517" i="46" s="1"/>
  <c r="K596" i="46" s="1"/>
  <c r="K73" i="31"/>
  <c r="O90" i="31"/>
  <c r="AL11" i="63"/>
  <c r="L26" i="31"/>
  <c r="L15" i="47"/>
  <c r="L8" i="47"/>
  <c r="L22" i="47"/>
  <c r="L25" i="31"/>
  <c r="L21" i="47"/>
  <c r="L14" i="47"/>
  <c r="L7" i="47"/>
  <c r="L160" i="47"/>
  <c r="K382" i="38" s="1"/>
  <c r="L228" i="31"/>
  <c r="L89" i="47"/>
  <c r="L75" i="47"/>
  <c r="L82" i="47"/>
  <c r="O77" i="32"/>
  <c r="K458" i="46"/>
  <c r="K521" i="46" s="1"/>
  <c r="K600" i="46" s="1"/>
  <c r="K182" i="46"/>
  <c r="K169" i="46"/>
  <c r="K77" i="31"/>
  <c r="O72" i="32"/>
  <c r="K453" i="46"/>
  <c r="K516" i="46" s="1"/>
  <c r="K595" i="46" s="1"/>
  <c r="K609" i="46"/>
  <c r="K672" i="46" s="1"/>
  <c r="K751" i="46" s="1"/>
  <c r="K177" i="46"/>
  <c r="K72" i="31"/>
  <c r="O75" i="32"/>
  <c r="K456" i="46"/>
  <c r="K519" i="46" s="1"/>
  <c r="K598" i="46" s="1"/>
  <c r="K167" i="46"/>
  <c r="K612" i="46"/>
  <c r="K675" i="46" s="1"/>
  <c r="K754" i="46" s="1"/>
  <c r="K75" i="31"/>
  <c r="O79" i="32"/>
  <c r="K460" i="46"/>
  <c r="K523" i="46" s="1"/>
  <c r="K602" i="46" s="1"/>
  <c r="K184" i="46"/>
  <c r="K171" i="46"/>
  <c r="K79" i="31"/>
  <c r="O89" i="32"/>
  <c r="K89" i="31"/>
  <c r="O71" i="32"/>
  <c r="K452" i="46"/>
  <c r="K515" i="46" s="1"/>
  <c r="K594" i="46" s="1"/>
  <c r="K608" i="46"/>
  <c r="K671" i="46" s="1"/>
  <c r="K750" i="46" s="1"/>
  <c r="K176" i="46"/>
  <c r="K71" i="31"/>
  <c r="O95" i="31"/>
  <c r="AL16" i="63"/>
  <c r="O94" i="31"/>
  <c r="AL15" i="63"/>
  <c r="O93" i="31"/>
  <c r="AL14" i="63"/>
  <c r="O98" i="31"/>
  <c r="AL19" i="63"/>
  <c r="L27" i="31"/>
  <c r="L9" i="47"/>
  <c r="L23" i="47"/>
  <c r="L16" i="47"/>
  <c r="L227" i="31"/>
  <c r="L74" i="47"/>
  <c r="L81" i="47"/>
  <c r="L88" i="47"/>
  <c r="K149" i="31"/>
  <c r="O149" i="31" s="1"/>
  <c r="K153" i="32"/>
  <c r="O153" i="32" s="1"/>
  <c r="I153" i="31"/>
  <c r="K357" i="32"/>
  <c r="O357" i="32" s="1"/>
  <c r="I357" i="31"/>
  <c r="K166" i="29"/>
  <c r="K348" i="31" s="1"/>
  <c r="K26" i="29"/>
  <c r="K987" i="46" s="1"/>
  <c r="K29" i="29"/>
  <c r="E2003" i="46"/>
  <c r="I21" i="66" s="1"/>
  <c r="E133" i="71" s="1"/>
  <c r="E18" i="68"/>
  <c r="E19" i="68" s="1"/>
  <c r="C20" i="68" s="1"/>
  <c r="E27" i="31"/>
  <c r="K87" i="29"/>
  <c r="E229" i="31"/>
  <c r="K187" i="29"/>
  <c r="L254" i="31"/>
  <c r="L2018" i="46"/>
  <c r="L2039" i="46"/>
  <c r="L270" i="31"/>
  <c r="L2030" i="46"/>
  <c r="E1995" i="46"/>
  <c r="E23" i="66" s="1"/>
  <c r="M270" i="31"/>
  <c r="M2039" i="46"/>
  <c r="M2030" i="46"/>
  <c r="M2018" i="46"/>
  <c r="M254" i="31"/>
  <c r="E1996" i="46"/>
  <c r="E2006" i="46" s="1"/>
  <c r="E154" i="31"/>
  <c r="K97" i="29"/>
  <c r="E26" i="31"/>
  <c r="K86" i="29"/>
  <c r="E1997" i="46"/>
  <c r="E2007" i="46" s="1"/>
  <c r="E25" i="31"/>
  <c r="K85" i="29"/>
  <c r="E228" i="31"/>
  <c r="K186" i="29"/>
  <c r="E227" i="31"/>
  <c r="K185" i="29"/>
  <c r="M979" i="46"/>
  <c r="M52" i="31"/>
  <c r="M988" i="46"/>
  <c r="M68" i="31"/>
  <c r="F1577" i="46"/>
  <c r="F1886" i="46" s="1"/>
  <c r="F1731" i="46"/>
  <c r="F1884" i="46" s="1"/>
  <c r="F1732" i="46"/>
  <c r="F1885" i="46" s="1"/>
  <c r="F1730" i="46"/>
  <c r="F1883" i="46" s="1"/>
  <c r="F1346" i="46"/>
  <c r="F1880" i="46" s="1"/>
  <c r="F1343" i="46"/>
  <c r="F1877" i="46" s="1"/>
  <c r="F1345" i="46"/>
  <c r="F1879" i="46" s="1"/>
  <c r="F1344" i="46"/>
  <c r="F1878" i="46" s="1"/>
  <c r="F1360" i="46"/>
  <c r="F1881" i="46" s="1"/>
  <c r="F1361" i="46"/>
  <c r="F1882" i="46" s="1"/>
  <c r="F160" i="47"/>
  <c r="E382" i="38" s="1"/>
  <c r="F145" i="31"/>
  <c r="F146" i="31"/>
  <c r="L146" i="32" s="1"/>
  <c r="F406" i="31"/>
  <c r="L406" i="32" s="1"/>
  <c r="L406" i="31" s="1"/>
  <c r="F402" i="31"/>
  <c r="L402" i="32" s="1"/>
  <c r="L402" i="31" s="1"/>
  <c r="F404" i="31"/>
  <c r="L404" i="32" s="1"/>
  <c r="L404" i="31" s="1"/>
  <c r="F400" i="31"/>
  <c r="L400" i="32" s="1"/>
  <c r="L400" i="31" s="1"/>
  <c r="F405" i="31"/>
  <c r="L405" i="32" s="1"/>
  <c r="L405" i="31" s="1"/>
  <c r="F407" i="31"/>
  <c r="L407" i="32" s="1"/>
  <c r="L407" i="31" s="1"/>
  <c r="F403" i="31"/>
  <c r="L403" i="32" s="1"/>
  <c r="L403" i="31" s="1"/>
  <c r="F399" i="31"/>
  <c r="L399" i="32" s="1"/>
  <c r="L399" i="31" s="1"/>
  <c r="F408" i="31"/>
  <c r="L408" i="32" s="1"/>
  <c r="L408" i="31" s="1"/>
  <c r="F401" i="31"/>
  <c r="L401" i="32" s="1"/>
  <c r="L401" i="31" s="1"/>
  <c r="E405" i="31"/>
  <c r="E401" i="31"/>
  <c r="E403" i="31"/>
  <c r="E408" i="31"/>
  <c r="E406" i="31"/>
  <c r="E402" i="31"/>
  <c r="E407" i="31"/>
  <c r="E399" i="31"/>
  <c r="E404" i="31"/>
  <c r="E400" i="31"/>
  <c r="E206" i="31"/>
  <c r="E202" i="31"/>
  <c r="E198" i="31"/>
  <c r="E205" i="31"/>
  <c r="E201" i="31"/>
  <c r="E197" i="31"/>
  <c r="E204" i="31"/>
  <c r="E200" i="31"/>
  <c r="E196" i="31"/>
  <c r="E207" i="31"/>
  <c r="E203" i="31"/>
  <c r="E199" i="31"/>
  <c r="F196" i="31"/>
  <c r="L196" i="32" s="1"/>
  <c r="L196" i="31" s="1"/>
  <c r="F198" i="31"/>
  <c r="L198" i="32" s="1"/>
  <c r="L198" i="31" s="1"/>
  <c r="F202" i="31"/>
  <c r="L202" i="32" s="1"/>
  <c r="L202" i="31" s="1"/>
  <c r="F206" i="31"/>
  <c r="L206" i="32" s="1"/>
  <c r="F197" i="31"/>
  <c r="L197" i="32" s="1"/>
  <c r="L197" i="31" s="1"/>
  <c r="F199" i="31"/>
  <c r="L199" i="32" s="1"/>
  <c r="L199" i="31" s="1"/>
  <c r="F201" i="31"/>
  <c r="L201" i="32" s="1"/>
  <c r="L201" i="31" s="1"/>
  <c r="F203" i="31"/>
  <c r="L203" i="32" s="1"/>
  <c r="L203" i="31" s="1"/>
  <c r="F205" i="31"/>
  <c r="L205" i="32" s="1"/>
  <c r="L205" i="31" s="1"/>
  <c r="F207" i="31"/>
  <c r="L207" i="32" s="1"/>
  <c r="F200" i="31"/>
  <c r="L200" i="32" s="1"/>
  <c r="L200" i="31" s="1"/>
  <c r="F204" i="31"/>
  <c r="L204" i="32" s="1"/>
  <c r="L204" i="31" s="1"/>
  <c r="F1748" i="46"/>
  <c r="F1739" i="46"/>
  <c r="F1743" i="46"/>
  <c r="F1742" i="46"/>
  <c r="F1740" i="46"/>
  <c r="F1744" i="46"/>
  <c r="F1741" i="46"/>
  <c r="F1392" i="46"/>
  <c r="F1387" i="46"/>
  <c r="F1386" i="46"/>
  <c r="F1390" i="46"/>
  <c r="F1385" i="46"/>
  <c r="F1391" i="46"/>
  <c r="F1384" i="46"/>
  <c r="F1393" i="46"/>
  <c r="F617" i="46"/>
  <c r="F680" i="46" s="1"/>
  <c r="F759" i="46" s="1"/>
  <c r="F608" i="46"/>
  <c r="F671" i="46" s="1"/>
  <c r="F750" i="46" s="1"/>
  <c r="F612" i="46"/>
  <c r="F675" i="46" s="1"/>
  <c r="F754" i="46" s="1"/>
  <c r="F611" i="46"/>
  <c r="F674" i="46" s="1"/>
  <c r="F753" i="46" s="1"/>
  <c r="F615" i="46"/>
  <c r="F614" i="46"/>
  <c r="F609" i="46"/>
  <c r="F672" i="46" s="1"/>
  <c r="F751" i="46" s="1"/>
  <c r="F613" i="46"/>
  <c r="F616" i="46"/>
  <c r="F610" i="46"/>
  <c r="F673" i="46" s="1"/>
  <c r="F752" i="46" s="1"/>
  <c r="F1587" i="46"/>
  <c r="F1591" i="46"/>
  <c r="F1588" i="46"/>
  <c r="F1589" i="46"/>
  <c r="F1583" i="46"/>
  <c r="F1584" i="46"/>
  <c r="F1586" i="46"/>
  <c r="F1590" i="46"/>
  <c r="F1375" i="46"/>
  <c r="F1379" i="46"/>
  <c r="F1378" i="46"/>
  <c r="F1377" i="46"/>
  <c r="F1380" i="46"/>
  <c r="F1376" i="46"/>
  <c r="L349" i="32"/>
  <c r="E145" i="31"/>
  <c r="E146" i="31"/>
  <c r="E174" i="46" s="1"/>
  <c r="F682" i="46"/>
  <c r="F761" i="46" s="1"/>
  <c r="F2038" i="46"/>
  <c r="E2038" i="46"/>
  <c r="E987" i="46"/>
  <c r="F987" i="46"/>
  <c r="K349" i="31" l="1"/>
  <c r="E1654" i="46"/>
  <c r="E1498" i="46"/>
  <c r="E618" i="46"/>
  <c r="E462" i="46"/>
  <c r="E288" i="46"/>
  <c r="E437" i="46" s="1"/>
  <c r="E318" i="46"/>
  <c r="E346" i="46"/>
  <c r="E463" i="46"/>
  <c r="E619" i="46"/>
  <c r="E1223" i="46"/>
  <c r="E1367" i="46" s="1"/>
  <c r="E1655" i="46"/>
  <c r="E1499" i="46"/>
  <c r="E1579" i="46" s="1"/>
  <c r="E1210" i="46"/>
  <c r="E1209" i="46"/>
  <c r="L85" i="47"/>
  <c r="L92" i="47"/>
  <c r="L78" i="47"/>
  <c r="L25" i="47"/>
  <c r="K344" i="38"/>
  <c r="K478" i="38"/>
  <c r="K419" i="38"/>
  <c r="K285" i="38"/>
  <c r="K304" i="38"/>
  <c r="K438" i="38"/>
  <c r="K468" i="38"/>
  <c r="K334" i="38"/>
  <c r="K313" i="38"/>
  <c r="K447" i="38"/>
  <c r="AI34" i="63"/>
  <c r="AI33" i="63"/>
  <c r="AI35" i="64"/>
  <c r="AI34" i="64"/>
  <c r="L385" i="46"/>
  <c r="L413" i="46" s="1"/>
  <c r="M381" i="46"/>
  <c r="M409" i="46" s="1"/>
  <c r="M366" i="46"/>
  <c r="M394" i="46" s="1"/>
  <c r="M370" i="46"/>
  <c r="M398" i="46" s="1"/>
  <c r="M383" i="46"/>
  <c r="M411" i="46" s="1"/>
  <c r="F694" i="46"/>
  <c r="F833" i="46" s="1"/>
  <c r="F770" i="46"/>
  <c r="F696" i="46"/>
  <c r="F835" i="46" s="1"/>
  <c r="F772" i="46"/>
  <c r="F697" i="46"/>
  <c r="F836" i="46" s="1"/>
  <c r="F712" i="46"/>
  <c r="F773" i="46"/>
  <c r="L384" i="46"/>
  <c r="L412" i="46" s="1"/>
  <c r="F693" i="46"/>
  <c r="F832" i="46" s="1"/>
  <c r="F769" i="46"/>
  <c r="F691" i="46"/>
  <c r="F830" i="46" s="1"/>
  <c r="F706" i="46"/>
  <c r="F767" i="46"/>
  <c r="M368" i="46"/>
  <c r="M396" i="46" s="1"/>
  <c r="M384" i="46"/>
  <c r="M412" i="46" s="1"/>
  <c r="F705" i="46"/>
  <c r="F690" i="46"/>
  <c r="F829" i="46" s="1"/>
  <c r="F766" i="46"/>
  <c r="F703" i="46"/>
  <c r="F688" i="46"/>
  <c r="F827" i="46" s="1"/>
  <c r="F764" i="46"/>
  <c r="F714" i="46"/>
  <c r="F699" i="46"/>
  <c r="F838" i="46" s="1"/>
  <c r="F775" i="46"/>
  <c r="F695" i="46"/>
  <c r="F834" i="46" s="1"/>
  <c r="F771" i="46"/>
  <c r="F704" i="46"/>
  <c r="F689" i="46"/>
  <c r="F828" i="46" s="1"/>
  <c r="F765" i="46"/>
  <c r="F692" i="46"/>
  <c r="F707" i="46"/>
  <c r="M372" i="46"/>
  <c r="M400" i="46" s="1"/>
  <c r="K553" i="46"/>
  <c r="K538" i="46"/>
  <c r="K357" i="46"/>
  <c r="K329" i="46"/>
  <c r="K299" i="46"/>
  <c r="K447" i="46" s="1"/>
  <c r="K341" i="46"/>
  <c r="K313" i="46"/>
  <c r="K283" i="46"/>
  <c r="K432" i="46" s="1"/>
  <c r="K549" i="46"/>
  <c r="K534" i="46"/>
  <c r="K353" i="46"/>
  <c r="K325" i="46"/>
  <c r="K295" i="46"/>
  <c r="K443" i="46" s="1"/>
  <c r="K697" i="46"/>
  <c r="K712" i="46"/>
  <c r="L377" i="46"/>
  <c r="L405" i="46" s="1"/>
  <c r="L369" i="46"/>
  <c r="L397" i="46" s="1"/>
  <c r="L382" i="46"/>
  <c r="L410" i="46" s="1"/>
  <c r="M367" i="46"/>
  <c r="M395" i="46" s="1"/>
  <c r="M369" i="46"/>
  <c r="M397" i="46" s="1"/>
  <c r="L381" i="46"/>
  <c r="L409" i="46" s="1"/>
  <c r="M382" i="46"/>
  <c r="M410" i="46" s="1"/>
  <c r="L371" i="46"/>
  <c r="L399" i="46" s="1"/>
  <c r="L367" i="46"/>
  <c r="L395" i="46" s="1"/>
  <c r="L372" i="46"/>
  <c r="L400" i="46" s="1"/>
  <c r="L368" i="46"/>
  <c r="L396" i="46" s="1"/>
  <c r="K348" i="46"/>
  <c r="K320" i="46"/>
  <c r="K290" i="46"/>
  <c r="K438" i="46" s="1"/>
  <c r="K356" i="46"/>
  <c r="K328" i="46"/>
  <c r="K298" i="46"/>
  <c r="K446" i="46" s="1"/>
  <c r="K705" i="46"/>
  <c r="K690" i="46"/>
  <c r="K355" i="46"/>
  <c r="K327" i="46"/>
  <c r="K297" i="46"/>
  <c r="K445" i="46" s="1"/>
  <c r="K555" i="46"/>
  <c r="K540" i="46"/>
  <c r="K339" i="46"/>
  <c r="K311" i="46"/>
  <c r="K281" i="46"/>
  <c r="K430" i="46" s="1"/>
  <c r="K547" i="46"/>
  <c r="K532" i="46"/>
  <c r="K551" i="46"/>
  <c r="K536" i="46"/>
  <c r="K689" i="46"/>
  <c r="K704" i="46"/>
  <c r="K535" i="46"/>
  <c r="K550" i="46"/>
  <c r="K343" i="46"/>
  <c r="K315" i="46"/>
  <c r="K285" i="46"/>
  <c r="K434" i="46" s="1"/>
  <c r="K533" i="46"/>
  <c r="K548" i="46"/>
  <c r="K354" i="46"/>
  <c r="K326" i="46"/>
  <c r="K296" i="46"/>
  <c r="K444" i="46" s="1"/>
  <c r="K350" i="46"/>
  <c r="K322" i="46"/>
  <c r="K292" i="46"/>
  <c r="K440" i="46" s="1"/>
  <c r="K342" i="46"/>
  <c r="K314" i="46"/>
  <c r="K284" i="46"/>
  <c r="K433" i="46" s="1"/>
  <c r="K537" i="46"/>
  <c r="K552" i="46"/>
  <c r="K344" i="46"/>
  <c r="K316" i="46"/>
  <c r="K286" i="46"/>
  <c r="K435" i="46" s="1"/>
  <c r="M371" i="46"/>
  <c r="M399" i="46" s="1"/>
  <c r="L370" i="46"/>
  <c r="L398" i="46" s="1"/>
  <c r="L383" i="46"/>
  <c r="L411" i="46" s="1"/>
  <c r="L366" i="46"/>
  <c r="M378" i="46"/>
  <c r="M406" i="46" s="1"/>
  <c r="M376" i="46"/>
  <c r="M404" i="46" s="1"/>
  <c r="L378" i="46"/>
  <c r="L406" i="46" s="1"/>
  <c r="M377" i="46"/>
  <c r="M405" i="46" s="1"/>
  <c r="M385" i="46"/>
  <c r="M413" i="46" s="1"/>
  <c r="K707" i="46"/>
  <c r="K692" i="46"/>
  <c r="K691" i="46"/>
  <c r="K706" i="46"/>
  <c r="K703" i="46"/>
  <c r="K688" i="46"/>
  <c r="K349" i="46"/>
  <c r="K321" i="46"/>
  <c r="K291" i="46"/>
  <c r="K439" i="46" s="1"/>
  <c r="K539" i="46"/>
  <c r="K554" i="46"/>
  <c r="K338" i="46"/>
  <c r="K310" i="46"/>
  <c r="K280" i="46"/>
  <c r="K429" i="46" s="1"/>
  <c r="K340" i="46"/>
  <c r="K312" i="46"/>
  <c r="K282" i="46"/>
  <c r="K431" i="46" s="1"/>
  <c r="L376" i="46"/>
  <c r="L404" i="46" s="1"/>
  <c r="F266" i="31"/>
  <c r="L266" i="32" s="1"/>
  <c r="M333" i="70"/>
  <c r="L333" i="70"/>
  <c r="F267" i="31"/>
  <c r="L267" i="32" s="1"/>
  <c r="M160" i="70"/>
  <c r="L160" i="70"/>
  <c r="K357" i="31"/>
  <c r="O357" i="31" s="1"/>
  <c r="K1210" i="46"/>
  <c r="O96" i="31"/>
  <c r="AL13" i="63"/>
  <c r="F1999" i="46"/>
  <c r="F265" i="31"/>
  <c r="L265" i="32" s="1"/>
  <c r="L2082" i="46" s="1"/>
  <c r="F268" i="31"/>
  <c r="L268" i="32" s="1"/>
  <c r="F269" i="31"/>
  <c r="L269" i="32" s="1"/>
  <c r="K153" i="31"/>
  <c r="O153" i="31" s="1"/>
  <c r="L39" i="70"/>
  <c r="K145" i="31"/>
  <c r="AL12" i="63"/>
  <c r="I197" i="31"/>
  <c r="I202" i="31"/>
  <c r="AL18" i="63"/>
  <c r="I201" i="31"/>
  <c r="I199" i="31"/>
  <c r="I200" i="31"/>
  <c r="I205" i="31"/>
  <c r="E25" i="66"/>
  <c r="E24" i="66"/>
  <c r="F39" i="70"/>
  <c r="E269" i="31"/>
  <c r="K269" i="32" s="1"/>
  <c r="E284" i="70"/>
  <c r="E268" i="31"/>
  <c r="K268" i="32" s="1"/>
  <c r="E283" i="70"/>
  <c r="E265" i="31"/>
  <c r="E2058" i="46" s="1"/>
  <c r="E280" i="70"/>
  <c r="I348" i="31"/>
  <c r="I196" i="31"/>
  <c r="I206" i="31"/>
  <c r="O71" i="31"/>
  <c r="AJ10" i="63"/>
  <c r="O77" i="31"/>
  <c r="AJ16" i="63"/>
  <c r="L18" i="47"/>
  <c r="L11" i="47"/>
  <c r="O78" i="31"/>
  <c r="AJ17" i="63"/>
  <c r="O79" i="31"/>
  <c r="AJ18" i="63"/>
  <c r="O74" i="31"/>
  <c r="AJ13" i="63"/>
  <c r="I203" i="31"/>
  <c r="I204" i="31"/>
  <c r="I198" i="31"/>
  <c r="I349" i="31"/>
  <c r="O75" i="31"/>
  <c r="AJ14" i="63"/>
  <c r="O76" i="31"/>
  <c r="AJ15" i="63"/>
  <c r="I207" i="31"/>
  <c r="O89" i="31"/>
  <c r="AL10" i="63"/>
  <c r="K916" i="46"/>
  <c r="K915" i="46"/>
  <c r="O72" i="31"/>
  <c r="AJ11" i="63"/>
  <c r="O73" i="31"/>
  <c r="AJ12" i="63"/>
  <c r="O80" i="31"/>
  <c r="AJ19" i="63"/>
  <c r="E2074" i="46"/>
  <c r="K349" i="32"/>
  <c r="O349" i="32" s="1"/>
  <c r="K399" i="32"/>
  <c r="I399" i="31"/>
  <c r="K408" i="32"/>
  <c r="I408" i="31"/>
  <c r="K228" i="32"/>
  <c r="K89" i="47" s="1"/>
  <c r="O89" i="47" s="1"/>
  <c r="I228" i="31"/>
  <c r="K26" i="32"/>
  <c r="I26" i="31"/>
  <c r="K229" i="32"/>
  <c r="K90" i="47" s="1"/>
  <c r="O90" i="47" s="1"/>
  <c r="I229" i="31"/>
  <c r="K407" i="32"/>
  <c r="O407" i="32" s="1"/>
  <c r="I407" i="31"/>
  <c r="K403" i="32"/>
  <c r="I403" i="31"/>
  <c r="K146" i="32"/>
  <c r="O146" i="32" s="1"/>
  <c r="I146" i="31"/>
  <c r="K400" i="32"/>
  <c r="I400" i="31"/>
  <c r="K402" i="32"/>
  <c r="I402" i="31"/>
  <c r="K401" i="32"/>
  <c r="I401" i="31"/>
  <c r="K227" i="32"/>
  <c r="I227" i="31"/>
  <c r="K25" i="32"/>
  <c r="I25" i="31"/>
  <c r="K154" i="32"/>
  <c r="I154" i="31"/>
  <c r="K27" i="32"/>
  <c r="K23" i="47" s="1"/>
  <c r="O23" i="47" s="1"/>
  <c r="I27" i="31"/>
  <c r="E2005" i="46"/>
  <c r="K145" i="32"/>
  <c r="I145" i="31"/>
  <c r="K404" i="32"/>
  <c r="I404" i="31"/>
  <c r="K406" i="32"/>
  <c r="O406" i="32" s="1"/>
  <c r="I406" i="31"/>
  <c r="K405" i="32"/>
  <c r="I405" i="31"/>
  <c r="K146" i="31"/>
  <c r="K187" i="46" s="1"/>
  <c r="E1222" i="46"/>
  <c r="E1336" i="46" s="1"/>
  <c r="E1484" i="46" s="1"/>
  <c r="F1222" i="46"/>
  <c r="F1336" i="46" s="1"/>
  <c r="F1484" i="46" s="1"/>
  <c r="F1561" i="46"/>
  <c r="F1640" i="46" s="1"/>
  <c r="K2007" i="46"/>
  <c r="K284" i="70" s="1"/>
  <c r="O25" i="66"/>
  <c r="E264" i="71"/>
  <c r="L348" i="32"/>
  <c r="L2058" i="46"/>
  <c r="F173" i="46"/>
  <c r="F287" i="46" s="1"/>
  <c r="F436" i="46" s="1"/>
  <c r="L145" i="32"/>
  <c r="AA13" i="63"/>
  <c r="K199" i="32"/>
  <c r="AA14" i="63"/>
  <c r="K200" i="32"/>
  <c r="AA19" i="63"/>
  <c r="K205" i="32"/>
  <c r="AA17" i="63"/>
  <c r="K203" i="32"/>
  <c r="AA18" i="63"/>
  <c r="K204" i="32"/>
  <c r="AA12" i="63"/>
  <c r="K198" i="32"/>
  <c r="AA21" i="63"/>
  <c r="K207" i="32"/>
  <c r="O207" i="32" s="1"/>
  <c r="AA11" i="63"/>
  <c r="K197" i="32"/>
  <c r="AA16" i="63"/>
  <c r="K202" i="32"/>
  <c r="K348" i="32"/>
  <c r="AA10" i="63"/>
  <c r="K196" i="32"/>
  <c r="AA15" i="63"/>
  <c r="K201" i="32"/>
  <c r="AA20" i="63"/>
  <c r="K206" i="32"/>
  <c r="O206" i="32" s="1"/>
  <c r="E186" i="46"/>
  <c r="E300" i="46" s="1"/>
  <c r="E448" i="46" s="1"/>
  <c r="E173" i="46"/>
  <c r="E287" i="46" s="1"/>
  <c r="E436" i="46" s="1"/>
  <c r="F681" i="46"/>
  <c r="F760" i="46" s="1"/>
  <c r="F186" i="46"/>
  <c r="F300" i="46" s="1"/>
  <c r="F448" i="46" s="1"/>
  <c r="S216" i="29"/>
  <c r="I25" i="66"/>
  <c r="E137" i="71" s="1"/>
  <c r="I24" i="66"/>
  <c r="E136" i="71" s="1"/>
  <c r="AA18" i="64"/>
  <c r="AA11" i="64"/>
  <c r="AA13" i="64"/>
  <c r="AA12" i="64"/>
  <c r="AA14" i="64"/>
  <c r="AA15" i="64"/>
  <c r="AA17" i="64"/>
  <c r="AA16" i="64"/>
  <c r="AA10" i="64"/>
  <c r="AA19" i="64"/>
  <c r="F1750" i="46"/>
  <c r="F1594" i="46"/>
  <c r="F1395" i="46"/>
  <c r="F1382" i="46"/>
  <c r="F1802" i="46"/>
  <c r="F1832" i="46" s="1"/>
  <c r="F1585" i="46"/>
  <c r="F1808" i="46"/>
  <c r="F1838" i="46" s="1"/>
  <c r="F1805" i="46"/>
  <c r="F1835" i="46" s="1"/>
  <c r="F1803" i="46"/>
  <c r="F1833" i="46" s="1"/>
  <c r="F1811" i="46"/>
  <c r="F1841" i="46" s="1"/>
  <c r="F1804" i="46"/>
  <c r="F1834" i="46" s="1"/>
  <c r="F1807" i="46"/>
  <c r="F1837" i="46" s="1"/>
  <c r="F1801" i="46"/>
  <c r="F1831" i="46" s="1"/>
  <c r="F1800" i="46"/>
  <c r="F1830" i="46" s="1"/>
  <c r="F1809" i="46"/>
  <c r="F1839" i="46" s="1"/>
  <c r="F1806" i="46"/>
  <c r="F1836" i="46" s="1"/>
  <c r="D47" i="68"/>
  <c r="H37" i="68"/>
  <c r="C47" i="68"/>
  <c r="C33" i="68"/>
  <c r="C32" i="68"/>
  <c r="D45" i="68"/>
  <c r="C30" i="68"/>
  <c r="H16" i="68"/>
  <c r="H19" i="68" s="1"/>
  <c r="F20" i="68" s="1"/>
  <c r="F30" i="68" s="1"/>
  <c r="K618" i="46" l="1"/>
  <c r="K681" i="46" s="1"/>
  <c r="K760" i="46" s="1"/>
  <c r="K462" i="46"/>
  <c r="K331" i="46"/>
  <c r="K301" i="46"/>
  <c r="K449" i="46" s="1"/>
  <c r="K359" i="46"/>
  <c r="K619" i="46"/>
  <c r="K699" i="46" s="1"/>
  <c r="K463" i="46"/>
  <c r="K543" i="46" s="1"/>
  <c r="E775" i="46"/>
  <c r="E543" i="46"/>
  <c r="E682" i="46"/>
  <c r="E761" i="46" s="1"/>
  <c r="E699" i="46"/>
  <c r="K1354" i="46"/>
  <c r="K1324" i="46"/>
  <c r="K1473" i="46" s="1"/>
  <c r="K1499" i="46"/>
  <c r="K1579" i="46" s="1"/>
  <c r="K1223" i="46"/>
  <c r="O349" i="31"/>
  <c r="K1655" i="46"/>
  <c r="K1498" i="46"/>
  <c r="K1561" i="46" s="1"/>
  <c r="K1640" i="46" s="1"/>
  <c r="K1654" i="46"/>
  <c r="E1337" i="46"/>
  <c r="E1485" i="46" s="1"/>
  <c r="E1354" i="46"/>
  <c r="E1324" i="46"/>
  <c r="E1473" i="46" s="1"/>
  <c r="O146" i="31"/>
  <c r="K174" i="46"/>
  <c r="E1734" i="46"/>
  <c r="E1353" i="46"/>
  <c r="E1323" i="46"/>
  <c r="E1472" i="46" s="1"/>
  <c r="K1222" i="46"/>
  <c r="K186" i="46"/>
  <c r="E1366" i="46"/>
  <c r="F1578" i="46"/>
  <c r="E1578" i="46"/>
  <c r="F1366" i="46"/>
  <c r="E698" i="46"/>
  <c r="O268" i="32"/>
  <c r="E774" i="46"/>
  <c r="E542" i="46"/>
  <c r="K366" i="46"/>
  <c r="K394" i="46" s="1"/>
  <c r="K370" i="46"/>
  <c r="K398" i="46" s="1"/>
  <c r="K368" i="46"/>
  <c r="K396" i="46" s="1"/>
  <c r="K377" i="46"/>
  <c r="K405" i="46" s="1"/>
  <c r="K369" i="46"/>
  <c r="K397" i="46" s="1"/>
  <c r="K372" i="46"/>
  <c r="K400" i="46" s="1"/>
  <c r="K378" i="46"/>
  <c r="K406" i="46" s="1"/>
  <c r="K371" i="46"/>
  <c r="K399" i="46" s="1"/>
  <c r="F358" i="46"/>
  <c r="F330" i="46"/>
  <c r="F713" i="46"/>
  <c r="F698" i="46"/>
  <c r="E330" i="46"/>
  <c r="E317" i="46"/>
  <c r="F345" i="46"/>
  <c r="F774" i="46"/>
  <c r="F317" i="46"/>
  <c r="K382" i="46"/>
  <c r="K410" i="46" s="1"/>
  <c r="K367" i="46"/>
  <c r="K395" i="46" s="1"/>
  <c r="K385" i="46"/>
  <c r="K413" i="46" s="1"/>
  <c r="K384" i="46"/>
  <c r="K412" i="46" s="1"/>
  <c r="K376" i="46"/>
  <c r="K404" i="46" s="1"/>
  <c r="K383" i="46"/>
  <c r="K411" i="46" s="1"/>
  <c r="L394" i="46"/>
  <c r="K381" i="46"/>
  <c r="K409" i="46" s="1"/>
  <c r="F2058" i="46"/>
  <c r="L2066" i="46"/>
  <c r="F2066" i="46"/>
  <c r="F2074" i="46"/>
  <c r="L2074" i="46"/>
  <c r="F2082" i="46"/>
  <c r="E222" i="71"/>
  <c r="F153" i="70"/>
  <c r="F326" i="70"/>
  <c r="G153" i="70"/>
  <c r="G326" i="70"/>
  <c r="O269" i="32"/>
  <c r="O145" i="31"/>
  <c r="K173" i="46"/>
  <c r="I268" i="31"/>
  <c r="E2066" i="46"/>
  <c r="E2082" i="46"/>
  <c r="I265" i="31"/>
  <c r="I269" i="31"/>
  <c r="K265" i="32"/>
  <c r="O265" i="32" s="1"/>
  <c r="E326" i="70"/>
  <c r="E267" i="31"/>
  <c r="E282" i="70"/>
  <c r="E153" i="70"/>
  <c r="K228" i="31"/>
  <c r="O228" i="31" s="1"/>
  <c r="K75" i="47"/>
  <c r="O75" i="47" s="1"/>
  <c r="K83" i="47"/>
  <c r="O83" i="47" s="1"/>
  <c r="O348" i="32"/>
  <c r="O145" i="32"/>
  <c r="O198" i="32"/>
  <c r="K25" i="31"/>
  <c r="O25" i="32"/>
  <c r="O400" i="32"/>
  <c r="O196" i="32"/>
  <c r="K76" i="47"/>
  <c r="O76" i="47" s="1"/>
  <c r="O229" i="32"/>
  <c r="K82" i="47"/>
  <c r="O82" i="47" s="1"/>
  <c r="O228" i="32"/>
  <c r="O399" i="32"/>
  <c r="O197" i="32"/>
  <c r="O203" i="32"/>
  <c r="O200" i="32"/>
  <c r="K16" i="47"/>
  <c r="O16" i="47" s="1"/>
  <c r="O27" i="32"/>
  <c r="O401" i="32"/>
  <c r="O201" i="32"/>
  <c r="K21" i="47"/>
  <c r="O21" i="47" s="1"/>
  <c r="O405" i="32"/>
  <c r="O404" i="32"/>
  <c r="O403" i="32"/>
  <c r="K15" i="47"/>
  <c r="O15" i="47" s="1"/>
  <c r="O26" i="32"/>
  <c r="O408" i="32"/>
  <c r="O202" i="32"/>
  <c r="O204" i="32"/>
  <c r="O205" i="32"/>
  <c r="O199" i="32"/>
  <c r="K154" i="31"/>
  <c r="O154" i="31" s="1"/>
  <c r="O154" i="32"/>
  <c r="K74" i="47"/>
  <c r="O227" i="32"/>
  <c r="O402" i="32"/>
  <c r="K9" i="47"/>
  <c r="O9" i="47" s="1"/>
  <c r="K7" i="47"/>
  <c r="O7" i="47" s="1"/>
  <c r="K27" i="31"/>
  <c r="K14" i="47"/>
  <c r="O14" i="47" s="1"/>
  <c r="K8" i="47"/>
  <c r="K229" i="31"/>
  <c r="O229" i="31" s="1"/>
  <c r="K88" i="47"/>
  <c r="K81" i="47"/>
  <c r="O81" i="47" s="1"/>
  <c r="K22" i="47"/>
  <c r="K227" i="31"/>
  <c r="O227" i="31" s="1"/>
  <c r="K1209" i="46"/>
  <c r="O348" i="31"/>
  <c r="I23" i="66"/>
  <c r="E135" i="71" s="1"/>
  <c r="K26" i="31"/>
  <c r="K269" i="31"/>
  <c r="O269" i="31" s="1"/>
  <c r="S25" i="66"/>
  <c r="K137" i="71" s="1"/>
  <c r="F1810" i="46"/>
  <c r="F1840" i="46" s="1"/>
  <c r="G20" i="68"/>
  <c r="G30" i="68" s="1"/>
  <c r="E20" i="68"/>
  <c r="E30" i="68" s="1"/>
  <c r="G246" i="31"/>
  <c r="G247" i="31"/>
  <c r="S116" i="29"/>
  <c r="D44" i="68"/>
  <c r="D46" i="68"/>
  <c r="C44" i="68"/>
  <c r="C45" i="68"/>
  <c r="C46" i="68"/>
  <c r="C31" i="68"/>
  <c r="F22" i="31"/>
  <c r="G22" i="31"/>
  <c r="F23" i="31"/>
  <c r="G23" i="31"/>
  <c r="F24" i="31"/>
  <c r="G24" i="31"/>
  <c r="E24" i="31"/>
  <c r="E23" i="31"/>
  <c r="E22" i="31"/>
  <c r="D39" i="43"/>
  <c r="D40" i="43"/>
  <c r="D41" i="43"/>
  <c r="K698" i="46" l="1"/>
  <c r="K387" i="46"/>
  <c r="K415" i="46" s="1"/>
  <c r="K682" i="46"/>
  <c r="K761" i="46" s="1"/>
  <c r="E838" i="46"/>
  <c r="E714" i="46"/>
  <c r="K1382" i="46"/>
  <c r="K1562" i="46"/>
  <c r="K1641" i="46" s="1"/>
  <c r="K1337" i="46"/>
  <c r="K1485" i="46" s="1"/>
  <c r="K1367" i="46"/>
  <c r="K1811" i="46"/>
  <c r="K1735" i="46"/>
  <c r="K1718" i="46"/>
  <c r="K1797" i="46" s="1"/>
  <c r="K1578" i="46"/>
  <c r="K1593" i="46"/>
  <c r="K713" i="46"/>
  <c r="M23" i="32"/>
  <c r="M23" i="31" s="1"/>
  <c r="M22" i="32"/>
  <c r="M22" i="31" s="1"/>
  <c r="L23" i="32"/>
  <c r="L23" i="31" s="1"/>
  <c r="M24" i="32"/>
  <c r="M24" i="31" s="1"/>
  <c r="L24" i="32"/>
  <c r="L24" i="31" s="1"/>
  <c r="L22" i="32"/>
  <c r="L22" i="31" s="1"/>
  <c r="K775" i="46"/>
  <c r="AR21" i="63" s="1"/>
  <c r="K318" i="46"/>
  <c r="K838" i="46" s="1"/>
  <c r="R26" i="63"/>
  <c r="D510" i="38"/>
  <c r="D499" i="38"/>
  <c r="D375" i="38"/>
  <c r="J376" i="38"/>
  <c r="D365" i="38"/>
  <c r="J499" i="38"/>
  <c r="J375" i="38"/>
  <c r="J509" i="38"/>
  <c r="J365" i="38"/>
  <c r="D509" i="38"/>
  <c r="D376" i="38"/>
  <c r="J510" i="38"/>
  <c r="J241" i="38"/>
  <c r="J89" i="38"/>
  <c r="J165" i="38"/>
  <c r="J242" i="38"/>
  <c r="J155" i="38"/>
  <c r="J90" i="38"/>
  <c r="J231" i="38"/>
  <c r="J166" i="38"/>
  <c r="J79" i="38"/>
  <c r="R24" i="63"/>
  <c r="AU24" i="63"/>
  <c r="D506" i="38"/>
  <c r="D497" i="38"/>
  <c r="D371" i="38"/>
  <c r="J372" i="38"/>
  <c r="J363" i="38"/>
  <c r="D363" i="38"/>
  <c r="J505" i="38"/>
  <c r="D505" i="38"/>
  <c r="D372" i="38"/>
  <c r="J506" i="38"/>
  <c r="J497" i="38"/>
  <c r="J371" i="38"/>
  <c r="D1193" i="46"/>
  <c r="D1173" i="46"/>
  <c r="D147" i="46"/>
  <c r="D1183" i="46"/>
  <c r="J137" i="46"/>
  <c r="J147" i="46"/>
  <c r="J1183" i="46"/>
  <c r="J157" i="46"/>
  <c r="D137" i="46"/>
  <c r="D157" i="46"/>
  <c r="J1193" i="46"/>
  <c r="J1173" i="46"/>
  <c r="J237" i="38"/>
  <c r="J85" i="38"/>
  <c r="J161" i="38"/>
  <c r="J238" i="38"/>
  <c r="J229" i="38"/>
  <c r="J86" i="38"/>
  <c r="J77" i="38"/>
  <c r="J162" i="38"/>
  <c r="J153" i="38"/>
  <c r="D508" i="38"/>
  <c r="D373" i="38"/>
  <c r="D364" i="38"/>
  <c r="J374" i="38"/>
  <c r="D374" i="38"/>
  <c r="J373" i="38"/>
  <c r="J364" i="38"/>
  <c r="J507" i="38"/>
  <c r="J498" i="38"/>
  <c r="D507" i="38"/>
  <c r="D498" i="38"/>
  <c r="J508" i="38"/>
  <c r="J163" i="38"/>
  <c r="J154" i="38"/>
  <c r="J239" i="38"/>
  <c r="J230" i="38"/>
  <c r="J87" i="38"/>
  <c r="J78" i="38"/>
  <c r="J164" i="38"/>
  <c r="J240" i="38"/>
  <c r="J88" i="38"/>
  <c r="K330" i="46"/>
  <c r="K300" i="46"/>
  <c r="K448" i="46" s="1"/>
  <c r="K1366" i="46"/>
  <c r="K1336" i="46"/>
  <c r="K1484" i="46" s="1"/>
  <c r="K1353" i="46"/>
  <c r="K1323" i="46"/>
  <c r="K1472" i="46" s="1"/>
  <c r="K1734" i="46"/>
  <c r="K542" i="46"/>
  <c r="F1887" i="46"/>
  <c r="E1887" i="46"/>
  <c r="E837" i="46"/>
  <c r="O25" i="31"/>
  <c r="K774" i="46"/>
  <c r="AR20" i="63" s="1"/>
  <c r="K317" i="46"/>
  <c r="O27" i="31"/>
  <c r="O26" i="31"/>
  <c r="F837" i="46"/>
  <c r="I267" i="31"/>
  <c r="E167" i="30"/>
  <c r="Q216" i="29" s="1"/>
  <c r="E216" i="29" s="1"/>
  <c r="K267" i="32"/>
  <c r="O267" i="32" s="1"/>
  <c r="K18" i="47"/>
  <c r="O18" i="47" s="1"/>
  <c r="J143" i="46"/>
  <c r="J1153" i="46"/>
  <c r="J895" i="46"/>
  <c r="J1179" i="46"/>
  <c r="J1946" i="46"/>
  <c r="J117" i="46"/>
  <c r="D154" i="38"/>
  <c r="D87" i="38"/>
  <c r="D240" i="38"/>
  <c r="D78" i="38"/>
  <c r="D239" i="38"/>
  <c r="D164" i="38"/>
  <c r="D230" i="38"/>
  <c r="D163" i="38"/>
  <c r="D88" i="38"/>
  <c r="AU25" i="64"/>
  <c r="J21" i="34"/>
  <c r="R25" i="64"/>
  <c r="AU25" i="63"/>
  <c r="Z21" i="62"/>
  <c r="R25" i="63"/>
  <c r="J21" i="62"/>
  <c r="Z21" i="34"/>
  <c r="K22" i="32"/>
  <c r="I22" i="31"/>
  <c r="J56" i="68"/>
  <c r="D62" i="51"/>
  <c r="J62" i="51"/>
  <c r="J61" i="51"/>
  <c r="J59" i="51"/>
  <c r="D61" i="51"/>
  <c r="D59" i="51"/>
  <c r="D60" i="51"/>
  <c r="J60" i="51"/>
  <c r="J1143" i="46"/>
  <c r="J885" i="46"/>
  <c r="J133" i="46"/>
  <c r="J1936" i="46"/>
  <c r="J107" i="46"/>
  <c r="J1169" i="46"/>
  <c r="D162" i="38"/>
  <c r="D237" i="38"/>
  <c r="D229" i="38"/>
  <c r="D86" i="38"/>
  <c r="D161" i="38"/>
  <c r="D153" i="38"/>
  <c r="D85" i="38"/>
  <c r="D77" i="38"/>
  <c r="D238" i="38"/>
  <c r="J20" i="62"/>
  <c r="J20" i="34"/>
  <c r="AU24" i="64"/>
  <c r="R24" i="64"/>
  <c r="Z20" i="62"/>
  <c r="Z20" i="34"/>
  <c r="K23" i="32"/>
  <c r="I23" i="31"/>
  <c r="K11" i="47"/>
  <c r="O11" i="47" s="1"/>
  <c r="O8" i="47"/>
  <c r="K78" i="47"/>
  <c r="O78" i="47" s="1"/>
  <c r="O74" i="47"/>
  <c r="A25" i="32"/>
  <c r="K24" i="32"/>
  <c r="I24" i="31"/>
  <c r="J1956" i="46"/>
  <c r="J127" i="46"/>
  <c r="J1189" i="46"/>
  <c r="J1163" i="46"/>
  <c r="J905" i="46"/>
  <c r="J153" i="46"/>
  <c r="D241" i="38"/>
  <c r="D166" i="38"/>
  <c r="D79" i="38"/>
  <c r="D165" i="38"/>
  <c r="D90" i="38"/>
  <c r="D231" i="38"/>
  <c r="D89" i="38"/>
  <c r="D242" i="38"/>
  <c r="D155" i="38"/>
  <c r="J22" i="34"/>
  <c r="AU26" i="63"/>
  <c r="J22" i="62"/>
  <c r="Z22" i="34"/>
  <c r="AU26" i="64"/>
  <c r="R26" i="64"/>
  <c r="Z22" i="62"/>
  <c r="A26" i="32"/>
  <c r="K25" i="47"/>
  <c r="O25" i="47" s="1"/>
  <c r="O22" i="47"/>
  <c r="K92" i="47"/>
  <c r="O92" i="47" s="1"/>
  <c r="O88" i="47"/>
  <c r="K85" i="47"/>
  <c r="O85" i="47" s="1"/>
  <c r="K1810" i="46"/>
  <c r="AR20" i="64" s="1"/>
  <c r="C55" i="68"/>
  <c r="J55" i="68" s="1"/>
  <c r="J62" i="68" s="1"/>
  <c r="D56" i="68"/>
  <c r="G131" i="47"/>
  <c r="M247" i="32"/>
  <c r="M247" i="31" s="1"/>
  <c r="M131" i="47" s="1"/>
  <c r="G130" i="47"/>
  <c r="M246" i="32"/>
  <c r="M246" i="31" s="1"/>
  <c r="M130" i="47" s="1"/>
  <c r="D76" i="47"/>
  <c r="B87" i="29"/>
  <c r="D90" i="47"/>
  <c r="D23" i="47"/>
  <c r="D16" i="47"/>
  <c r="D9" i="47"/>
  <c r="B187" i="29"/>
  <c r="D83" i="47"/>
  <c r="C1948" i="46"/>
  <c r="D150" i="47"/>
  <c r="D1956" i="46"/>
  <c r="A241" i="31"/>
  <c r="A241" i="32"/>
  <c r="D123" i="47"/>
  <c r="D56" i="47"/>
  <c r="C897" i="46"/>
  <c r="D905" i="46"/>
  <c r="D1189" i="46"/>
  <c r="C1155" i="46"/>
  <c r="A229" i="32"/>
  <c r="D1163" i="46"/>
  <c r="A39" i="32"/>
  <c r="A39" i="31"/>
  <c r="A229" i="31"/>
  <c r="D153" i="46"/>
  <c r="D127" i="46"/>
  <c r="C119" i="46"/>
  <c r="A27" i="31"/>
  <c r="D82" i="47"/>
  <c r="B86" i="29"/>
  <c r="D75" i="47"/>
  <c r="B186" i="29"/>
  <c r="D89" i="47"/>
  <c r="D22" i="47"/>
  <c r="D15" i="47"/>
  <c r="D8" i="47"/>
  <c r="C1938" i="46"/>
  <c r="D1946" i="46"/>
  <c r="A240" i="31"/>
  <c r="A240" i="32"/>
  <c r="D149" i="47"/>
  <c r="D122" i="47"/>
  <c r="D55" i="47"/>
  <c r="C887" i="46"/>
  <c r="D895" i="46"/>
  <c r="A38" i="31"/>
  <c r="C1145" i="46"/>
  <c r="A228" i="31"/>
  <c r="D1179" i="46"/>
  <c r="D1153" i="46"/>
  <c r="A228" i="32"/>
  <c r="A38" i="32"/>
  <c r="C109" i="46"/>
  <c r="D143" i="46"/>
  <c r="D117" i="46"/>
  <c r="A27" i="32"/>
  <c r="A26" i="31"/>
  <c r="G44" i="31"/>
  <c r="G45" i="31"/>
  <c r="D88" i="47"/>
  <c r="D21" i="47"/>
  <c r="D14" i="47"/>
  <c r="D7" i="47"/>
  <c r="B185" i="29"/>
  <c r="D81" i="47"/>
  <c r="D74" i="47"/>
  <c r="B85" i="29"/>
  <c r="D148" i="47"/>
  <c r="D121" i="47"/>
  <c r="C1928" i="46"/>
  <c r="D1936" i="46"/>
  <c r="A239" i="31"/>
  <c r="A239" i="32"/>
  <c r="D54" i="47"/>
  <c r="C877" i="46"/>
  <c r="D885" i="46"/>
  <c r="A37" i="32"/>
  <c r="C1135" i="46"/>
  <c r="D1169" i="46"/>
  <c r="A37" i="31"/>
  <c r="D1143" i="46"/>
  <c r="A227" i="31"/>
  <c r="A227" i="32"/>
  <c r="D133" i="46"/>
  <c r="D107" i="46"/>
  <c r="C99" i="46"/>
  <c r="A25" i="31"/>
  <c r="C52" i="68"/>
  <c r="J52" i="68" s="1"/>
  <c r="J59" i="68" s="1"/>
  <c r="C54" i="68"/>
  <c r="J54" i="68" s="1"/>
  <c r="J61" i="68" s="1"/>
  <c r="C53" i="68"/>
  <c r="J53" i="68" s="1"/>
  <c r="J60" i="68" s="1"/>
  <c r="E14" i="67"/>
  <c r="H6" i="67"/>
  <c r="K1594" i="46" l="1"/>
  <c r="K714" i="46"/>
  <c r="K1888" i="46"/>
  <c r="K1395" i="46"/>
  <c r="K1750" i="46"/>
  <c r="AR21" i="64"/>
  <c r="K1841" i="46"/>
  <c r="K1887" i="46"/>
  <c r="K837" i="46"/>
  <c r="M133" i="47"/>
  <c r="E247" i="31"/>
  <c r="I247" i="31" s="1"/>
  <c r="E246" i="31"/>
  <c r="I246" i="31" s="1"/>
  <c r="O22" i="32"/>
  <c r="K22" i="31"/>
  <c r="O24" i="32"/>
  <c r="K24" i="31"/>
  <c r="O23" i="32"/>
  <c r="K23" i="31"/>
  <c r="K1840" i="46"/>
  <c r="D55" i="68"/>
  <c r="D62" i="68" s="1"/>
  <c r="G133" i="47"/>
  <c r="G63" i="47"/>
  <c r="G157" i="47" s="1"/>
  <c r="M44" i="32"/>
  <c r="M44" i="31" s="1"/>
  <c r="M63" i="47" s="1"/>
  <c r="G64" i="47"/>
  <c r="G158" i="47" s="1"/>
  <c r="M45" i="32"/>
  <c r="M45" i="31" s="1"/>
  <c r="M64" i="47" s="1"/>
  <c r="M158" i="47" s="1"/>
  <c r="D177" i="30"/>
  <c r="D423" i="30"/>
  <c r="D478" i="30"/>
  <c r="D462" i="30"/>
  <c r="D264" i="30"/>
  <c r="D173" i="30"/>
  <c r="D319" i="30"/>
  <c r="D303" i="30"/>
  <c r="D262" i="30"/>
  <c r="D171" i="30"/>
  <c r="D301" i="30"/>
  <c r="D317" i="30"/>
  <c r="D302" i="30"/>
  <c r="D172" i="30"/>
  <c r="D318" i="30"/>
  <c r="D263" i="30"/>
  <c r="D178" i="30"/>
  <c r="D424" i="30"/>
  <c r="D479" i="30"/>
  <c r="D463" i="30"/>
  <c r="D176" i="30"/>
  <c r="D422" i="30"/>
  <c r="D477" i="30"/>
  <c r="D461" i="30"/>
  <c r="D52" i="68"/>
  <c r="D59" i="68" s="1"/>
  <c r="D53" i="68"/>
  <c r="D60" i="68" s="1"/>
  <c r="D54" i="68"/>
  <c r="D61" i="68" s="1"/>
  <c r="C61" i="68"/>
  <c r="C59" i="68"/>
  <c r="H30" i="68"/>
  <c r="C62" i="68"/>
  <c r="C60" i="68"/>
  <c r="O23" i="31" l="1"/>
  <c r="O22" i="31"/>
  <c r="O24" i="31"/>
  <c r="E131" i="47"/>
  <c r="I131" i="47" s="1"/>
  <c r="M244" i="70"/>
  <c r="G244" i="70"/>
  <c r="K247" i="32"/>
  <c r="K246" i="32"/>
  <c r="O246" i="32" s="1"/>
  <c r="E130" i="47"/>
  <c r="I130" i="47" s="1"/>
  <c r="M66" i="47"/>
  <c r="M71" i="70" s="1"/>
  <c r="M157" i="47"/>
  <c r="G66" i="47"/>
  <c r="E19" i="29"/>
  <c r="F942" i="46"/>
  <c r="G942" i="46"/>
  <c r="E22" i="29"/>
  <c r="E23" i="29"/>
  <c r="G71" i="70" l="1"/>
  <c r="E133" i="47"/>
  <c r="E244" i="70" s="1"/>
  <c r="O247" i="32"/>
  <c r="M160" i="47"/>
  <c r="K516" i="38" s="1"/>
  <c r="E945" i="46"/>
  <c r="E955" i="46" s="1"/>
  <c r="E110" i="70" s="1"/>
  <c r="E942" i="46"/>
  <c r="E21" i="65" s="1"/>
  <c r="E946" i="46"/>
  <c r="E956" i="46" s="1"/>
  <c r="E111" i="70" s="1"/>
  <c r="K946" i="46"/>
  <c r="G160" i="47"/>
  <c r="E516" i="38" s="1"/>
  <c r="G943" i="46"/>
  <c r="G944" i="46"/>
  <c r="G945" i="46"/>
  <c r="G946" i="46"/>
  <c r="F945" i="46"/>
  <c r="F946" i="46"/>
  <c r="F943" i="46"/>
  <c r="F944" i="46"/>
  <c r="F952" i="46"/>
  <c r="G952" i="46"/>
  <c r="M39" i="70" l="1"/>
  <c r="G39" i="70"/>
  <c r="E25" i="65"/>
  <c r="E172" i="38"/>
  <c r="I133" i="47"/>
  <c r="I18" i="60"/>
  <c r="E119" i="71" s="1"/>
  <c r="G63" i="31"/>
  <c r="M63" i="32" s="1"/>
  <c r="M1031" i="46" s="1"/>
  <c r="G107" i="70"/>
  <c r="F63" i="31"/>
  <c r="L63" i="32" s="1"/>
  <c r="L1006" i="46" s="1"/>
  <c r="F107" i="70"/>
  <c r="E24" i="65"/>
  <c r="E952" i="46"/>
  <c r="K956" i="46"/>
  <c r="K111" i="70" s="1"/>
  <c r="O25" i="65"/>
  <c r="I24" i="65"/>
  <c r="E39" i="71" s="1"/>
  <c r="E66" i="31"/>
  <c r="I25" i="65"/>
  <c r="E40" i="71" s="1"/>
  <c r="E67" i="31"/>
  <c r="F955" i="46"/>
  <c r="G953" i="46"/>
  <c r="F954" i="46"/>
  <c r="G956" i="46"/>
  <c r="F953" i="46"/>
  <c r="G955" i="46"/>
  <c r="F956" i="46"/>
  <c r="G954" i="46"/>
  <c r="G948" i="46"/>
  <c r="F948" i="46"/>
  <c r="N114" i="67"/>
  <c r="C114" i="67"/>
  <c r="D105" i="67"/>
  <c r="D98" i="67"/>
  <c r="D99" i="67" s="1"/>
  <c r="D91" i="67"/>
  <c r="D92" i="67" s="1"/>
  <c r="N37" i="67"/>
  <c r="Q37" i="67" s="1"/>
  <c r="C37" i="67"/>
  <c r="F37" i="67" s="1"/>
  <c r="N36" i="67"/>
  <c r="Q36" i="67" s="1"/>
  <c r="C36" i="67"/>
  <c r="F36" i="67" s="1"/>
  <c r="Q27" i="67"/>
  <c r="Q26" i="67"/>
  <c r="F26" i="67"/>
  <c r="Q25" i="67"/>
  <c r="Q24" i="67"/>
  <c r="F24" i="67"/>
  <c r="Q23" i="67"/>
  <c r="F23" i="67"/>
  <c r="N17" i="67"/>
  <c r="D17" i="67"/>
  <c r="N16" i="67"/>
  <c r="D16" i="67"/>
  <c r="N15" i="67"/>
  <c r="D15" i="67"/>
  <c r="N14" i="67"/>
  <c r="D14" i="67"/>
  <c r="N13" i="67"/>
  <c r="E13" i="67"/>
  <c r="D13" i="67"/>
  <c r="N12" i="67"/>
  <c r="E12" i="67"/>
  <c r="D12" i="67"/>
  <c r="P9" i="67"/>
  <c r="Q8" i="67" s="1"/>
  <c r="E9" i="67"/>
  <c r="F9" i="67" s="1"/>
  <c r="T8" i="67"/>
  <c r="O80" i="67" s="1"/>
  <c r="S8" i="67"/>
  <c r="H8" i="67"/>
  <c r="F8" i="67"/>
  <c r="T7" i="67"/>
  <c r="O97" i="67" s="1"/>
  <c r="O98" i="67" s="1"/>
  <c r="S7" i="67"/>
  <c r="H7" i="67"/>
  <c r="F7" i="67"/>
  <c r="T6" i="67"/>
  <c r="O66" i="67" s="1"/>
  <c r="S6" i="67"/>
  <c r="T7" i="52"/>
  <c r="T8" i="52"/>
  <c r="T6" i="52"/>
  <c r="P12" i="67" l="1"/>
  <c r="C35" i="67"/>
  <c r="P13" i="67"/>
  <c r="O15" i="67"/>
  <c r="P14" i="67"/>
  <c r="F1006" i="46"/>
  <c r="L1015" i="46"/>
  <c r="E292" i="71"/>
  <c r="F1015" i="46"/>
  <c r="F1023" i="46"/>
  <c r="L1031" i="46"/>
  <c r="L1023" i="46"/>
  <c r="F1031" i="46"/>
  <c r="G67" i="31"/>
  <c r="M67" i="32" s="1"/>
  <c r="G111" i="70"/>
  <c r="F67" i="31"/>
  <c r="L67" i="32" s="1"/>
  <c r="F111" i="70"/>
  <c r="G1031" i="46"/>
  <c r="G1006" i="46"/>
  <c r="M1023" i="46"/>
  <c r="M1015" i="46"/>
  <c r="G1015" i="46"/>
  <c r="M1006" i="46"/>
  <c r="G1023" i="46"/>
  <c r="G66" i="31"/>
  <c r="M66" i="32" s="1"/>
  <c r="G110" i="70"/>
  <c r="F66" i="31"/>
  <c r="L66" i="32" s="1"/>
  <c r="F110" i="70"/>
  <c r="F65" i="31"/>
  <c r="L65" i="32" s="1"/>
  <c r="F109" i="70"/>
  <c r="G65" i="31"/>
  <c r="M65" i="32" s="1"/>
  <c r="G109" i="70"/>
  <c r="G64" i="31"/>
  <c r="M64" i="32" s="1"/>
  <c r="G108" i="70"/>
  <c r="F64" i="31"/>
  <c r="L64" i="32" s="1"/>
  <c r="F108" i="70"/>
  <c r="E63" i="31"/>
  <c r="E1006" i="46" s="1"/>
  <c r="E107" i="70"/>
  <c r="K66" i="32"/>
  <c r="K67" i="32"/>
  <c r="I21" i="65"/>
  <c r="E36" i="71" s="1"/>
  <c r="K67" i="31"/>
  <c r="O67" i="31" s="1"/>
  <c r="S25" i="65"/>
  <c r="K40" i="71" s="1"/>
  <c r="C61" i="67"/>
  <c r="C84" i="67" s="1"/>
  <c r="C44" i="67"/>
  <c r="C91" i="67" s="1"/>
  <c r="O90" i="67"/>
  <c r="O91" i="67" s="1"/>
  <c r="O92" i="67" s="1"/>
  <c r="O16" i="67"/>
  <c r="O104" i="67"/>
  <c r="O105" i="67" s="1"/>
  <c r="O106" i="67" s="1"/>
  <c r="O17" i="67"/>
  <c r="N35" i="67"/>
  <c r="N38" i="67" s="1"/>
  <c r="O37" i="67" s="1"/>
  <c r="O73" i="67"/>
  <c r="O76" i="67" s="1"/>
  <c r="O14" i="67"/>
  <c r="F958" i="46"/>
  <c r="G958" i="46"/>
  <c r="G2009" i="46"/>
  <c r="G2047" i="46" s="1"/>
  <c r="F2009" i="46"/>
  <c r="D106" i="67"/>
  <c r="D100" i="67"/>
  <c r="D93" i="67"/>
  <c r="O99" i="67"/>
  <c r="O67" i="67"/>
  <c r="O69" i="67"/>
  <c r="O74" i="67"/>
  <c r="O81" i="67"/>
  <c r="O83" i="67"/>
  <c r="C38" i="67"/>
  <c r="D35" i="67" s="1"/>
  <c r="F35" i="67"/>
  <c r="N61" i="67"/>
  <c r="N59" i="67"/>
  <c r="N57" i="67"/>
  <c r="N54" i="67"/>
  <c r="N52" i="67"/>
  <c r="N50" i="67"/>
  <c r="N97" i="67" s="1"/>
  <c r="N47" i="67"/>
  <c r="N45" i="67"/>
  <c r="N43" i="67"/>
  <c r="N62" i="67"/>
  <c r="N60" i="67"/>
  <c r="N58" i="67"/>
  <c r="N55" i="67"/>
  <c r="N53" i="67"/>
  <c r="N51" i="67"/>
  <c r="N98" i="67" s="1"/>
  <c r="N48" i="67"/>
  <c r="N46" i="67"/>
  <c r="N44" i="67"/>
  <c r="N91" i="67" s="1"/>
  <c r="C46" i="67"/>
  <c r="C69" i="67" s="1"/>
  <c r="C48" i="67"/>
  <c r="C71" i="67" s="1"/>
  <c r="C51" i="67"/>
  <c r="C74" i="67" s="1"/>
  <c r="C53" i="67"/>
  <c r="C76" i="67" s="1"/>
  <c r="C55" i="67"/>
  <c r="C58" i="67"/>
  <c r="C105" i="67" s="1"/>
  <c r="C60" i="67"/>
  <c r="C83" i="67" s="1"/>
  <c r="C62" i="67"/>
  <c r="Q6" i="67"/>
  <c r="Q9" i="67"/>
  <c r="O12" i="67"/>
  <c r="Q7" i="67"/>
  <c r="O13" i="67"/>
  <c r="C43" i="67"/>
  <c r="C45" i="67"/>
  <c r="C92" i="67" s="1"/>
  <c r="C47" i="67"/>
  <c r="C70" i="67" s="1"/>
  <c r="C50" i="67"/>
  <c r="C52" i="67"/>
  <c r="C99" i="67" s="1"/>
  <c r="C54" i="67"/>
  <c r="C77" i="67" s="1"/>
  <c r="C57" i="67"/>
  <c r="C59" i="67"/>
  <c r="F6" i="67"/>
  <c r="N104" i="67" l="1"/>
  <c r="N90" i="67"/>
  <c r="C67" i="67"/>
  <c r="F285" i="70"/>
  <c r="F2047" i="46"/>
  <c r="G979" i="46"/>
  <c r="G996" i="46"/>
  <c r="F979" i="46"/>
  <c r="F996" i="46"/>
  <c r="G285" i="70"/>
  <c r="G2030" i="46"/>
  <c r="O67" i="32"/>
  <c r="I67" i="31"/>
  <c r="I66" i="31"/>
  <c r="O66" i="32"/>
  <c r="I63" i="31"/>
  <c r="G68" i="31"/>
  <c r="M68" i="32" s="1"/>
  <c r="G112" i="70"/>
  <c r="E1031" i="46"/>
  <c r="K63" i="32"/>
  <c r="O63" i="32" s="1"/>
  <c r="E1023" i="46"/>
  <c r="F68" i="31"/>
  <c r="L68" i="32" s="1"/>
  <c r="F112" i="70"/>
  <c r="E1015" i="46"/>
  <c r="D37" i="67"/>
  <c r="N105" i="67"/>
  <c r="N66" i="67"/>
  <c r="C66" i="67"/>
  <c r="C90" i="67"/>
  <c r="C68" i="67"/>
  <c r="N76" i="67"/>
  <c r="C104" i="67"/>
  <c r="C80" i="67"/>
  <c r="Q35" i="67"/>
  <c r="C81" i="67"/>
  <c r="N83" i="67"/>
  <c r="N69" i="67"/>
  <c r="N73" i="67"/>
  <c r="N80" i="67"/>
  <c r="C97" i="67"/>
  <c r="C73" i="67"/>
  <c r="C98" i="67"/>
  <c r="G270" i="31"/>
  <c r="M270" i="32" s="1"/>
  <c r="F270" i="31"/>
  <c r="F52" i="31"/>
  <c r="L52" i="32" s="1"/>
  <c r="F988" i="46"/>
  <c r="F991" i="46" s="1"/>
  <c r="G988" i="46"/>
  <c r="G991" i="46" s="1"/>
  <c r="G52" i="31"/>
  <c r="M52" i="32" s="1"/>
  <c r="G2039" i="46"/>
  <c r="G2042" i="46" s="1"/>
  <c r="G253" i="31" s="1"/>
  <c r="M253" i="32" s="1"/>
  <c r="M2037" i="46" s="1"/>
  <c r="M2042" i="46" s="1"/>
  <c r="M253" i="31" s="1"/>
  <c r="G2018" i="46"/>
  <c r="G254" i="31"/>
  <c r="M254" i="32" s="1"/>
  <c r="F2018" i="46"/>
  <c r="F254" i="31"/>
  <c r="F2039" i="46"/>
  <c r="F2042" i="46" s="1"/>
  <c r="F253" i="31" s="1"/>
  <c r="L253" i="32" s="1"/>
  <c r="L2037" i="46" s="1"/>
  <c r="L2042" i="46" s="1"/>
  <c r="L253" i="31" s="1"/>
  <c r="F2030" i="46"/>
  <c r="D107" i="67"/>
  <c r="C106" i="67"/>
  <c r="C100" i="67"/>
  <c r="D101" i="67"/>
  <c r="D94" i="67"/>
  <c r="C93" i="67"/>
  <c r="O107" i="67"/>
  <c r="N106" i="67"/>
  <c r="N74" i="67"/>
  <c r="O77" i="67"/>
  <c r="N77" i="67" s="1"/>
  <c r="O75" i="67"/>
  <c r="O93" i="67"/>
  <c r="N92" i="67"/>
  <c r="O100" i="67"/>
  <c r="N99" i="67"/>
  <c r="N81" i="67"/>
  <c r="O84" i="67"/>
  <c r="N84" i="67" s="1"/>
  <c r="O82" i="67"/>
  <c r="N67" i="67"/>
  <c r="O70" i="67"/>
  <c r="N70" i="67" s="1"/>
  <c r="O68" i="67"/>
  <c r="C82" i="67"/>
  <c r="C85" i="67"/>
  <c r="C78" i="67"/>
  <c r="C75" i="67"/>
  <c r="O36" i="67"/>
  <c r="D36" i="67"/>
  <c r="D38" i="67" s="1"/>
  <c r="O35" i="67"/>
  <c r="E478" i="38" l="1"/>
  <c r="E344" i="38"/>
  <c r="E438" i="38"/>
  <c r="E304" i="38"/>
  <c r="E447" i="38"/>
  <c r="E313" i="38"/>
  <c r="E419" i="38"/>
  <c r="E285" i="38"/>
  <c r="E468" i="38"/>
  <c r="E334" i="38"/>
  <c r="L254" i="32"/>
  <c r="L270" i="32"/>
  <c r="G51" i="31"/>
  <c r="M51" i="32" s="1"/>
  <c r="M986" i="46" s="1"/>
  <c r="M991" i="46" s="1"/>
  <c r="M51" i="31" s="1"/>
  <c r="F51" i="31"/>
  <c r="L51" i="32" s="1"/>
  <c r="L986" i="46" s="1"/>
  <c r="L991" i="46" s="1"/>
  <c r="L51" i="31" s="1"/>
  <c r="D108" i="67"/>
  <c r="C107" i="67"/>
  <c r="C101" i="67"/>
  <c r="D102" i="67"/>
  <c r="C102" i="67" s="1"/>
  <c r="C94" i="67"/>
  <c r="D95" i="67"/>
  <c r="C95" i="67" s="1"/>
  <c r="N82" i="67"/>
  <c r="O85" i="67"/>
  <c r="N85" i="67" s="1"/>
  <c r="N100" i="67"/>
  <c r="O101" i="67"/>
  <c r="N68" i="67"/>
  <c r="O71" i="67"/>
  <c r="N71" i="67" s="1"/>
  <c r="N93" i="67"/>
  <c r="O94" i="67"/>
  <c r="N75" i="67"/>
  <c r="O78" i="67"/>
  <c r="N78" i="67" s="1"/>
  <c r="N107" i="67"/>
  <c r="O108" i="67"/>
  <c r="C87" i="67"/>
  <c r="O38" i="67"/>
  <c r="N87" i="67" l="1"/>
  <c r="C108" i="67"/>
  <c r="D109" i="67"/>
  <c r="C109" i="67" s="1"/>
  <c r="O102" i="67"/>
  <c r="N102" i="67" s="1"/>
  <c r="N101" i="67"/>
  <c r="O109" i="67"/>
  <c r="N109" i="67" s="1"/>
  <c r="N108" i="67"/>
  <c r="O95" i="67"/>
  <c r="N95" i="67" s="1"/>
  <c r="N94" i="67"/>
  <c r="N111" i="67" l="1"/>
  <c r="N116" i="67" s="1"/>
  <c r="N117" i="67" s="1"/>
  <c r="C111" i="67"/>
  <c r="C112" i="67" s="1"/>
  <c r="C116" i="67" l="1"/>
  <c r="C117" i="67" s="1"/>
  <c r="F133" i="32"/>
  <c r="F180" i="46" s="1"/>
  <c r="G133" i="32"/>
  <c r="G180" i="46" s="1"/>
  <c r="E133" i="32"/>
  <c r="N17" i="52"/>
  <c r="N16" i="52"/>
  <c r="P13" i="52" s="1"/>
  <c r="N15" i="52"/>
  <c r="N14" i="52"/>
  <c r="N13" i="52"/>
  <c r="N12" i="52"/>
  <c r="S8" i="52"/>
  <c r="S7" i="52"/>
  <c r="S6" i="52"/>
  <c r="H7" i="52"/>
  <c r="H8" i="52"/>
  <c r="H6" i="52"/>
  <c r="E14" i="52"/>
  <c r="E13" i="52"/>
  <c r="E12" i="52"/>
  <c r="D16" i="52"/>
  <c r="D17" i="52"/>
  <c r="D15" i="52"/>
  <c r="D13" i="52"/>
  <c r="D14" i="52"/>
  <c r="D12" i="52"/>
  <c r="C53" i="52"/>
  <c r="F53" i="52" s="1"/>
  <c r="N54" i="52"/>
  <c r="Q54" i="52" s="1"/>
  <c r="N53" i="52"/>
  <c r="Q53" i="52" s="1"/>
  <c r="P9" i="52"/>
  <c r="Q6" i="52" s="1"/>
  <c r="F324" i="46" l="1"/>
  <c r="F831" i="46" s="1"/>
  <c r="F840" i="46" s="1"/>
  <c r="F768" i="46"/>
  <c r="G324" i="46"/>
  <c r="G831" i="46" s="1"/>
  <c r="G840" i="46" s="1"/>
  <c r="G768" i="46"/>
  <c r="Q9" i="52"/>
  <c r="E180" i="46"/>
  <c r="I133" i="32"/>
  <c r="O15" i="52"/>
  <c r="P14" i="52"/>
  <c r="F214" i="32"/>
  <c r="F167" i="32"/>
  <c r="E214" i="32"/>
  <c r="E167" i="32"/>
  <c r="F52" i="52"/>
  <c r="G214" i="32"/>
  <c r="G167" i="32"/>
  <c r="C65" i="52"/>
  <c r="C63" i="52"/>
  <c r="C64" i="52"/>
  <c r="N75" i="52"/>
  <c r="N74" i="52"/>
  <c r="N64" i="52"/>
  <c r="N77" i="52"/>
  <c r="N68" i="52"/>
  <c r="N60" i="52"/>
  <c r="N76" i="52"/>
  <c r="N71" i="52"/>
  <c r="N67" i="52"/>
  <c r="N62" i="52"/>
  <c r="N79" i="52"/>
  <c r="N70" i="52"/>
  <c r="N65" i="52"/>
  <c r="N61" i="52"/>
  <c r="N78" i="52"/>
  <c r="N69" i="52"/>
  <c r="N72" i="52"/>
  <c r="N63" i="52"/>
  <c r="C76" i="52"/>
  <c r="C79" i="52"/>
  <c r="C60" i="52"/>
  <c r="C77" i="52"/>
  <c r="C71" i="52"/>
  <c r="C69" i="52"/>
  <c r="C75" i="52"/>
  <c r="C72" i="52"/>
  <c r="C67" i="52"/>
  <c r="C62" i="52"/>
  <c r="C78" i="52"/>
  <c r="C70" i="52"/>
  <c r="C61" i="52"/>
  <c r="C74" i="52"/>
  <c r="C68" i="52"/>
  <c r="Q8" i="52"/>
  <c r="O12" i="52"/>
  <c r="O17" i="52"/>
  <c r="O14" i="52"/>
  <c r="P12" i="52"/>
  <c r="O16" i="52"/>
  <c r="O13" i="52"/>
  <c r="N52" i="52"/>
  <c r="Q52" i="52" s="1"/>
  <c r="C54" i="52"/>
  <c r="F54" i="52" s="1"/>
  <c r="Q7" i="52"/>
  <c r="G841" i="46" l="1"/>
  <c r="F841" i="46"/>
  <c r="E768" i="46"/>
  <c r="I167" i="32"/>
  <c r="I214" i="32"/>
  <c r="N55" i="52"/>
  <c r="O52" i="52" s="1"/>
  <c r="C55" i="52"/>
  <c r="D53" i="52" l="1"/>
  <c r="D52" i="52"/>
  <c r="O53" i="52"/>
  <c r="O54" i="52"/>
  <c r="D54" i="52"/>
  <c r="O55" i="52" l="1"/>
  <c r="D55" i="52"/>
  <c r="E9" i="52" l="1"/>
  <c r="F9" i="52" l="1"/>
  <c r="F6" i="52"/>
  <c r="F7" i="52"/>
  <c r="F8" i="52"/>
  <c r="D38" i="43"/>
  <c r="D11" i="72" s="1"/>
  <c r="D37" i="43"/>
  <c r="D10" i="72" s="1"/>
  <c r="D36" i="43"/>
  <c r="D9" i="72" s="1"/>
  <c r="J1080" i="46" l="1"/>
  <c r="J1057" i="46"/>
  <c r="J44" i="46"/>
  <c r="J21" i="46"/>
  <c r="D1076" i="46"/>
  <c r="D1053" i="46"/>
  <c r="D40" i="46"/>
  <c r="D17" i="46"/>
  <c r="D1080" i="46"/>
  <c r="D1057" i="46"/>
  <c r="D44" i="46"/>
  <c r="D21" i="46"/>
  <c r="J1076" i="46"/>
  <c r="J1053" i="46"/>
  <c r="J40" i="46"/>
  <c r="J17" i="46"/>
  <c r="J1077" i="46"/>
  <c r="J1054" i="46"/>
  <c r="J41" i="46"/>
  <c r="J18" i="46"/>
  <c r="D1081" i="46"/>
  <c r="D1077" i="46"/>
  <c r="D1054" i="46"/>
  <c r="D41" i="46"/>
  <c r="D18" i="46"/>
  <c r="D1058" i="46"/>
  <c r="D45" i="46"/>
  <c r="D22" i="46"/>
  <c r="J1081" i="46"/>
  <c r="J1058" i="46"/>
  <c r="J45" i="46"/>
  <c r="J22" i="46"/>
  <c r="J1082" i="46"/>
  <c r="J1059" i="46"/>
  <c r="J46" i="46"/>
  <c r="J23" i="46"/>
  <c r="D1082" i="46"/>
  <c r="D1059" i="46"/>
  <c r="D46" i="46"/>
  <c r="D23" i="46"/>
  <c r="D1078" i="46"/>
  <c r="J1078" i="46"/>
  <c r="J1055" i="46"/>
  <c r="J42" i="46"/>
  <c r="J19" i="46"/>
  <c r="D1055" i="46"/>
  <c r="D42" i="46"/>
  <c r="D19" i="46"/>
  <c r="D391" i="38"/>
  <c r="D257" i="38"/>
  <c r="J391" i="38"/>
  <c r="J257" i="38"/>
  <c r="J104" i="38"/>
  <c r="J180" i="38"/>
  <c r="J28" i="38"/>
  <c r="D389" i="38"/>
  <c r="D255" i="38"/>
  <c r="J389" i="38"/>
  <c r="J255" i="38"/>
  <c r="J178" i="38"/>
  <c r="J26" i="38"/>
  <c r="J102" i="38"/>
  <c r="D390" i="38"/>
  <c r="D256" i="38"/>
  <c r="J390" i="38"/>
  <c r="J256" i="38"/>
  <c r="J179" i="38"/>
  <c r="J27" i="38"/>
  <c r="J103" i="38"/>
  <c r="J1114" i="46"/>
  <c r="J1090" i="46"/>
  <c r="J1044" i="46"/>
  <c r="J90" i="46"/>
  <c r="J66" i="46"/>
  <c r="J31" i="46"/>
  <c r="J1118" i="46"/>
  <c r="J1094" i="46"/>
  <c r="J1048" i="46"/>
  <c r="J94" i="46"/>
  <c r="J70" i="46"/>
  <c r="J35" i="46"/>
  <c r="J1126" i="46"/>
  <c r="J1102" i="46"/>
  <c r="J1067" i="46"/>
  <c r="J78" i="46"/>
  <c r="J54" i="46"/>
  <c r="J8" i="46"/>
  <c r="J1130" i="46"/>
  <c r="J1106" i="46"/>
  <c r="J1071" i="46"/>
  <c r="J82" i="46"/>
  <c r="J58" i="46"/>
  <c r="J12" i="46"/>
  <c r="D1067" i="46"/>
  <c r="D1071" i="46"/>
  <c r="D31" i="46"/>
  <c r="D35" i="46"/>
  <c r="D180" i="38"/>
  <c r="D104" i="38"/>
  <c r="D28" i="38"/>
  <c r="J1129" i="46"/>
  <c r="J1105" i="46"/>
  <c r="J1070" i="46"/>
  <c r="J81" i="46"/>
  <c r="J57" i="46"/>
  <c r="J11" i="46"/>
  <c r="J1113" i="46"/>
  <c r="J1089" i="46"/>
  <c r="J1043" i="46"/>
  <c r="J89" i="46"/>
  <c r="J65" i="46"/>
  <c r="J30" i="46"/>
  <c r="J1117" i="46"/>
  <c r="J1093" i="46"/>
  <c r="J1047" i="46"/>
  <c r="J93" i="46"/>
  <c r="J69" i="46"/>
  <c r="J34" i="46"/>
  <c r="J1125" i="46"/>
  <c r="J1101" i="46"/>
  <c r="J1066" i="46"/>
  <c r="J77" i="46"/>
  <c r="J53" i="46"/>
  <c r="J7" i="46"/>
  <c r="D34" i="46"/>
  <c r="D1066" i="46"/>
  <c r="D1070" i="46"/>
  <c r="D30" i="46"/>
  <c r="D179" i="38"/>
  <c r="D103" i="38"/>
  <c r="D27" i="38"/>
  <c r="J1124" i="46"/>
  <c r="J1100" i="46"/>
  <c r="J1065" i="46"/>
  <c r="J76" i="46"/>
  <c r="J52" i="46"/>
  <c r="J6" i="46"/>
  <c r="J1128" i="46"/>
  <c r="J1104" i="46"/>
  <c r="J1069" i="46"/>
  <c r="J80" i="46"/>
  <c r="J56" i="46"/>
  <c r="J10" i="46"/>
  <c r="J1112" i="46"/>
  <c r="J1088" i="46"/>
  <c r="J1042" i="46"/>
  <c r="J88" i="46"/>
  <c r="J64" i="46"/>
  <c r="J29" i="46"/>
  <c r="J1116" i="46"/>
  <c r="J1092" i="46"/>
  <c r="J1046" i="46"/>
  <c r="J92" i="46"/>
  <c r="J68" i="46"/>
  <c r="J33" i="46"/>
  <c r="D29" i="46"/>
  <c r="D33" i="46"/>
  <c r="D1065" i="46"/>
  <c r="D1069" i="46"/>
  <c r="D178" i="38"/>
  <c r="D102" i="38"/>
  <c r="D26" i="38"/>
  <c r="C10" i="60"/>
  <c r="D115" i="47"/>
  <c r="C101" i="47"/>
  <c r="C34" i="47"/>
  <c r="D142" i="47"/>
  <c r="D105" i="47"/>
  <c r="D48" i="47"/>
  <c r="D18" i="47"/>
  <c r="D85" i="47"/>
  <c r="C80" i="47"/>
  <c r="D38" i="47"/>
  <c r="C13" i="47"/>
  <c r="D1113" i="46"/>
  <c r="D1089" i="46"/>
  <c r="D65" i="46"/>
  <c r="D1117" i="46"/>
  <c r="D1093" i="46"/>
  <c r="D69" i="46"/>
  <c r="D1101" i="46"/>
  <c r="D77" i="46"/>
  <c r="D53" i="46"/>
  <c r="D1105" i="46"/>
  <c r="D81" i="46"/>
  <c r="D57" i="46"/>
  <c r="D1047" i="46"/>
  <c r="A225" i="32"/>
  <c r="D1125" i="46"/>
  <c r="A243" i="31"/>
  <c r="A243" i="32"/>
  <c r="D1043" i="46"/>
  <c r="A225" i="31"/>
  <c r="D1129" i="46"/>
  <c r="D7" i="46"/>
  <c r="D11" i="46"/>
  <c r="D93" i="46"/>
  <c r="A41" i="31"/>
  <c r="A41" i="32"/>
  <c r="D89" i="46"/>
  <c r="A23" i="31"/>
  <c r="A23" i="32"/>
  <c r="A237" i="31"/>
  <c r="A234" i="32"/>
  <c r="A35" i="31"/>
  <c r="A231" i="32"/>
  <c r="A32" i="31"/>
  <c r="A35" i="32"/>
  <c r="A234" i="31"/>
  <c r="A32" i="32"/>
  <c r="A231" i="31"/>
  <c r="A237" i="32"/>
  <c r="A29" i="32"/>
  <c r="A29" i="31"/>
  <c r="C9" i="60"/>
  <c r="C95" i="47"/>
  <c r="C6" i="47"/>
  <c r="D114" i="47"/>
  <c r="D99" i="47"/>
  <c r="C28" i="47"/>
  <c r="D141" i="47"/>
  <c r="D47" i="47"/>
  <c r="D32" i="47"/>
  <c r="D11" i="47"/>
  <c r="D78" i="47"/>
  <c r="C73" i="47"/>
  <c r="D1104" i="46"/>
  <c r="D80" i="46"/>
  <c r="D56" i="46"/>
  <c r="D1112" i="46"/>
  <c r="D1088" i="46"/>
  <c r="D64" i="46"/>
  <c r="D1116" i="46"/>
  <c r="D1092" i="46"/>
  <c r="D68" i="46"/>
  <c r="D1100" i="46"/>
  <c r="D76" i="46"/>
  <c r="D52" i="46"/>
  <c r="D1042" i="46"/>
  <c r="A224" i="31"/>
  <c r="D1046" i="46"/>
  <c r="A224" i="32"/>
  <c r="D1124" i="46"/>
  <c r="A242" i="31"/>
  <c r="D1128" i="46"/>
  <c r="A242" i="32"/>
  <c r="D10" i="46"/>
  <c r="D6" i="46"/>
  <c r="A40" i="32"/>
  <c r="D88" i="46"/>
  <c r="D92" i="46"/>
  <c r="A40" i="31"/>
  <c r="A22" i="31"/>
  <c r="A22" i="32"/>
  <c r="A236" i="31"/>
  <c r="A31" i="32"/>
  <c r="A230" i="32"/>
  <c r="A28" i="31"/>
  <c r="A236" i="32"/>
  <c r="A34" i="32"/>
  <c r="A233" i="31"/>
  <c r="A233" i="32"/>
  <c r="A31" i="31"/>
  <c r="A230" i="31"/>
  <c r="A28" i="32"/>
  <c r="A34" i="31"/>
  <c r="C11" i="60"/>
  <c r="D143" i="47"/>
  <c r="C107" i="47"/>
  <c r="D49" i="47"/>
  <c r="C40" i="47"/>
  <c r="D111" i="47"/>
  <c r="D92" i="47"/>
  <c r="C87" i="47"/>
  <c r="C20" i="47"/>
  <c r="D116" i="47"/>
  <c r="D44" i="47"/>
  <c r="D25" i="47"/>
  <c r="D1118" i="46"/>
  <c r="D1094" i="46"/>
  <c r="D70" i="46"/>
  <c r="D1102" i="46"/>
  <c r="D78" i="46"/>
  <c r="D54" i="46"/>
  <c r="D1106" i="46"/>
  <c r="D82" i="46"/>
  <c r="D58" i="46"/>
  <c r="D1114" i="46"/>
  <c r="D1090" i="46"/>
  <c r="D66" i="46"/>
  <c r="D1126" i="46"/>
  <c r="A244" i="31"/>
  <c r="D1044" i="46"/>
  <c r="D1130" i="46"/>
  <c r="A244" i="32"/>
  <c r="D1048" i="46"/>
  <c r="A226" i="32"/>
  <c r="A226" i="31"/>
  <c r="D8" i="46"/>
  <c r="D12" i="46"/>
  <c r="D94" i="46"/>
  <c r="A42" i="32"/>
  <c r="A42" i="31"/>
  <c r="D90" i="46"/>
  <c r="A24" i="32"/>
  <c r="A24" i="31"/>
  <c r="A36" i="31"/>
  <c r="A36" i="32"/>
  <c r="A235" i="31"/>
  <c r="A33" i="31"/>
  <c r="A30" i="32"/>
  <c r="A33" i="32"/>
  <c r="A232" i="32"/>
  <c r="A238" i="31"/>
  <c r="A235" i="32"/>
  <c r="A30" i="31"/>
  <c r="A238" i="32"/>
  <c r="A232" i="31"/>
  <c r="O2" i="60"/>
  <c r="C2" i="60"/>
  <c r="K29" i="57"/>
  <c r="K30" i="57"/>
  <c r="K31" i="57"/>
  <c r="K27" i="57"/>
  <c r="K13" i="71" s="1"/>
  <c r="K18" i="57"/>
  <c r="K17" i="57"/>
  <c r="E15" i="71" s="1"/>
  <c r="K16" i="57"/>
  <c r="E14" i="71" s="1"/>
  <c r="M2" i="66"/>
  <c r="C2" i="66"/>
  <c r="M2" i="65"/>
  <c r="C2" i="65"/>
  <c r="AF2" i="64"/>
  <c r="C2" i="64"/>
  <c r="S2" i="62"/>
  <c r="C2" i="62"/>
  <c r="AF2" i="63"/>
  <c r="C2" i="63"/>
  <c r="S2" i="34"/>
  <c r="D33" i="43"/>
  <c r="H8" i="72" s="1"/>
  <c r="D32" i="43"/>
  <c r="F8" i="72" s="1"/>
  <c r="D34" i="43"/>
  <c r="J267" i="38" s="1"/>
  <c r="D35" i="43"/>
  <c r="D402" i="38" s="1"/>
  <c r="J36" i="38" l="1"/>
  <c r="J110" i="38"/>
  <c r="J397" i="38"/>
  <c r="J190" i="38"/>
  <c r="D401" i="38"/>
  <c r="D266" i="38"/>
  <c r="D264" i="38"/>
  <c r="J113" i="38"/>
  <c r="J399" i="38"/>
  <c r="D400" i="38"/>
  <c r="D263" i="38"/>
  <c r="J114" i="38"/>
  <c r="J39" i="38"/>
  <c r="J401" i="38"/>
  <c r="J402" i="38"/>
  <c r="D268" i="38"/>
  <c r="J189" i="38"/>
  <c r="J35" i="38"/>
  <c r="J398" i="38"/>
  <c r="D86" i="1"/>
  <c r="D405" i="38"/>
  <c r="D271" i="38"/>
  <c r="I61" i="70"/>
  <c r="B61" i="70"/>
  <c r="J112" i="38"/>
  <c r="J188" i="38"/>
  <c r="D265" i="38"/>
  <c r="J266" i="38"/>
  <c r="D399" i="38"/>
  <c r="J34" i="38"/>
  <c r="J111" i="38"/>
  <c r="J187" i="38"/>
  <c r="J264" i="38"/>
  <c r="J263" i="38"/>
  <c r="D398" i="38"/>
  <c r="D267" i="38"/>
  <c r="D95" i="1"/>
  <c r="D272" i="38"/>
  <c r="D406" i="38"/>
  <c r="I234" i="70"/>
  <c r="B234" i="70"/>
  <c r="J37" i="38"/>
  <c r="J400" i="38"/>
  <c r="J265" i="38"/>
  <c r="J186" i="38"/>
  <c r="D397" i="38"/>
  <c r="J38" i="38"/>
  <c r="J115" i="38"/>
  <c r="J191" i="38"/>
  <c r="J268" i="38"/>
  <c r="L138" i="58"/>
  <c r="K338" i="71"/>
  <c r="L137" i="58"/>
  <c r="K337" i="71"/>
  <c r="K136" i="58"/>
  <c r="K15" i="71"/>
  <c r="K135" i="58"/>
  <c r="K14" i="71"/>
  <c r="J1951" i="46"/>
  <c r="J1940" i="46"/>
  <c r="J1929" i="46"/>
  <c r="J1156" i="46"/>
  <c r="J1138" i="46"/>
  <c r="J898" i="46"/>
  <c r="J880" i="46"/>
  <c r="J122" i="46"/>
  <c r="J111" i="46"/>
  <c r="J100" i="46"/>
  <c r="J1950" i="46"/>
  <c r="J1939" i="46"/>
  <c r="J1148" i="46"/>
  <c r="J1137" i="46"/>
  <c r="J890" i="46"/>
  <c r="J879" i="46"/>
  <c r="J121" i="46"/>
  <c r="J110" i="46"/>
  <c r="J1949" i="46"/>
  <c r="J1931" i="46"/>
  <c r="J1158" i="46"/>
  <c r="J1147" i="46"/>
  <c r="J1136" i="46"/>
  <c r="J900" i="46"/>
  <c r="J889" i="46"/>
  <c r="J878" i="46"/>
  <c r="J120" i="46"/>
  <c r="J102" i="46"/>
  <c r="J1941" i="46"/>
  <c r="J1930" i="46"/>
  <c r="J1157" i="46"/>
  <c r="J1146" i="46"/>
  <c r="J899" i="46"/>
  <c r="J888" i="46"/>
  <c r="J112" i="46"/>
  <c r="J101" i="46"/>
  <c r="F137" i="58"/>
  <c r="E137" i="58"/>
  <c r="D34" i="38"/>
  <c r="D188" i="38"/>
  <c r="D38" i="38"/>
  <c r="D191" i="38"/>
  <c r="D111" i="38"/>
  <c r="D110" i="38"/>
  <c r="D37" i="38"/>
  <c r="D113" i="38"/>
  <c r="D114" i="38"/>
  <c r="K134" i="58"/>
  <c r="D187" i="38"/>
  <c r="D186" i="38"/>
  <c r="D36" i="38"/>
  <c r="D189" i="38"/>
  <c r="D115" i="38"/>
  <c r="D190" i="38"/>
  <c r="J1944" i="46"/>
  <c r="J1933" i="46"/>
  <c r="J1160" i="46"/>
  <c r="J1149" i="46"/>
  <c r="J902" i="46"/>
  <c r="J891" i="46"/>
  <c r="J115" i="46"/>
  <c r="J104" i="46"/>
  <c r="J1954" i="46"/>
  <c r="J1943" i="46"/>
  <c r="J1932" i="46"/>
  <c r="J1159" i="46"/>
  <c r="J1141" i="46"/>
  <c r="J901" i="46"/>
  <c r="J883" i="46"/>
  <c r="J125" i="46"/>
  <c r="J114" i="46"/>
  <c r="J103" i="46"/>
  <c r="J1953" i="46"/>
  <c r="J1942" i="46"/>
  <c r="J1151" i="46"/>
  <c r="J1140" i="46"/>
  <c r="J893" i="46"/>
  <c r="J882" i="46"/>
  <c r="J124" i="46"/>
  <c r="J113" i="46"/>
  <c r="J1952" i="46"/>
  <c r="J1934" i="46"/>
  <c r="J1161" i="46"/>
  <c r="J1150" i="46"/>
  <c r="J1139" i="46"/>
  <c r="J903" i="46"/>
  <c r="J892" i="46"/>
  <c r="J881" i="46"/>
  <c r="J123" i="46"/>
  <c r="J105" i="46"/>
  <c r="D35" i="38"/>
  <c r="D112" i="38"/>
  <c r="D39" i="38"/>
  <c r="E136" i="58"/>
  <c r="E595" i="30" s="1"/>
  <c r="E135" i="58"/>
  <c r="K138" i="58"/>
  <c r="M138" i="58"/>
  <c r="M7" i="65"/>
  <c r="B3" i="47"/>
  <c r="B6" i="51"/>
  <c r="B6" i="68"/>
  <c r="B83" i="52"/>
  <c r="B3" i="46"/>
  <c r="B90" i="52"/>
  <c r="A1" i="51"/>
  <c r="A3" i="51"/>
  <c r="A21" i="31"/>
  <c r="A21" i="32"/>
  <c r="B21" i="67"/>
  <c r="A3" i="67"/>
  <c r="A3" i="52"/>
  <c r="B21" i="52"/>
  <c r="I8" i="60"/>
  <c r="B70" i="47"/>
  <c r="B1039" i="46"/>
  <c r="A223" i="32"/>
  <c r="A223" i="31"/>
  <c r="B84" i="52"/>
  <c r="A1" i="68"/>
  <c r="A3" i="68"/>
  <c r="L3" i="67"/>
  <c r="M21" i="67"/>
  <c r="L3" i="52"/>
  <c r="M21" i="52"/>
  <c r="D42" i="47"/>
  <c r="D36" i="47"/>
  <c r="D109" i="47"/>
  <c r="D103" i="47"/>
  <c r="D97" i="47"/>
  <c r="D30" i="47"/>
  <c r="D1952" i="46"/>
  <c r="D1942" i="46"/>
  <c r="D1932" i="46"/>
  <c r="D1954" i="46"/>
  <c r="D1953" i="46"/>
  <c r="D1943" i="46"/>
  <c r="D1933" i="46"/>
  <c r="D1944" i="46"/>
  <c r="D1934" i="46"/>
  <c r="D901" i="46"/>
  <c r="D891" i="46"/>
  <c r="D881" i="46"/>
  <c r="D903" i="46"/>
  <c r="D883" i="46"/>
  <c r="D902" i="46"/>
  <c r="D892" i="46"/>
  <c r="D882" i="46"/>
  <c r="D893" i="46"/>
  <c r="D1159" i="46"/>
  <c r="D1149" i="46"/>
  <c r="D1139" i="46"/>
  <c r="D1141" i="46"/>
  <c r="D1160" i="46"/>
  <c r="D1150" i="46"/>
  <c r="D1140" i="46"/>
  <c r="D1161" i="46"/>
  <c r="D1151" i="46"/>
  <c r="D124" i="46"/>
  <c r="D113" i="46"/>
  <c r="D105" i="46"/>
  <c r="D123" i="46"/>
  <c r="D104" i="46"/>
  <c r="D115" i="46"/>
  <c r="D103" i="46"/>
  <c r="D125" i="46"/>
  <c r="D114" i="46"/>
  <c r="D29" i="47"/>
  <c r="D41" i="47"/>
  <c r="D35" i="47"/>
  <c r="D108" i="47"/>
  <c r="D102" i="47"/>
  <c r="D96" i="47"/>
  <c r="D1940" i="46"/>
  <c r="D1930" i="46"/>
  <c r="D1951" i="46"/>
  <c r="D1941" i="46"/>
  <c r="D1931" i="46"/>
  <c r="D1950" i="46"/>
  <c r="D1949" i="46"/>
  <c r="D1939" i="46"/>
  <c r="D1929" i="46"/>
  <c r="D899" i="46"/>
  <c r="D879" i="46"/>
  <c r="D900" i="46"/>
  <c r="D890" i="46"/>
  <c r="D880" i="46"/>
  <c r="D889" i="46"/>
  <c r="D898" i="46"/>
  <c r="D888" i="46"/>
  <c r="D878" i="46"/>
  <c r="D1147" i="46"/>
  <c r="D1158" i="46"/>
  <c r="D1148" i="46"/>
  <c r="D1138" i="46"/>
  <c r="D1157" i="46"/>
  <c r="D1137" i="46"/>
  <c r="D1156" i="46"/>
  <c r="D1146" i="46"/>
  <c r="D1136" i="46"/>
  <c r="D120" i="46"/>
  <c r="D101" i="46"/>
  <c r="D112" i="46"/>
  <c r="D100" i="46"/>
  <c r="D122" i="46"/>
  <c r="D111" i="46"/>
  <c r="D121" i="46"/>
  <c r="D110" i="46"/>
  <c r="D102" i="46"/>
  <c r="M137" i="58"/>
  <c r="K137" i="58"/>
  <c r="E520" i="30"/>
  <c r="E531" i="30"/>
  <c r="E535" i="30"/>
  <c r="E526" i="30"/>
  <c r="E528" i="30"/>
  <c r="E532" i="30"/>
  <c r="E536" i="30"/>
  <c r="E541" i="30"/>
  <c r="E529" i="30"/>
  <c r="E533" i="30"/>
  <c r="E537" i="30"/>
  <c r="E540" i="30"/>
  <c r="E521" i="30"/>
  <c r="E530" i="30"/>
  <c r="E534" i="30"/>
  <c r="E527" i="30"/>
  <c r="G137" i="58"/>
  <c r="AF7" i="64"/>
  <c r="C7" i="64"/>
  <c r="C7" i="63"/>
  <c r="S8" i="60"/>
  <c r="A72" i="58"/>
  <c r="S7" i="34"/>
  <c r="AF7" i="63"/>
  <c r="U8" i="60"/>
  <c r="C7" i="62"/>
  <c r="C7" i="65"/>
  <c r="C7" i="66"/>
  <c r="G8" i="60"/>
  <c r="A11" i="58"/>
  <c r="A133" i="58"/>
  <c r="C7" i="34"/>
  <c r="S7" i="62"/>
  <c r="M7" i="66"/>
  <c r="F805" i="30" l="1"/>
  <c r="R125" i="29" s="1"/>
  <c r="K125" i="29" s="1"/>
  <c r="K2017" i="46" s="1"/>
  <c r="K120" i="38" s="1"/>
  <c r="F804" i="30"/>
  <c r="R25" i="29" s="1"/>
  <c r="K25" i="29" s="1"/>
  <c r="K967" i="46" s="1"/>
  <c r="K44" i="38" s="1"/>
  <c r="F802" i="30"/>
  <c r="F797" i="30"/>
  <c r="F796" i="30"/>
  <c r="F799" i="30"/>
  <c r="F798" i="30"/>
  <c r="F795" i="30"/>
  <c r="F794" i="30"/>
  <c r="F789" i="30"/>
  <c r="F803" i="30"/>
  <c r="F788" i="30"/>
  <c r="F790" i="30"/>
  <c r="F791" i="30"/>
  <c r="F783" i="30"/>
  <c r="F781" i="30"/>
  <c r="F778" i="30"/>
  <c r="F776" i="30"/>
  <c r="F774" i="30"/>
  <c r="F772" i="30"/>
  <c r="F770" i="30"/>
  <c r="F768" i="30"/>
  <c r="F758" i="30"/>
  <c r="F762" i="30"/>
  <c r="F759" i="30"/>
  <c r="F763" i="30"/>
  <c r="F755" i="30"/>
  <c r="F784" i="30"/>
  <c r="F782" i="30"/>
  <c r="F777" i="30"/>
  <c r="F775" i="30"/>
  <c r="F773" i="30"/>
  <c r="F771" i="30"/>
  <c r="F769" i="30"/>
  <c r="F756" i="30"/>
  <c r="F760" i="30"/>
  <c r="F764" i="30"/>
  <c r="F757" i="30"/>
  <c r="F761" i="30"/>
  <c r="F765" i="30"/>
  <c r="F751" i="30"/>
  <c r="F745" i="30"/>
  <c r="F735" i="30"/>
  <c r="F736" i="30"/>
  <c r="F750" i="30"/>
  <c r="F749" i="30"/>
  <c r="F748" i="30"/>
  <c r="F743" i="30"/>
  <c r="F742" i="30"/>
  <c r="F744" i="30"/>
  <c r="F741" i="30"/>
  <c r="F740" i="30"/>
  <c r="F737" i="30"/>
  <c r="F734" i="30"/>
  <c r="F724" i="30"/>
  <c r="F723" i="30"/>
  <c r="F722" i="30"/>
  <c r="F713" i="30"/>
  <c r="F717" i="30"/>
  <c r="F710" i="30"/>
  <c r="F675" i="30"/>
  <c r="F679" i="30"/>
  <c r="R107" i="29" s="1"/>
  <c r="K107" i="29" s="1"/>
  <c r="K199" i="31" s="1"/>
  <c r="F683" i="30"/>
  <c r="R111" i="29" s="1"/>
  <c r="K111" i="29" s="1"/>
  <c r="K203" i="31" s="1"/>
  <c r="F687" i="30"/>
  <c r="R115" i="29" s="1"/>
  <c r="K115" i="29" s="1"/>
  <c r="K207" i="31" s="1"/>
  <c r="F691" i="30"/>
  <c r="R207" i="29" s="1"/>
  <c r="K207" i="29" s="1"/>
  <c r="K402" i="31" s="1"/>
  <c r="F695" i="30"/>
  <c r="R211" i="29" s="1"/>
  <c r="K211" i="29" s="1"/>
  <c r="K406" i="31" s="1"/>
  <c r="F699" i="30"/>
  <c r="R215" i="29" s="1"/>
  <c r="K215" i="29" s="1"/>
  <c r="K410" i="31" s="1"/>
  <c r="F703" i="30"/>
  <c r="F707" i="30"/>
  <c r="F730" i="30"/>
  <c r="F728" i="30"/>
  <c r="F714" i="30"/>
  <c r="F718" i="30"/>
  <c r="F676" i="30"/>
  <c r="R104" i="29" s="1"/>
  <c r="K104" i="29" s="1"/>
  <c r="K196" i="31" s="1"/>
  <c r="F680" i="30"/>
  <c r="R108" i="29" s="1"/>
  <c r="K108" i="29" s="1"/>
  <c r="K200" i="31" s="1"/>
  <c r="F684" i="30"/>
  <c r="R112" i="29" s="1"/>
  <c r="K112" i="29" s="1"/>
  <c r="K204" i="31" s="1"/>
  <c r="F688" i="30"/>
  <c r="R204" i="29" s="1"/>
  <c r="K204" i="29" s="1"/>
  <c r="K399" i="31" s="1"/>
  <c r="F692" i="30"/>
  <c r="R208" i="29" s="1"/>
  <c r="K208" i="29" s="1"/>
  <c r="K403" i="31" s="1"/>
  <c r="F696" i="30"/>
  <c r="R212" i="29" s="1"/>
  <c r="K212" i="29" s="1"/>
  <c r="K407" i="31" s="1"/>
  <c r="F700" i="30"/>
  <c r="F704" i="30"/>
  <c r="F672" i="30"/>
  <c r="F726" i="30"/>
  <c r="F725" i="30"/>
  <c r="F711" i="30"/>
  <c r="F715" i="30"/>
  <c r="F719" i="30"/>
  <c r="F673" i="30"/>
  <c r="F677" i="30"/>
  <c r="R105" i="29" s="1"/>
  <c r="K105" i="29" s="1"/>
  <c r="K197" i="31" s="1"/>
  <c r="F681" i="30"/>
  <c r="R109" i="29" s="1"/>
  <c r="K109" i="29" s="1"/>
  <c r="K201" i="31" s="1"/>
  <c r="F685" i="30"/>
  <c r="R113" i="29" s="1"/>
  <c r="K113" i="29" s="1"/>
  <c r="K205" i="31" s="1"/>
  <c r="F689" i="30"/>
  <c r="R205" i="29" s="1"/>
  <c r="K205" i="29" s="1"/>
  <c r="K400" i="31" s="1"/>
  <c r="F693" i="30"/>
  <c r="R209" i="29" s="1"/>
  <c r="K209" i="29" s="1"/>
  <c r="K404" i="31" s="1"/>
  <c r="F697" i="30"/>
  <c r="R213" i="29" s="1"/>
  <c r="K213" i="29" s="1"/>
  <c r="K408" i="31" s="1"/>
  <c r="F701" i="30"/>
  <c r="F705" i="30"/>
  <c r="F729" i="30"/>
  <c r="F727" i="30"/>
  <c r="F712" i="30"/>
  <c r="F716" i="30"/>
  <c r="F674" i="30"/>
  <c r="F678" i="30"/>
  <c r="R106" i="29" s="1"/>
  <c r="K106" i="29" s="1"/>
  <c r="K198" i="31" s="1"/>
  <c r="F682" i="30"/>
  <c r="R110" i="29" s="1"/>
  <c r="K110" i="29" s="1"/>
  <c r="K202" i="31" s="1"/>
  <c r="F686" i="30"/>
  <c r="R114" i="29" s="1"/>
  <c r="K114" i="29" s="1"/>
  <c r="K206" i="31" s="1"/>
  <c r="F690" i="30"/>
  <c r="R206" i="29" s="1"/>
  <c r="K206" i="29" s="1"/>
  <c r="K401" i="31" s="1"/>
  <c r="F694" i="30"/>
  <c r="R210" i="29" s="1"/>
  <c r="K210" i="29" s="1"/>
  <c r="K405" i="31" s="1"/>
  <c r="F698" i="30"/>
  <c r="R214" i="29" s="1"/>
  <c r="K214" i="29" s="1"/>
  <c r="K409" i="31" s="1"/>
  <c r="F702" i="30"/>
  <c r="F706" i="30"/>
  <c r="F660" i="30"/>
  <c r="F654" i="30"/>
  <c r="F652" i="30"/>
  <c r="F650" i="30"/>
  <c r="F648" i="30"/>
  <c r="F630" i="30"/>
  <c r="F629" i="30"/>
  <c r="F638" i="30"/>
  <c r="F634" i="30"/>
  <c r="F637" i="30"/>
  <c r="F633" i="30"/>
  <c r="F668" i="30"/>
  <c r="F667" i="30"/>
  <c r="F666" i="30"/>
  <c r="F665" i="30"/>
  <c r="F664" i="30"/>
  <c r="F663" i="30"/>
  <c r="F662" i="30"/>
  <c r="F661" i="30"/>
  <c r="F659" i="30"/>
  <c r="F658" i="30"/>
  <c r="F657" i="30"/>
  <c r="F653" i="30"/>
  <c r="F651" i="30"/>
  <c r="F649" i="30"/>
  <c r="F647" i="30"/>
  <c r="F646" i="30"/>
  <c r="R122" i="29" s="1"/>
  <c r="F645" i="30"/>
  <c r="F644" i="30"/>
  <c r="F643" i="30"/>
  <c r="F640" i="30"/>
  <c r="F636" i="30"/>
  <c r="F632" i="30"/>
  <c r="F639" i="30"/>
  <c r="F635" i="30"/>
  <c r="F631" i="30"/>
  <c r="E594" i="30"/>
  <c r="E615" i="30"/>
  <c r="E614" i="30"/>
  <c r="E601" i="30"/>
  <c r="E600" i="30"/>
  <c r="E578" i="30"/>
  <c r="E577" i="30"/>
  <c r="E579" i="30"/>
  <c r="E580" i="30"/>
  <c r="E546" i="30"/>
  <c r="E545" i="30"/>
  <c r="E562" i="30"/>
  <c r="E561" i="30"/>
  <c r="L58" i="70"/>
  <c r="L52" i="70"/>
  <c r="L46" i="70"/>
  <c r="L53" i="70"/>
  <c r="L47" i="70"/>
  <c r="L56" i="70"/>
  <c r="L48" i="70"/>
  <c r="L57" i="70"/>
  <c r="L51" i="70"/>
  <c r="K57" i="70"/>
  <c r="K51" i="70"/>
  <c r="K58" i="70"/>
  <c r="K52" i="70"/>
  <c r="K46" i="70"/>
  <c r="K53" i="70"/>
  <c r="K47" i="70"/>
  <c r="K56" i="70"/>
  <c r="K48" i="70"/>
  <c r="G52" i="70"/>
  <c r="G56" i="70"/>
  <c r="G53" i="70"/>
  <c r="F46" i="70"/>
  <c r="G51" i="70"/>
  <c r="F56" i="70"/>
  <c r="G47" i="70"/>
  <c r="G48" i="70"/>
  <c r="F51" i="70"/>
  <c r="F52" i="70"/>
  <c r="F53" i="70"/>
  <c r="E56" i="70"/>
  <c r="E47" i="70"/>
  <c r="E52" i="70"/>
  <c r="E57" i="70"/>
  <c r="E51" i="70"/>
  <c r="E53" i="70"/>
  <c r="E46" i="70"/>
  <c r="E48" i="70"/>
  <c r="E58" i="70"/>
  <c r="G57" i="70"/>
  <c r="G58" i="70"/>
  <c r="G46" i="70"/>
  <c r="F47" i="70"/>
  <c r="F48" i="70"/>
  <c r="F57" i="70"/>
  <c r="F58" i="70"/>
  <c r="E558" i="30"/>
  <c r="E554" i="30"/>
  <c r="E550" i="30"/>
  <c r="E574" i="30"/>
  <c r="E570" i="30"/>
  <c r="E566" i="30"/>
  <c r="E590" i="30"/>
  <c r="E586" i="30"/>
  <c r="E582" i="30"/>
  <c r="E557" i="30"/>
  <c r="E553" i="30"/>
  <c r="E549" i="30"/>
  <c r="E573" i="30"/>
  <c r="E569" i="30"/>
  <c r="E565" i="30"/>
  <c r="E589" i="30"/>
  <c r="E585" i="30"/>
  <c r="E581" i="30"/>
  <c r="E556" i="30"/>
  <c r="E552" i="30"/>
  <c r="E548" i="30"/>
  <c r="E572" i="30"/>
  <c r="E568" i="30"/>
  <c r="E564" i="30"/>
  <c r="E588" i="30"/>
  <c r="E584" i="30"/>
  <c r="E555" i="30"/>
  <c r="E551" i="30"/>
  <c r="E547" i="30"/>
  <c r="E571" i="30"/>
  <c r="E567" i="30"/>
  <c r="E563" i="30"/>
  <c r="E587" i="30"/>
  <c r="E583" i="30"/>
  <c r="E597" i="30"/>
  <c r="E605" i="30"/>
  <c r="E609" i="30"/>
  <c r="E617" i="30"/>
  <c r="E621" i="30"/>
  <c r="E625" i="30"/>
  <c r="E596" i="30"/>
  <c r="E606" i="30"/>
  <c r="E610" i="30"/>
  <c r="E618" i="30"/>
  <c r="E622" i="30"/>
  <c r="E616" i="30"/>
  <c r="E603" i="30"/>
  <c r="E607" i="30"/>
  <c r="E611" i="30"/>
  <c r="E619" i="30"/>
  <c r="E623" i="30"/>
  <c r="E604" i="30"/>
  <c r="E608" i="30"/>
  <c r="E602" i="30"/>
  <c r="E620" i="30"/>
  <c r="E624" i="30"/>
  <c r="I57" i="1"/>
  <c r="D57" i="1"/>
  <c r="R22" i="29" l="1"/>
  <c r="K22" i="29" s="1"/>
  <c r="K945" i="46" s="1"/>
  <c r="O24" i="65" s="1"/>
  <c r="R24" i="29"/>
  <c r="K24" i="29" s="1"/>
  <c r="K18" i="51" s="1"/>
  <c r="K19" i="51" s="1"/>
  <c r="I20" i="51" s="1"/>
  <c r="R19" i="29"/>
  <c r="K19" i="29" s="1"/>
  <c r="K942" i="46" s="1"/>
  <c r="O21" i="65" s="1"/>
  <c r="R124" i="29"/>
  <c r="K124" i="29" s="1"/>
  <c r="K18" i="68" s="1"/>
  <c r="K19" i="68" s="1"/>
  <c r="R119" i="29"/>
  <c r="K119" i="29" s="1"/>
  <c r="K1993" i="46" s="1"/>
  <c r="K153" i="70"/>
  <c r="M153" i="70"/>
  <c r="K222" i="71"/>
  <c r="L153" i="70"/>
  <c r="M326" i="70"/>
  <c r="K326" i="70"/>
  <c r="L326" i="70"/>
  <c r="K264" i="71"/>
  <c r="R121" i="29"/>
  <c r="K121" i="29" s="1"/>
  <c r="K1995" i="46" s="1"/>
  <c r="O23" i="66" s="1"/>
  <c r="R35" i="29"/>
  <c r="K35" i="29" s="1"/>
  <c r="R127" i="29"/>
  <c r="K127" i="29" s="1"/>
  <c r="K2028" i="46" s="1"/>
  <c r="K142" i="38" s="1"/>
  <c r="R21" i="29"/>
  <c r="K21" i="29" s="1"/>
  <c r="K944" i="46" s="1"/>
  <c r="O23" i="65" s="1"/>
  <c r="R27" i="29"/>
  <c r="K27" i="29" s="1"/>
  <c r="K977" i="46" s="1"/>
  <c r="K66" i="38" s="1"/>
  <c r="R135" i="29"/>
  <c r="K135" i="29" s="1"/>
  <c r="R120" i="29"/>
  <c r="K120" i="29" s="1"/>
  <c r="K1994" i="46" s="1"/>
  <c r="Q21" i="29"/>
  <c r="E21" i="29" s="1"/>
  <c r="E944" i="46" s="1"/>
  <c r="E23" i="65" s="1"/>
  <c r="O201" i="31"/>
  <c r="BD15" i="63"/>
  <c r="BD14" i="64"/>
  <c r="O403" i="31"/>
  <c r="BD10" i="63"/>
  <c r="O196" i="31"/>
  <c r="BD17" i="64"/>
  <c r="O406" i="31"/>
  <c r="O199" i="31"/>
  <c r="BD13" i="63"/>
  <c r="R36" i="29"/>
  <c r="K36" i="29" s="1"/>
  <c r="R134" i="29"/>
  <c r="K134" i="29" s="1"/>
  <c r="O401" i="31"/>
  <c r="BD12" i="64"/>
  <c r="BD15" i="64"/>
  <c r="O404" i="31"/>
  <c r="O197" i="31"/>
  <c r="BD11" i="63"/>
  <c r="BD10" i="64"/>
  <c r="O399" i="31"/>
  <c r="BD13" i="64"/>
  <c r="O402" i="31"/>
  <c r="BD16" i="64"/>
  <c r="O405" i="31"/>
  <c r="O198" i="31"/>
  <c r="BD12" i="63"/>
  <c r="BD19" i="64"/>
  <c r="O408" i="31"/>
  <c r="BD20" i="63"/>
  <c r="O206" i="31"/>
  <c r="BD11" i="64"/>
  <c r="O400" i="31"/>
  <c r="BD18" i="63"/>
  <c r="O204" i="31"/>
  <c r="BD21" i="63"/>
  <c r="O207" i="31"/>
  <c r="O409" i="31"/>
  <c r="BD20" i="64"/>
  <c r="BD16" i="63"/>
  <c r="O202" i="31"/>
  <c r="O205" i="31"/>
  <c r="BD19" i="63"/>
  <c r="BD18" i="64"/>
  <c r="O407" i="31"/>
  <c r="O200" i="31"/>
  <c r="BD14" i="63"/>
  <c r="BD21" i="64"/>
  <c r="O410" i="31"/>
  <c r="BD17" i="63"/>
  <c r="O203" i="31"/>
  <c r="K122" i="29"/>
  <c r="K1996" i="46" s="1"/>
  <c r="R136" i="29"/>
  <c r="K136" i="29" s="1"/>
  <c r="K1717" i="46" s="1"/>
  <c r="K1796" i="46" s="1"/>
  <c r="R33" i="29"/>
  <c r="K33" i="29" s="1"/>
  <c r="R20" i="29"/>
  <c r="K20" i="29" s="1"/>
  <c r="K943" i="46" s="1"/>
  <c r="R133" i="29"/>
  <c r="K133" i="29" s="1"/>
  <c r="R34" i="29"/>
  <c r="K34" i="29" s="1"/>
  <c r="K358" i="46" s="1"/>
  <c r="K386" i="46" s="1"/>
  <c r="K414" i="46" s="1"/>
  <c r="Q20" i="29"/>
  <c r="E20" i="29" s="1"/>
  <c r="E943" i="46" s="1"/>
  <c r="Q120" i="29"/>
  <c r="E120" i="29" s="1"/>
  <c r="E1994" i="46" s="1"/>
  <c r="Q127" i="29"/>
  <c r="E127" i="29" s="1"/>
  <c r="E2028" i="46" s="1"/>
  <c r="E142" i="38" s="1"/>
  <c r="Q32" i="29"/>
  <c r="E32" i="29" s="1"/>
  <c r="E995" i="46" s="1"/>
  <c r="E55" i="38" s="1"/>
  <c r="Q136" i="29"/>
  <c r="E136" i="29" s="1"/>
  <c r="E1717" i="46" s="1"/>
  <c r="E1796" i="46" s="1"/>
  <c r="Q33" i="29"/>
  <c r="E33" i="29" s="1"/>
  <c r="E123" i="31" s="1"/>
  <c r="K123" i="32" s="1"/>
  <c r="Q135" i="29"/>
  <c r="E135" i="29" s="1"/>
  <c r="E1562" i="46" s="1"/>
  <c r="E1641" i="46" s="1"/>
  <c r="Q27" i="29"/>
  <c r="E27" i="29" s="1"/>
  <c r="E977" i="46" s="1"/>
  <c r="E66" i="38" s="1"/>
  <c r="Q132" i="29"/>
  <c r="E132" i="29" s="1"/>
  <c r="E2046" i="46" s="1"/>
  <c r="E131" i="38" s="1"/>
  <c r="Q133" i="29"/>
  <c r="E133" i="29" s="1"/>
  <c r="E326" i="31" s="1"/>
  <c r="Q35" i="29"/>
  <c r="E35" i="29" s="1"/>
  <c r="E526" i="46" s="1"/>
  <c r="Q134" i="29"/>
  <c r="E134" i="29" s="1"/>
  <c r="E327" i="31" s="1"/>
  <c r="Q36" i="29"/>
  <c r="E36" i="29" s="1"/>
  <c r="Q34" i="29"/>
  <c r="E34" i="29" s="1"/>
  <c r="E124" i="31" s="1"/>
  <c r="K124" i="32" s="1"/>
  <c r="S63" i="57"/>
  <c r="E605" i="46" l="1"/>
  <c r="E558" i="46"/>
  <c r="E125" i="31"/>
  <c r="K125" i="32" s="1"/>
  <c r="K125" i="31" s="1"/>
  <c r="E681" i="46"/>
  <c r="E760" i="46" s="1"/>
  <c r="E329" i="31"/>
  <c r="K329" i="32" s="1"/>
  <c r="K329" i="31" s="1"/>
  <c r="O329" i="31" s="1"/>
  <c r="E1561" i="46"/>
  <c r="E1640" i="46" s="1"/>
  <c r="K525" i="46"/>
  <c r="K604" i="46" s="1"/>
  <c r="K526" i="46"/>
  <c r="K288" i="46"/>
  <c r="K437" i="46" s="1"/>
  <c r="K287" i="46"/>
  <c r="K955" i="46"/>
  <c r="K66" i="31" s="1"/>
  <c r="O66" i="31" s="1"/>
  <c r="E126" i="31"/>
  <c r="K126" i="32" s="1"/>
  <c r="K126" i="31" s="1"/>
  <c r="E525" i="46"/>
  <c r="E604" i="46" s="1"/>
  <c r="I326" i="31"/>
  <c r="E1313" i="46"/>
  <c r="E1462" i="46" s="1"/>
  <c r="E1316" i="46"/>
  <c r="E1465" i="46" s="1"/>
  <c r="E1315" i="46"/>
  <c r="E1464" i="46" s="1"/>
  <c r="E1314" i="46"/>
  <c r="E1463" i="46" s="1"/>
  <c r="I327" i="31"/>
  <c r="E1331" i="46"/>
  <c r="E1479" i="46" s="1"/>
  <c r="E1330" i="46"/>
  <c r="E1478" i="46" s="1"/>
  <c r="E328" i="31"/>
  <c r="K328" i="32" s="1"/>
  <c r="K328" i="31" s="1"/>
  <c r="O328" i="31" s="1"/>
  <c r="E1713" i="46"/>
  <c r="E1792" i="46" s="1"/>
  <c r="E1714" i="46"/>
  <c r="E1793" i="46" s="1"/>
  <c r="E1715" i="46"/>
  <c r="E1794" i="46" s="1"/>
  <c r="E1560" i="46"/>
  <c r="E1639" i="46" s="1"/>
  <c r="K326" i="32"/>
  <c r="K326" i="31" s="1"/>
  <c r="O326" i="31" s="1"/>
  <c r="K123" i="31"/>
  <c r="O123" i="32"/>
  <c r="K124" i="31"/>
  <c r="O124" i="32"/>
  <c r="K2005" i="46"/>
  <c r="S23" i="66" s="1"/>
  <c r="K135" i="71" s="1"/>
  <c r="K952" i="46"/>
  <c r="S21" i="65" s="1"/>
  <c r="K36" i="71" s="1"/>
  <c r="I20" i="68"/>
  <c r="N19" i="68"/>
  <c r="O21" i="66"/>
  <c r="K2003" i="46"/>
  <c r="K954" i="46"/>
  <c r="K109" i="70" s="1"/>
  <c r="E954" i="46"/>
  <c r="E109" i="70" s="1"/>
  <c r="O22" i="66"/>
  <c r="K2006" i="46"/>
  <c r="K283" i="70" s="1"/>
  <c r="O24" i="66"/>
  <c r="K2004" i="46"/>
  <c r="K281" i="70" s="1"/>
  <c r="K953" i="46"/>
  <c r="O22" i="65"/>
  <c r="E22" i="66"/>
  <c r="E2004" i="46"/>
  <c r="E1999" i="46"/>
  <c r="E26" i="66" s="1"/>
  <c r="E953" i="46"/>
  <c r="E22" i="65"/>
  <c r="E948" i="46"/>
  <c r="E26" i="65" s="1"/>
  <c r="E227" i="71"/>
  <c r="K233" i="71"/>
  <c r="K275" i="71"/>
  <c r="F160" i="70"/>
  <c r="E1586" i="46"/>
  <c r="E1741" i="46"/>
  <c r="E1744" i="46"/>
  <c r="E1594" i="46"/>
  <c r="E1748" i="46"/>
  <c r="E1585" i="46"/>
  <c r="E1589" i="46"/>
  <c r="E1584" i="46"/>
  <c r="E1591" i="46"/>
  <c r="E1590" i="46"/>
  <c r="E1587" i="46"/>
  <c r="E1583" i="46"/>
  <c r="E1382" i="46"/>
  <c r="E1740" i="46"/>
  <c r="E1743" i="46"/>
  <c r="E1739" i="46"/>
  <c r="E1380" i="46"/>
  <c r="E1378" i="46"/>
  <c r="E1377" i="46"/>
  <c r="E1376" i="46"/>
  <c r="E1375" i="46"/>
  <c r="E1379" i="46"/>
  <c r="E1395" i="46"/>
  <c r="E1393" i="46"/>
  <c r="E1391" i="46"/>
  <c r="E1384" i="46"/>
  <c r="E1392" i="46"/>
  <c r="E1386" i="46"/>
  <c r="E1385" i="46"/>
  <c r="E1390" i="46"/>
  <c r="E1588" i="46"/>
  <c r="I67" i="1"/>
  <c r="K346" i="46" l="1"/>
  <c r="K110" i="70"/>
  <c r="K436" i="46"/>
  <c r="K345" i="46"/>
  <c r="K605" i="46"/>
  <c r="K558" i="46"/>
  <c r="S24" i="65"/>
  <c r="K39" i="71" s="1"/>
  <c r="I328" i="31"/>
  <c r="I329" i="31"/>
  <c r="K327" i="32"/>
  <c r="K327" i="31" s="1"/>
  <c r="O327" i="31" s="1"/>
  <c r="K267" i="31"/>
  <c r="O267" i="31" s="1"/>
  <c r="K282" i="70"/>
  <c r="K107" i="70"/>
  <c r="K63" i="31"/>
  <c r="K1015" i="46" s="1"/>
  <c r="K20" i="68"/>
  <c r="K30" i="68" s="1"/>
  <c r="M20" i="68"/>
  <c r="M30" i="68" s="1"/>
  <c r="L20" i="68"/>
  <c r="L30" i="68" s="1"/>
  <c r="K280" i="70"/>
  <c r="K265" i="31"/>
  <c r="S21" i="66"/>
  <c r="K133" i="71" s="1"/>
  <c r="S23" i="65"/>
  <c r="K38" i="71" s="1"/>
  <c r="K65" i="31"/>
  <c r="F166" i="30" s="1"/>
  <c r="R116" i="29" s="1"/>
  <c r="I23" i="65"/>
  <c r="E38" i="71" s="1"/>
  <c r="E65" i="31"/>
  <c r="K65" i="32" s="1"/>
  <c r="O65" i="32" s="1"/>
  <c r="S22" i="66"/>
  <c r="K134" i="71" s="1"/>
  <c r="K266" i="31"/>
  <c r="O266" i="31" s="1"/>
  <c r="S24" i="66"/>
  <c r="K136" i="71" s="1"/>
  <c r="K268" i="31"/>
  <c r="O268" i="31" s="1"/>
  <c r="K108" i="70"/>
  <c r="K64" i="31"/>
  <c r="O64" i="31" s="1"/>
  <c r="S22" i="65"/>
  <c r="K37" i="71" s="1"/>
  <c r="E108" i="70"/>
  <c r="I22" i="65"/>
  <c r="E37" i="71" s="1"/>
  <c r="E64" i="31"/>
  <c r="E958" i="46"/>
  <c r="E266" i="31"/>
  <c r="E281" i="70"/>
  <c r="I22" i="66"/>
  <c r="E134" i="71" s="1"/>
  <c r="E2009" i="46"/>
  <c r="E275" i="71"/>
  <c r="K333" i="70"/>
  <c r="K269" i="71"/>
  <c r="K160" i="70"/>
  <c r="K227" i="71"/>
  <c r="F333" i="70"/>
  <c r="E160" i="70"/>
  <c r="G160" i="70"/>
  <c r="G333" i="70"/>
  <c r="E1805" i="46"/>
  <c r="E1803" i="46"/>
  <c r="E1742" i="46"/>
  <c r="E1804" i="46"/>
  <c r="O13" i="63"/>
  <c r="O10" i="63"/>
  <c r="O21" i="63"/>
  <c r="O14" i="63"/>
  <c r="O20" i="63"/>
  <c r="E1801" i="46"/>
  <c r="O15" i="63"/>
  <c r="E1802" i="46"/>
  <c r="E1800" i="46"/>
  <c r="O17" i="63"/>
  <c r="E1810" i="46"/>
  <c r="O19" i="63"/>
  <c r="E1809" i="46"/>
  <c r="O19" i="64" s="1"/>
  <c r="O11" i="63"/>
  <c r="O18" i="63"/>
  <c r="O16" i="63"/>
  <c r="O12" i="63"/>
  <c r="D67" i="1"/>
  <c r="F167" i="30" l="1"/>
  <c r="R216" i="29" s="1"/>
  <c r="O63" i="31"/>
  <c r="K1006" i="46"/>
  <c r="K1023" i="46"/>
  <c r="K1031" i="46"/>
  <c r="N30" i="68"/>
  <c r="O265" i="31"/>
  <c r="K2058" i="46"/>
  <c r="K2082" i="46"/>
  <c r="K2066" i="46"/>
  <c r="K2074" i="46"/>
  <c r="O65" i="31"/>
  <c r="I65" i="31"/>
  <c r="E166" i="30"/>
  <c r="Q116" i="29" s="1"/>
  <c r="E116" i="29" s="1"/>
  <c r="E2047" i="46"/>
  <c r="E132" i="38" s="1"/>
  <c r="E285" i="70"/>
  <c r="E2018" i="46"/>
  <c r="E254" i="31"/>
  <c r="I26" i="66"/>
  <c r="E138" i="71" s="1"/>
  <c r="E2039" i="46"/>
  <c r="E2042" i="46" s="1"/>
  <c r="E253" i="31" s="1"/>
  <c r="E270" i="31"/>
  <c r="E2030" i="46"/>
  <c r="E144" i="38" s="1"/>
  <c r="E277" i="71" s="1"/>
  <c r="E996" i="46"/>
  <c r="E56" i="38" s="1"/>
  <c r="E52" i="31"/>
  <c r="E68" i="31"/>
  <c r="E979" i="46"/>
  <c r="E68" i="38" s="1"/>
  <c r="I26" i="65"/>
  <c r="E41" i="71" s="1"/>
  <c r="E112" i="70"/>
  <c r="E988" i="46"/>
  <c r="E991" i="46" s="1"/>
  <c r="E51" i="31" s="1"/>
  <c r="K64" i="32"/>
  <c r="O64" i="32" s="1"/>
  <c r="I64" i="31"/>
  <c r="K266" i="32"/>
  <c r="O266" i="32" s="1"/>
  <c r="I266" i="31"/>
  <c r="E269" i="71"/>
  <c r="E233" i="71"/>
  <c r="E333" i="70"/>
  <c r="O12" i="64"/>
  <c r="E1833" i="46"/>
  <c r="O13" i="64"/>
  <c r="E1834" i="46"/>
  <c r="O14" i="64"/>
  <c r="E1840" i="46"/>
  <c r="O20" i="64"/>
  <c r="E1830" i="46"/>
  <c r="O10" i="64"/>
  <c r="O11" i="64"/>
  <c r="E1835" i="46"/>
  <c r="O15" i="64"/>
  <c r="E1832" i="46"/>
  <c r="E1831" i="46"/>
  <c r="E1839" i="46"/>
  <c r="C2" i="57"/>
  <c r="K216" i="29" l="1"/>
  <c r="K247" i="31" s="1"/>
  <c r="E44" i="31"/>
  <c r="I44" i="31" s="1"/>
  <c r="K116" i="29"/>
  <c r="E235" i="71"/>
  <c r="E45" i="31"/>
  <c r="K45" i="32" s="1"/>
  <c r="K254" i="32"/>
  <c r="O254" i="32" s="1"/>
  <c r="F73" i="1"/>
  <c r="I254" i="31"/>
  <c r="K51" i="32"/>
  <c r="I51" i="31"/>
  <c r="K68" i="32"/>
  <c r="O68" i="32" s="1"/>
  <c r="I68" i="31"/>
  <c r="K270" i="32"/>
  <c r="O270" i="32" s="1"/>
  <c r="I270" i="31"/>
  <c r="I52" i="31"/>
  <c r="K52" i="32"/>
  <c r="O52" i="32" s="1"/>
  <c r="F63" i="1"/>
  <c r="K253" i="32"/>
  <c r="I253" i="31"/>
  <c r="F161" i="70"/>
  <c r="E228" i="71"/>
  <c r="G161" i="70"/>
  <c r="E161" i="70"/>
  <c r="E270" i="71"/>
  <c r="E334" i="70"/>
  <c r="F334" i="70"/>
  <c r="G334" i="70"/>
  <c r="C2" i="34"/>
  <c r="C7" i="33"/>
  <c r="K246" i="31" l="1"/>
  <c r="O246" i="31" s="1"/>
  <c r="O247" i="31"/>
  <c r="K131" i="47"/>
  <c r="O131" i="47" s="1"/>
  <c r="K44" i="32"/>
  <c r="K44" i="31" s="1"/>
  <c r="E63" i="47"/>
  <c r="E157" i="47" s="1"/>
  <c r="I157" i="47" s="1"/>
  <c r="E64" i="47"/>
  <c r="I45" i="31"/>
  <c r="K45" i="31"/>
  <c r="O45" i="32"/>
  <c r="K986" i="46"/>
  <c r="O51" i="32"/>
  <c r="O253" i="32"/>
  <c r="K2037" i="46"/>
  <c r="E115" i="52"/>
  <c r="E6" i="51" s="1"/>
  <c r="B117" i="52"/>
  <c r="H37" i="51"/>
  <c r="H16" i="51"/>
  <c r="K130" i="47" l="1"/>
  <c r="O130" i="47" s="1"/>
  <c r="I63" i="47"/>
  <c r="O44" i="32"/>
  <c r="E66" i="47"/>
  <c r="I66" i="47" s="1"/>
  <c r="E158" i="47"/>
  <c r="I158" i="47" s="1"/>
  <c r="I64" i="47"/>
  <c r="O44" i="31"/>
  <c r="K63" i="47"/>
  <c r="O45" i="31"/>
  <c r="K64" i="47"/>
  <c r="H19" i="51"/>
  <c r="N19" i="51"/>
  <c r="D115" i="52"/>
  <c r="D6" i="51" s="1"/>
  <c r="E136" i="52"/>
  <c r="E6" i="68" s="1"/>
  <c r="G136" i="52"/>
  <c r="G115" i="52"/>
  <c r="E1067" i="46" l="1"/>
  <c r="F1044" i="46"/>
  <c r="G1067" i="46"/>
  <c r="F1065" i="46"/>
  <c r="G1065" i="46"/>
  <c r="E1066" i="46"/>
  <c r="F1067" i="46"/>
  <c r="F1066" i="46"/>
  <c r="G1044" i="46"/>
  <c r="G1042" i="46"/>
  <c r="E1043" i="46"/>
  <c r="E1065" i="46"/>
  <c r="E296" i="70" s="1"/>
  <c r="F1043" i="46"/>
  <c r="G1043" i="46"/>
  <c r="E1044" i="46"/>
  <c r="E1042" i="46"/>
  <c r="F1042" i="46"/>
  <c r="G1066" i="46"/>
  <c r="E30" i="46"/>
  <c r="G7" i="46"/>
  <c r="E8" i="46"/>
  <c r="F7" i="46"/>
  <c r="E6" i="46"/>
  <c r="F31" i="46"/>
  <c r="E7" i="46"/>
  <c r="E31" i="46"/>
  <c r="E29" i="46"/>
  <c r="G29" i="46"/>
  <c r="G31" i="46"/>
  <c r="F6" i="46"/>
  <c r="G30" i="46"/>
  <c r="G6" i="46"/>
  <c r="F30" i="46"/>
  <c r="G8" i="46"/>
  <c r="F8" i="46"/>
  <c r="F29" i="46"/>
  <c r="E71" i="70"/>
  <c r="K133" i="47"/>
  <c r="K172" i="38" s="1"/>
  <c r="K292" i="71" s="1"/>
  <c r="G18" i="60"/>
  <c r="E22" i="71" s="1"/>
  <c r="E96" i="38"/>
  <c r="E250" i="71" s="1"/>
  <c r="E160" i="47"/>
  <c r="E248" i="38" s="1"/>
  <c r="E334" i="71" s="1"/>
  <c r="O63" i="47"/>
  <c r="K66" i="47"/>
  <c r="K157" i="47"/>
  <c r="O157" i="47" s="1"/>
  <c r="K158" i="47"/>
  <c r="O158" i="47" s="1"/>
  <c r="O64" i="47"/>
  <c r="L20" i="51"/>
  <c r="L30" i="51" s="1"/>
  <c r="M20" i="51"/>
  <c r="M30" i="51" s="1"/>
  <c r="K20" i="51"/>
  <c r="K30" i="51" s="1"/>
  <c r="G20" i="51"/>
  <c r="G30" i="51" s="1"/>
  <c r="F20" i="51"/>
  <c r="F30" i="51" s="1"/>
  <c r="E20" i="51"/>
  <c r="E30" i="51" s="1"/>
  <c r="E298" i="70"/>
  <c r="E297" i="70"/>
  <c r="G6" i="51"/>
  <c r="G6" i="68"/>
  <c r="D136" i="52"/>
  <c r="D6" i="68" s="1"/>
  <c r="H136" i="52"/>
  <c r="H115" i="52"/>
  <c r="E39" i="70" l="1"/>
  <c r="G33" i="46"/>
  <c r="G44" i="46" s="1"/>
  <c r="G40" i="46"/>
  <c r="E1069" i="46"/>
  <c r="E1080" i="46" s="1"/>
  <c r="P14" i="62" s="1"/>
  <c r="E1076" i="46"/>
  <c r="F54" i="46"/>
  <c r="F19" i="46"/>
  <c r="F66" i="46"/>
  <c r="F12" i="46"/>
  <c r="F78" i="46"/>
  <c r="G41" i="46"/>
  <c r="G34" i="46"/>
  <c r="G45" i="46" s="1"/>
  <c r="E33" i="46"/>
  <c r="E44" i="46" s="1"/>
  <c r="P14" i="34" s="1"/>
  <c r="E40" i="46"/>
  <c r="E10" i="46"/>
  <c r="E52" i="46"/>
  <c r="E64" i="46"/>
  <c r="E17" i="46"/>
  <c r="E76" i="46"/>
  <c r="E34" i="46"/>
  <c r="E45" i="46" s="1"/>
  <c r="P15" i="34" s="1"/>
  <c r="E41" i="46"/>
  <c r="P12" i="34" s="1"/>
  <c r="E49" i="71" s="1"/>
  <c r="E1048" i="46"/>
  <c r="E1055" i="46"/>
  <c r="J13" i="62" s="1"/>
  <c r="E1114" i="46"/>
  <c r="D13" i="62" s="1"/>
  <c r="E1090" i="46"/>
  <c r="H13" i="62" s="1"/>
  <c r="E1102" i="46"/>
  <c r="F13" i="62" s="1"/>
  <c r="E1047" i="46"/>
  <c r="E1089" i="46"/>
  <c r="H12" i="62" s="1"/>
  <c r="E1101" i="46"/>
  <c r="F12" i="62" s="1"/>
  <c r="E1054" i="46"/>
  <c r="J12" i="62" s="1"/>
  <c r="E1113" i="46"/>
  <c r="D12" i="62" s="1"/>
  <c r="F1071" i="46"/>
  <c r="F1082" i="46" s="1"/>
  <c r="F1078" i="46"/>
  <c r="G1071" i="46"/>
  <c r="G1082" i="46" s="1"/>
  <c r="G1078" i="46"/>
  <c r="G52" i="46"/>
  <c r="G17" i="46"/>
  <c r="G64" i="46"/>
  <c r="G10" i="46"/>
  <c r="G76" i="46"/>
  <c r="G11" i="46"/>
  <c r="G77" i="46"/>
  <c r="G65" i="46"/>
  <c r="G53" i="46"/>
  <c r="G18" i="46"/>
  <c r="F1069" i="46"/>
  <c r="F1080" i="46" s="1"/>
  <c r="F1076" i="46"/>
  <c r="L31" i="46"/>
  <c r="M30" i="46"/>
  <c r="M31" i="46"/>
  <c r="L8" i="46"/>
  <c r="M7" i="46"/>
  <c r="M8" i="46"/>
  <c r="L30" i="46"/>
  <c r="L29" i="46"/>
  <c r="M29" i="46"/>
  <c r="L7" i="46"/>
  <c r="L6" i="46"/>
  <c r="M6" i="46"/>
  <c r="K7" i="46"/>
  <c r="K8" i="46"/>
  <c r="K30" i="46"/>
  <c r="K31" i="46"/>
  <c r="K6" i="46"/>
  <c r="K29" i="46"/>
  <c r="G78" i="46"/>
  <c r="G66" i="46"/>
  <c r="G54" i="46"/>
  <c r="G19" i="46"/>
  <c r="G12" i="46"/>
  <c r="F64" i="46"/>
  <c r="F10" i="46"/>
  <c r="F17" i="46"/>
  <c r="F52" i="46"/>
  <c r="F76" i="46"/>
  <c r="E35" i="46"/>
  <c r="E46" i="46" s="1"/>
  <c r="P16" i="34" s="1"/>
  <c r="E42" i="46"/>
  <c r="P13" i="34" s="1"/>
  <c r="E50" i="71" s="1"/>
  <c r="F53" i="46"/>
  <c r="F11" i="46"/>
  <c r="F18" i="46"/>
  <c r="F77" i="46"/>
  <c r="F65" i="46"/>
  <c r="G1070" i="46"/>
  <c r="G1081" i="46" s="1"/>
  <c r="G1077" i="46"/>
  <c r="G1089" i="46"/>
  <c r="G1113" i="46"/>
  <c r="G1047" i="46"/>
  <c r="G1101" i="46"/>
  <c r="G1054" i="46"/>
  <c r="G1046" i="46"/>
  <c r="G1100" i="46"/>
  <c r="G1053" i="46"/>
  <c r="G1112" i="46"/>
  <c r="G1088" i="46"/>
  <c r="E1070" i="46"/>
  <c r="E1081" i="46" s="1"/>
  <c r="P15" i="62" s="1"/>
  <c r="E1077" i="46"/>
  <c r="P12" i="62" s="1"/>
  <c r="E146" i="71" s="1"/>
  <c r="F1114" i="46"/>
  <c r="F1055" i="46"/>
  <c r="F1048" i="46"/>
  <c r="F1102" i="46"/>
  <c r="F1090" i="46"/>
  <c r="F40" i="46"/>
  <c r="F33" i="46"/>
  <c r="F44" i="46" s="1"/>
  <c r="F42" i="46"/>
  <c r="F35" i="46"/>
  <c r="F46" i="46" s="1"/>
  <c r="E1046" i="46"/>
  <c r="E1053" i="46"/>
  <c r="E1100" i="46"/>
  <c r="E1112" i="46"/>
  <c r="E1088" i="46"/>
  <c r="F1070" i="46"/>
  <c r="F1081" i="46" s="1"/>
  <c r="F1077" i="46"/>
  <c r="M1044" i="46"/>
  <c r="L1042" i="46"/>
  <c r="L1066" i="46"/>
  <c r="M1067" i="46"/>
  <c r="L1065" i="46"/>
  <c r="L1043" i="46"/>
  <c r="L1044" i="46"/>
  <c r="M1066" i="46"/>
  <c r="M1042" i="46"/>
  <c r="L1067" i="46"/>
  <c r="M1043" i="46"/>
  <c r="M1065" i="46"/>
  <c r="K1042" i="46"/>
  <c r="K1043" i="46"/>
  <c r="K1065" i="46"/>
  <c r="K1066" i="46"/>
  <c r="K1067" i="46"/>
  <c r="K1044" i="46"/>
  <c r="F296" i="70"/>
  <c r="F41" i="46"/>
  <c r="F34" i="46"/>
  <c r="F45" i="46" s="1"/>
  <c r="G42" i="46"/>
  <c r="G35" i="46"/>
  <c r="G46" i="46" s="1"/>
  <c r="E11" i="46"/>
  <c r="E18" i="46"/>
  <c r="J12" i="34" s="1"/>
  <c r="E77" i="46"/>
  <c r="D12" i="34" s="1"/>
  <c r="E53" i="46"/>
  <c r="H12" i="34" s="1"/>
  <c r="E65" i="46"/>
  <c r="E12" i="46"/>
  <c r="E66" i="46"/>
  <c r="F13" i="34" s="1"/>
  <c r="E78" i="46"/>
  <c r="D13" i="34" s="1"/>
  <c r="E19" i="46"/>
  <c r="J13" i="34" s="1"/>
  <c r="E54" i="46"/>
  <c r="H13" i="34" s="1"/>
  <c r="F1100" i="46"/>
  <c r="F1046" i="46"/>
  <c r="F1112" i="46"/>
  <c r="F1053" i="46"/>
  <c r="F1088" i="46"/>
  <c r="F1047" i="46"/>
  <c r="F1113" i="46"/>
  <c r="F1054" i="46"/>
  <c r="F1089" i="46"/>
  <c r="F1101" i="46"/>
  <c r="G1090" i="46"/>
  <c r="G1048" i="46"/>
  <c r="G1055" i="46"/>
  <c r="G1102" i="46"/>
  <c r="G1114" i="46"/>
  <c r="G1076" i="46"/>
  <c r="G1069" i="46"/>
  <c r="G1080" i="46" s="1"/>
  <c r="E1071" i="46"/>
  <c r="E1082" i="46" s="1"/>
  <c r="P16" i="62" s="1"/>
  <c r="E1078" i="46"/>
  <c r="P13" i="62" s="1"/>
  <c r="E147" i="71" s="1"/>
  <c r="K244" i="70"/>
  <c r="U18" i="60"/>
  <c r="K119" i="71" s="1"/>
  <c r="O133" i="47"/>
  <c r="I160" i="47"/>
  <c r="K18" i="60"/>
  <c r="E9" i="71" s="1"/>
  <c r="D9" i="68"/>
  <c r="D10" i="68" s="1"/>
  <c r="D12" i="68" s="1"/>
  <c r="H35" i="68" s="1"/>
  <c r="D9" i="51"/>
  <c r="D10" i="51" s="1"/>
  <c r="D12" i="51" s="1"/>
  <c r="H35" i="51" s="1"/>
  <c r="F12" i="34"/>
  <c r="E124" i="70"/>
  <c r="E123" i="70"/>
  <c r="E125" i="70"/>
  <c r="G126" i="70"/>
  <c r="G123" i="70"/>
  <c r="G296" i="70"/>
  <c r="G124" i="70"/>
  <c r="F300" i="70"/>
  <c r="F297" i="70"/>
  <c r="F128" i="70"/>
  <c r="F125" i="70"/>
  <c r="F298" i="70"/>
  <c r="G297" i="70"/>
  <c r="G125" i="70"/>
  <c r="F123" i="70"/>
  <c r="F124" i="70"/>
  <c r="G298" i="70"/>
  <c r="K96" i="38"/>
  <c r="K250" i="71" s="1"/>
  <c r="O66" i="47"/>
  <c r="S18" i="60"/>
  <c r="K22" i="71" s="1"/>
  <c r="K71" i="70"/>
  <c r="K160" i="47"/>
  <c r="L296" i="70"/>
  <c r="N30" i="51"/>
  <c r="H30" i="51"/>
  <c r="I136" i="52"/>
  <c r="I115" i="52"/>
  <c r="G128" i="70" l="1"/>
  <c r="F126" i="70"/>
  <c r="G300" i="70"/>
  <c r="G127" i="70"/>
  <c r="F1084" i="46"/>
  <c r="G301" i="70"/>
  <c r="G1094" i="46"/>
  <c r="G1106" i="46"/>
  <c r="G1059" i="46"/>
  <c r="G1118" i="46"/>
  <c r="K1071" i="46"/>
  <c r="K1082" i="46" s="1"/>
  <c r="AF16" i="62" s="1"/>
  <c r="K1078" i="46"/>
  <c r="AF13" i="62" s="1"/>
  <c r="M1088" i="46"/>
  <c r="M1046" i="46"/>
  <c r="M1112" i="46"/>
  <c r="M1053" i="46"/>
  <c r="M1100" i="46"/>
  <c r="M1048" i="46"/>
  <c r="M1055" i="46"/>
  <c r="M1114" i="46"/>
  <c r="M1090" i="46"/>
  <c r="M1102" i="46"/>
  <c r="G1116" i="46"/>
  <c r="G1092" i="46"/>
  <c r="G1057" i="46"/>
  <c r="G1104" i="46"/>
  <c r="K35" i="46"/>
  <c r="K46" i="46" s="1"/>
  <c r="AF16" i="34" s="1"/>
  <c r="K42" i="46"/>
  <c r="AF13" i="34" s="1"/>
  <c r="L40" i="46"/>
  <c r="L33" i="46"/>
  <c r="L44" i="46" s="1"/>
  <c r="G299" i="70"/>
  <c r="M1069" i="46"/>
  <c r="M1080" i="46" s="1"/>
  <c r="M1076" i="46"/>
  <c r="G82" i="46"/>
  <c r="G58" i="46"/>
  <c r="G70" i="46"/>
  <c r="G23" i="46"/>
  <c r="K34" i="46"/>
  <c r="K45" i="46" s="1"/>
  <c r="AF15" i="34" s="1"/>
  <c r="K41" i="46"/>
  <c r="AF12" i="34" s="1"/>
  <c r="L52" i="46"/>
  <c r="L17" i="46"/>
  <c r="L76" i="46"/>
  <c r="L64" i="46"/>
  <c r="L10" i="46"/>
  <c r="L41" i="46"/>
  <c r="L34" i="46"/>
  <c r="L45" i="46" s="1"/>
  <c r="M42" i="46"/>
  <c r="M35" i="46"/>
  <c r="M46" i="46" s="1"/>
  <c r="G68" i="46"/>
  <c r="G21" i="46"/>
  <c r="G56" i="46"/>
  <c r="G80" i="46"/>
  <c r="E1117" i="46"/>
  <c r="D15" i="62" s="1"/>
  <c r="E1093" i="46"/>
  <c r="H15" i="62" s="1"/>
  <c r="E1058" i="46"/>
  <c r="J15" i="62" s="1"/>
  <c r="E68" i="46"/>
  <c r="F14" i="34" s="1"/>
  <c r="E21" i="46"/>
  <c r="J14" i="34" s="1"/>
  <c r="E80" i="46"/>
  <c r="D14" i="34" s="1"/>
  <c r="E56" i="46"/>
  <c r="H14" i="34" s="1"/>
  <c r="G37" i="46"/>
  <c r="G1084" i="46"/>
  <c r="E70" i="46"/>
  <c r="F16" i="34" s="1"/>
  <c r="E82" i="46"/>
  <c r="D16" i="34" s="1"/>
  <c r="E58" i="46"/>
  <c r="H16" i="34" s="1"/>
  <c r="E23" i="46"/>
  <c r="J16" i="34" s="1"/>
  <c r="K1046" i="46"/>
  <c r="K1088" i="46"/>
  <c r="K1053" i="46"/>
  <c r="K1100" i="46"/>
  <c r="K1112" i="46"/>
  <c r="L1069" i="46"/>
  <c r="L1080" i="46" s="1"/>
  <c r="L1076" i="46"/>
  <c r="F48" i="46"/>
  <c r="M64" i="46"/>
  <c r="M52" i="46"/>
  <c r="M17" i="46"/>
  <c r="M10" i="46"/>
  <c r="M76" i="46"/>
  <c r="L66" i="46"/>
  <c r="L78" i="46"/>
  <c r="L12" i="46"/>
  <c r="L54" i="46"/>
  <c r="L19" i="46"/>
  <c r="F127" i="70"/>
  <c r="F301" i="70"/>
  <c r="E22" i="46"/>
  <c r="J15" i="34" s="1"/>
  <c r="E57" i="46"/>
  <c r="H15" i="34" s="1"/>
  <c r="E81" i="46"/>
  <c r="D15" i="34" s="1"/>
  <c r="E69" i="46"/>
  <c r="F15" i="34" s="1"/>
  <c r="K1070" i="46"/>
  <c r="K1081" i="46" s="1"/>
  <c r="AF15" i="62" s="1"/>
  <c r="K1077" i="46"/>
  <c r="AF12" i="62" s="1"/>
  <c r="M1070" i="46"/>
  <c r="M1081" i="46" s="1"/>
  <c r="M1077" i="46"/>
  <c r="M1071" i="46"/>
  <c r="M1082" i="46" s="1"/>
  <c r="M1078" i="46"/>
  <c r="F1093" i="46"/>
  <c r="F1117" i="46"/>
  <c r="F1058" i="46"/>
  <c r="F1116" i="46"/>
  <c r="F1104" i="46"/>
  <c r="F1057" i="46"/>
  <c r="F1092" i="46"/>
  <c r="K1069" i="46"/>
  <c r="K1080" i="46" s="1"/>
  <c r="AF14" i="62" s="1"/>
  <c r="K1076" i="46"/>
  <c r="M1089" i="46"/>
  <c r="M1113" i="46"/>
  <c r="M1054" i="46"/>
  <c r="M1101" i="46"/>
  <c r="M1047" i="46"/>
  <c r="L1114" i="46"/>
  <c r="L1102" i="46"/>
  <c r="L1090" i="46"/>
  <c r="L1055" i="46"/>
  <c r="L1048" i="46"/>
  <c r="L1070" i="46"/>
  <c r="L1081" i="46" s="1"/>
  <c r="L1077" i="46"/>
  <c r="J11" i="62"/>
  <c r="F37" i="46"/>
  <c r="K33" i="46"/>
  <c r="K44" i="46" s="1"/>
  <c r="AF14" i="34" s="1"/>
  <c r="K40" i="46"/>
  <c r="K12" i="46"/>
  <c r="K78" i="46"/>
  <c r="K66" i="46"/>
  <c r="K19" i="46"/>
  <c r="Z13" i="34" s="1"/>
  <c r="K54" i="46"/>
  <c r="L11" i="46"/>
  <c r="L18" i="46"/>
  <c r="L65" i="46"/>
  <c r="L77" i="46"/>
  <c r="L53" i="46"/>
  <c r="M19" i="46"/>
  <c r="M78" i="46"/>
  <c r="M12" i="46"/>
  <c r="M66" i="46"/>
  <c r="M54" i="46"/>
  <c r="M34" i="46"/>
  <c r="M45" i="46" s="1"/>
  <c r="M41" i="46"/>
  <c r="G69" i="46"/>
  <c r="G57" i="46"/>
  <c r="G22" i="46"/>
  <c r="G81" i="46"/>
  <c r="E1106" i="46"/>
  <c r="F16" i="62" s="1"/>
  <c r="E1118" i="46"/>
  <c r="D16" i="62" s="1"/>
  <c r="E1094" i="46"/>
  <c r="H16" i="62" s="1"/>
  <c r="E1059" i="46"/>
  <c r="J16" i="62" s="1"/>
  <c r="J11" i="34"/>
  <c r="P11" i="34"/>
  <c r="E48" i="71" s="1"/>
  <c r="E48" i="46"/>
  <c r="G48" i="46"/>
  <c r="K1048" i="46"/>
  <c r="K1055" i="46"/>
  <c r="Z13" i="62" s="1"/>
  <c r="K1102" i="46"/>
  <c r="K1114" i="46"/>
  <c r="K1090" i="46"/>
  <c r="K1047" i="46"/>
  <c r="K1054" i="46"/>
  <c r="Z12" i="62" s="1"/>
  <c r="K1089" i="46"/>
  <c r="K1113" i="46"/>
  <c r="K1101" i="46"/>
  <c r="L1078" i="46"/>
  <c r="L1071" i="46"/>
  <c r="L1082" i="46" s="1"/>
  <c r="L1113" i="46"/>
  <c r="L1054" i="46"/>
  <c r="L1089" i="46"/>
  <c r="L1047" i="46"/>
  <c r="L1101" i="46"/>
  <c r="L1088" i="46"/>
  <c r="L1053" i="46"/>
  <c r="L1112" i="46"/>
  <c r="L1046" i="46"/>
  <c r="L1100" i="46"/>
  <c r="E1057" i="46"/>
  <c r="J14" i="62" s="1"/>
  <c r="E1092" i="46"/>
  <c r="H14" i="62" s="1"/>
  <c r="E1104" i="46"/>
  <c r="F14" i="62" s="1"/>
  <c r="E1116" i="46"/>
  <c r="D14" i="62" s="1"/>
  <c r="F1094" i="46"/>
  <c r="F1059" i="46"/>
  <c r="F1118" i="46"/>
  <c r="F1106" i="46"/>
  <c r="G1117" i="46"/>
  <c r="G1058" i="46"/>
  <c r="G1061" i="46" s="1"/>
  <c r="G1093" i="46"/>
  <c r="F57" i="46"/>
  <c r="F22" i="46"/>
  <c r="F81" i="46"/>
  <c r="F69" i="46"/>
  <c r="F14" i="46"/>
  <c r="F68" i="46"/>
  <c r="F21" i="46"/>
  <c r="F56" i="46"/>
  <c r="F80" i="46"/>
  <c r="K10" i="46"/>
  <c r="K64" i="46"/>
  <c r="K17" i="46"/>
  <c r="K76" i="46"/>
  <c r="K52" i="46"/>
  <c r="K11" i="46"/>
  <c r="K18" i="46"/>
  <c r="Z12" i="34" s="1"/>
  <c r="K53" i="46"/>
  <c r="K77" i="46"/>
  <c r="K65" i="46"/>
  <c r="M40" i="46"/>
  <c r="M33" i="46"/>
  <c r="M44" i="46" s="1"/>
  <c r="M65" i="46"/>
  <c r="M53" i="46"/>
  <c r="M11" i="46"/>
  <c r="M77" i="46"/>
  <c r="M18" i="46"/>
  <c r="L42" i="46"/>
  <c r="L35" i="46"/>
  <c r="L46" i="46" s="1"/>
  <c r="G14" i="46"/>
  <c r="F23" i="46"/>
  <c r="F58" i="46"/>
  <c r="F82" i="46"/>
  <c r="F70" i="46"/>
  <c r="P11" i="62"/>
  <c r="E145" i="71" s="1"/>
  <c r="E1084" i="46"/>
  <c r="P17" i="62" s="1"/>
  <c r="F1050" i="46"/>
  <c r="M123" i="70"/>
  <c r="L123" i="70"/>
  <c r="G1073" i="46"/>
  <c r="L127" i="70"/>
  <c r="L124" i="70"/>
  <c r="M301" i="70"/>
  <c r="M298" i="70"/>
  <c r="L297" i="70"/>
  <c r="M124" i="70"/>
  <c r="M297" i="70"/>
  <c r="M296" i="70"/>
  <c r="M125" i="70"/>
  <c r="L298" i="70"/>
  <c r="L125" i="70"/>
  <c r="K248" i="38"/>
  <c r="K334" i="71" s="1"/>
  <c r="K39" i="70"/>
  <c r="O160" i="47"/>
  <c r="W18" i="60"/>
  <c r="K9" i="71" s="1"/>
  <c r="E148" i="71"/>
  <c r="E299" i="70"/>
  <c r="E51" i="71"/>
  <c r="E126" i="70"/>
  <c r="E53" i="71"/>
  <c r="E128" i="70"/>
  <c r="E52" i="71"/>
  <c r="E127" i="70"/>
  <c r="F1073" i="46"/>
  <c r="F299" i="70"/>
  <c r="E150" i="71"/>
  <c r="E301" i="70"/>
  <c r="E149" i="71"/>
  <c r="E300" i="70"/>
  <c r="E1073" i="46"/>
  <c r="E37" i="46"/>
  <c r="P17" i="34" s="1"/>
  <c r="E1050" i="46"/>
  <c r="H11" i="34"/>
  <c r="D11" i="62"/>
  <c r="F11" i="34"/>
  <c r="F11" i="62"/>
  <c r="F15" i="62"/>
  <c r="D11" i="34"/>
  <c r="H11" i="62"/>
  <c r="G1050" i="46"/>
  <c r="J115" i="52"/>
  <c r="H6" i="51" s="1"/>
  <c r="J136" i="52"/>
  <c r="H6" i="68" s="1"/>
  <c r="L128" i="70" l="1"/>
  <c r="M299" i="70"/>
  <c r="L301" i="70"/>
  <c r="L299" i="70"/>
  <c r="G60" i="46"/>
  <c r="M128" i="70"/>
  <c r="L1050" i="46"/>
  <c r="M127" i="70"/>
  <c r="K14" i="46"/>
  <c r="L300" i="70"/>
  <c r="M48" i="46"/>
  <c r="F60" i="46"/>
  <c r="L14" i="46"/>
  <c r="K69" i="46"/>
  <c r="K22" i="46"/>
  <c r="Z15" i="34" s="1"/>
  <c r="K57" i="46"/>
  <c r="K81" i="46"/>
  <c r="K1093" i="46"/>
  <c r="K1117" i="46"/>
  <c r="K1058" i="46"/>
  <c r="Z15" i="62" s="1"/>
  <c r="AF11" i="34"/>
  <c r="K48" i="46"/>
  <c r="L1084" i="46"/>
  <c r="Z11" i="62"/>
  <c r="Z11" i="34"/>
  <c r="M70" i="46"/>
  <c r="M82" i="46"/>
  <c r="M23" i="46"/>
  <c r="M58" i="46"/>
  <c r="AF11" i="62"/>
  <c r="K1084" i="46"/>
  <c r="M21" i="46"/>
  <c r="M68" i="46"/>
  <c r="M56" i="46"/>
  <c r="M80" i="46"/>
  <c r="M1057" i="46"/>
  <c r="M1104" i="46"/>
  <c r="M1116" i="46"/>
  <c r="M1092" i="46"/>
  <c r="M300" i="70"/>
  <c r="M37" i="46"/>
  <c r="F25" i="46"/>
  <c r="L1092" i="46"/>
  <c r="L1116" i="46"/>
  <c r="L1104" i="46"/>
  <c r="L1057" i="46"/>
  <c r="K1094" i="46"/>
  <c r="K1059" i="46"/>
  <c r="Z16" i="62" s="1"/>
  <c r="K1118" i="46"/>
  <c r="K1106" i="46"/>
  <c r="E25" i="46"/>
  <c r="K37" i="46"/>
  <c r="E1061" i="46"/>
  <c r="J17" i="62" s="1"/>
  <c r="L1059" i="46"/>
  <c r="L1106" i="46"/>
  <c r="L1094" i="46"/>
  <c r="L1118" i="46"/>
  <c r="F1061" i="46"/>
  <c r="M14" i="46"/>
  <c r="L80" i="46"/>
  <c r="L68" i="46"/>
  <c r="L21" i="46"/>
  <c r="L56" i="46"/>
  <c r="M1084" i="46"/>
  <c r="L37" i="46"/>
  <c r="K82" i="46"/>
  <c r="K58" i="46"/>
  <c r="K23" i="46"/>
  <c r="Z16" i="34" s="1"/>
  <c r="K70" i="46"/>
  <c r="M1050" i="46"/>
  <c r="M57" i="46"/>
  <c r="M69" i="46"/>
  <c r="M22" i="46"/>
  <c r="M81" i="46"/>
  <c r="K21" i="46"/>
  <c r="Z14" i="34" s="1"/>
  <c r="K68" i="46"/>
  <c r="K56" i="46"/>
  <c r="K80" i="46"/>
  <c r="L1093" i="46"/>
  <c r="L1058" i="46"/>
  <c r="L1117" i="46"/>
  <c r="L22" i="46"/>
  <c r="L57" i="46"/>
  <c r="L69" i="46"/>
  <c r="L81" i="46"/>
  <c r="M1058" i="46"/>
  <c r="M1093" i="46"/>
  <c r="M1117" i="46"/>
  <c r="L70" i="46"/>
  <c r="L58" i="46"/>
  <c r="L23" i="46"/>
  <c r="L82" i="46"/>
  <c r="K1057" i="46"/>
  <c r="Z14" i="62" s="1"/>
  <c r="K1092" i="46"/>
  <c r="K1116" i="46"/>
  <c r="K1104" i="46"/>
  <c r="G25" i="46"/>
  <c r="L48" i="46"/>
  <c r="M1118" i="46"/>
  <c r="M1059" i="46"/>
  <c r="M1106" i="46"/>
  <c r="M1094" i="46"/>
  <c r="J9" i="68"/>
  <c r="J10" i="68" s="1"/>
  <c r="J12" i="68" s="1"/>
  <c r="N35" i="68" s="1"/>
  <c r="J9" i="51"/>
  <c r="J10" i="51" s="1"/>
  <c r="J12" i="51" s="1"/>
  <c r="N35" i="51" s="1"/>
  <c r="M1073" i="46"/>
  <c r="L126" i="70"/>
  <c r="M126" i="70"/>
  <c r="L1073" i="46"/>
  <c r="G72" i="46"/>
  <c r="G1108" i="46"/>
  <c r="G84" i="46"/>
  <c r="F1120" i="46"/>
  <c r="E84" i="46"/>
  <c r="D17" i="34" s="1"/>
  <c r="F1096" i="46"/>
  <c r="F72" i="46"/>
  <c r="E72" i="46"/>
  <c r="F17" i="34" s="1"/>
  <c r="F84" i="46"/>
  <c r="F1108" i="46"/>
  <c r="E1108" i="46"/>
  <c r="F17" i="62" s="1"/>
  <c r="G1096" i="46"/>
  <c r="E60" i="46"/>
  <c r="H17" i="34" s="1"/>
  <c r="G1120" i="46"/>
  <c r="E1096" i="46"/>
  <c r="H17" i="62" s="1"/>
  <c r="E1120" i="46"/>
  <c r="D17" i="62" s="1"/>
  <c r="L60" i="46" l="1"/>
  <c r="L72" i="46"/>
  <c r="L25" i="46"/>
  <c r="M72" i="46"/>
  <c r="L84" i="46"/>
  <c r="K72" i="46"/>
  <c r="K84" i="46"/>
  <c r="K60" i="46"/>
  <c r="K25" i="46"/>
  <c r="M1061" i="46"/>
  <c r="M25" i="46"/>
  <c r="L1061" i="46"/>
  <c r="M84" i="46"/>
  <c r="M60" i="46"/>
  <c r="K1061" i="46"/>
  <c r="M1120" i="46"/>
  <c r="M1096" i="46"/>
  <c r="L1096" i="46"/>
  <c r="M1108" i="46"/>
  <c r="L1120" i="46"/>
  <c r="L1108" i="46"/>
  <c r="E14" i="46" l="1"/>
  <c r="J17" i="34" s="1"/>
  <c r="F1749" i="46" l="1"/>
  <c r="F1593" i="46"/>
  <c r="F1381" i="46"/>
  <c r="G1381" i="46"/>
  <c r="E18" i="29" l="1"/>
  <c r="K18" i="29" s="1"/>
  <c r="A57" i="27" l="1"/>
  <c r="A41" i="27"/>
  <c r="K33" i="28" l="1"/>
  <c r="K32" i="28"/>
  <c r="K31" i="28"/>
  <c r="K30" i="28"/>
  <c r="K29" i="28"/>
  <c r="K28" i="28"/>
  <c r="E511" i="46" l="1"/>
  <c r="E261" i="46"/>
  <c r="E273" i="46"/>
  <c r="E667" i="46"/>
  <c r="G512" i="46"/>
  <c r="G262" i="46"/>
  <c r="G668" i="46"/>
  <c r="G274" i="46"/>
  <c r="G667" i="46"/>
  <c r="G273" i="46"/>
  <c r="G261" i="46"/>
  <c r="G511" i="46"/>
  <c r="F512" i="46"/>
  <c r="F262" i="46"/>
  <c r="F274" i="46"/>
  <c r="F668" i="46"/>
  <c r="F511" i="46"/>
  <c r="F261" i="46"/>
  <c r="F667" i="46"/>
  <c r="F273" i="46"/>
  <c r="E668" i="46"/>
  <c r="E274" i="46"/>
  <c r="E512" i="46"/>
  <c r="E262" i="46"/>
  <c r="G657" i="46"/>
  <c r="G501" i="46"/>
  <c r="G263" i="46"/>
  <c r="G251" i="46"/>
  <c r="G277" i="46" s="1"/>
  <c r="G426" i="46" s="1"/>
  <c r="F657" i="46"/>
  <c r="F501" i="46"/>
  <c r="F263" i="46"/>
  <c r="F251" i="46"/>
  <c r="F277" i="46" s="1"/>
  <c r="F426" i="46" s="1"/>
  <c r="E657" i="46"/>
  <c r="E501" i="46"/>
  <c r="E263" i="46"/>
  <c r="E251" i="46"/>
  <c r="E277" i="46" s="1"/>
  <c r="E426" i="46" s="1"/>
  <c r="F208" i="70"/>
  <c r="G208" i="70"/>
  <c r="D24" i="43"/>
  <c r="D25" i="43"/>
  <c r="D26" i="43"/>
  <c r="D27" i="43"/>
  <c r="D28" i="43"/>
  <c r="D30" i="43"/>
  <c r="D47" i="43"/>
  <c r="D48" i="43"/>
  <c r="D49" i="43"/>
  <c r="D51" i="43"/>
  <c r="D54" i="43"/>
  <c r="D55" i="43"/>
  <c r="D56" i="43"/>
  <c r="D57" i="43"/>
  <c r="E664" i="46" l="1"/>
  <c r="E678" i="46" s="1"/>
  <c r="E757" i="46" s="1"/>
  <c r="E270" i="46"/>
  <c r="E508" i="46"/>
  <c r="E258" i="46"/>
  <c r="E665" i="46"/>
  <c r="E679" i="46" s="1"/>
  <c r="E758" i="46" s="1"/>
  <c r="E271" i="46"/>
  <c r="E509" i="46"/>
  <c r="E259" i="46"/>
  <c r="G505" i="46"/>
  <c r="G255" i="46"/>
  <c r="G267" i="46"/>
  <c r="G294" i="46" s="1"/>
  <c r="G442" i="46" s="1"/>
  <c r="G661" i="46"/>
  <c r="E510" i="46"/>
  <c r="E524" i="46" s="1"/>
  <c r="E603" i="46" s="1"/>
  <c r="E260" i="46"/>
  <c r="E666" i="46"/>
  <c r="E272" i="46"/>
  <c r="F503" i="46"/>
  <c r="F253" i="46"/>
  <c r="F279" i="46" s="1"/>
  <c r="F428" i="46" s="1"/>
  <c r="F659" i="46"/>
  <c r="F265" i="46"/>
  <c r="G662" i="46"/>
  <c r="G676" i="46" s="1"/>
  <c r="G755" i="46" s="1"/>
  <c r="G268" i="46"/>
  <c r="G506" i="46"/>
  <c r="G256" i="46"/>
  <c r="G508" i="46"/>
  <c r="G258" i="46"/>
  <c r="G664" i="46"/>
  <c r="G678" i="46" s="1"/>
  <c r="G757" i="46" s="1"/>
  <c r="G270" i="46"/>
  <c r="E507" i="46"/>
  <c r="E257" i="46"/>
  <c r="E269" i="46"/>
  <c r="E663" i="46"/>
  <c r="E677" i="46" s="1"/>
  <c r="E756" i="46" s="1"/>
  <c r="F661" i="46"/>
  <c r="F267" i="46"/>
  <c r="F294" i="46" s="1"/>
  <c r="F442" i="46" s="1"/>
  <c r="F505" i="46"/>
  <c r="F255" i="46"/>
  <c r="F666" i="46"/>
  <c r="F272" i="46"/>
  <c r="F260" i="46"/>
  <c r="F510" i="46"/>
  <c r="F524" i="46" s="1"/>
  <c r="F603" i="46" s="1"/>
  <c r="E660" i="46"/>
  <c r="E266" i="46"/>
  <c r="E293" i="46" s="1"/>
  <c r="E441" i="46" s="1"/>
  <c r="E504" i="46"/>
  <c r="E254" i="46"/>
  <c r="E506" i="46"/>
  <c r="E256" i="46"/>
  <c r="E662" i="46"/>
  <c r="E676" i="46" s="1"/>
  <c r="E755" i="46" s="1"/>
  <c r="E268" i="46"/>
  <c r="F508" i="46"/>
  <c r="F258" i="46"/>
  <c r="F270" i="46"/>
  <c r="F664" i="46"/>
  <c r="F678" i="46" s="1"/>
  <c r="F757" i="46" s="1"/>
  <c r="G509" i="46"/>
  <c r="G259" i="46"/>
  <c r="G665" i="46"/>
  <c r="G679" i="46" s="1"/>
  <c r="G758" i="46" s="1"/>
  <c r="G271" i="46"/>
  <c r="G663" i="46"/>
  <c r="G677" i="46" s="1"/>
  <c r="G756" i="46" s="1"/>
  <c r="G269" i="46"/>
  <c r="G507" i="46"/>
  <c r="G257" i="46"/>
  <c r="E661" i="46"/>
  <c r="E267" i="46"/>
  <c r="E294" i="46" s="1"/>
  <c r="E442" i="46" s="1"/>
  <c r="E255" i="46"/>
  <c r="E505" i="46"/>
  <c r="E503" i="46"/>
  <c r="E253" i="46"/>
  <c r="E279" i="46" s="1"/>
  <c r="E428" i="46" s="1"/>
  <c r="E265" i="46"/>
  <c r="E659" i="46"/>
  <c r="G504" i="46"/>
  <c r="G254" i="46"/>
  <c r="G660" i="46"/>
  <c r="G266" i="46"/>
  <c r="G293" i="46" s="1"/>
  <c r="G441" i="46" s="1"/>
  <c r="F662" i="46"/>
  <c r="F676" i="46" s="1"/>
  <c r="F755" i="46" s="1"/>
  <c r="F268" i="46"/>
  <c r="F256" i="46"/>
  <c r="F506" i="46"/>
  <c r="F665" i="46"/>
  <c r="F679" i="46" s="1"/>
  <c r="F758" i="46" s="1"/>
  <c r="F271" i="46"/>
  <c r="F509" i="46"/>
  <c r="F259" i="46"/>
  <c r="F507" i="46"/>
  <c r="F257" i="46"/>
  <c r="F663" i="46"/>
  <c r="F677" i="46" s="1"/>
  <c r="F756" i="46" s="1"/>
  <c r="F269" i="46"/>
  <c r="G666" i="46"/>
  <c r="G272" i="46"/>
  <c r="G510" i="46"/>
  <c r="G524" i="46" s="1"/>
  <c r="G603" i="46" s="1"/>
  <c r="G260" i="46"/>
  <c r="G659" i="46"/>
  <c r="G265" i="46"/>
  <c r="G503" i="46"/>
  <c r="G253" i="46"/>
  <c r="G279" i="46" s="1"/>
  <c r="G428" i="46" s="1"/>
  <c r="F504" i="46"/>
  <c r="F254" i="46"/>
  <c r="F660" i="46"/>
  <c r="F266" i="46"/>
  <c r="F293" i="46" s="1"/>
  <c r="F441" i="46" s="1"/>
  <c r="G502" i="46"/>
  <c r="G264" i="46"/>
  <c r="G252" i="46"/>
  <c r="G278" i="46" s="1"/>
  <c r="G427" i="46" s="1"/>
  <c r="G658" i="46"/>
  <c r="E252" i="46"/>
  <c r="E278" i="46" s="1"/>
  <c r="E427" i="46" s="1"/>
  <c r="E658" i="46"/>
  <c r="E502" i="46"/>
  <c r="E264" i="46"/>
  <c r="F658" i="46"/>
  <c r="F502" i="46"/>
  <c r="F264" i="46"/>
  <c r="F252" i="46"/>
  <c r="F278" i="46" s="1"/>
  <c r="F427" i="46" s="1"/>
  <c r="K27" i="28"/>
  <c r="D15" i="38"/>
  <c r="I25" i="28"/>
  <c r="H25" i="28"/>
  <c r="K26" i="28"/>
  <c r="K25" i="28" l="1"/>
  <c r="E12" i="39" l="1"/>
  <c r="F12" i="39"/>
  <c r="G12" i="39"/>
  <c r="G15" i="39" s="1"/>
  <c r="H12" i="39"/>
  <c r="H15" i="39" s="1"/>
  <c r="I12" i="39"/>
  <c r="J12" i="39"/>
  <c r="K12" i="39"/>
  <c r="K15" i="39" s="1"/>
  <c r="L12" i="39"/>
  <c r="L15" i="39" s="1"/>
  <c r="M12" i="39"/>
  <c r="N12" i="39"/>
  <c r="E15" i="39"/>
  <c r="F15" i="39"/>
  <c r="I15" i="39"/>
  <c r="J15" i="39"/>
  <c r="M15" i="39"/>
  <c r="N15" i="39"/>
  <c r="E23" i="39"/>
  <c r="F23" i="39"/>
  <c r="G23" i="39"/>
  <c r="H23" i="39"/>
  <c r="I23" i="39"/>
  <c r="J23" i="39"/>
  <c r="M23" i="39"/>
  <c r="N23" i="39"/>
  <c r="E31" i="39"/>
  <c r="F31" i="39"/>
  <c r="I31" i="39"/>
  <c r="J31" i="39"/>
  <c r="M31" i="39"/>
  <c r="N31" i="39"/>
  <c r="E39" i="39"/>
  <c r="F39" i="39"/>
  <c r="I39" i="39"/>
  <c r="J39" i="39"/>
  <c r="M39" i="39"/>
  <c r="N39" i="39"/>
  <c r="E47" i="39"/>
  <c r="F47" i="39"/>
  <c r="I47" i="39"/>
  <c r="J47" i="39"/>
  <c r="M47" i="39"/>
  <c r="N47" i="39"/>
  <c r="E23" i="38"/>
  <c r="E25" i="38" s="1"/>
  <c r="H39" i="39" l="1"/>
  <c r="K39" i="39"/>
  <c r="G39" i="39"/>
  <c r="L39" i="39"/>
  <c r="L23" i="39"/>
  <c r="K23" i="39"/>
  <c r="E141" i="38"/>
  <c r="E130" i="38"/>
  <c r="E246" i="38"/>
  <c r="E236" i="38"/>
  <c r="E195" i="38"/>
  <c r="E185" i="38"/>
  <c r="E177" i="38"/>
  <c r="E228" i="38"/>
  <c r="E206" i="38"/>
  <c r="E217" i="38"/>
  <c r="E109" i="38"/>
  <c r="E101" i="38"/>
  <c r="E152" i="38"/>
  <c r="E170" i="38"/>
  <c r="E160" i="38"/>
  <c r="E119" i="38"/>
  <c r="E84" i="38"/>
  <c r="E94" i="38"/>
  <c r="E65" i="38"/>
  <c r="E76" i="38"/>
  <c r="E43" i="38"/>
  <c r="E54" i="38"/>
  <c r="E33" i="38"/>
  <c r="L47" i="39"/>
  <c r="H47" i="39"/>
  <c r="L31" i="39"/>
  <c r="H31" i="39"/>
  <c r="K47" i="39"/>
  <c r="G47" i="39"/>
  <c r="K31" i="39"/>
  <c r="G31" i="39"/>
  <c r="E2034" i="46" l="1"/>
  <c r="E146" i="38" s="1"/>
  <c r="E983" i="46"/>
  <c r="A14" i="31"/>
  <c r="A412" i="31"/>
  <c r="A413" i="31"/>
  <c r="A414" i="31"/>
  <c r="A415" i="31"/>
  <c r="A416" i="31"/>
  <c r="A417" i="31"/>
  <c r="A418" i="31"/>
  <c r="A419" i="31"/>
  <c r="A420" i="31"/>
  <c r="A421" i="31"/>
  <c r="A422" i="31"/>
  <c r="A423" i="31"/>
  <c r="A424" i="31"/>
  <c r="A425" i="31"/>
  <c r="A426" i="31"/>
  <c r="A427" i="31"/>
  <c r="A428" i="31"/>
  <c r="A429" i="31"/>
  <c r="A430" i="31"/>
  <c r="A431" i="31"/>
  <c r="A432" i="31"/>
  <c r="E999" i="46" l="1"/>
  <c r="E59" i="38" s="1"/>
  <c r="E70" i="38"/>
  <c r="E2020" i="46"/>
  <c r="E2050" i="46"/>
  <c r="E135" i="38" s="1"/>
  <c r="E969" i="46"/>
  <c r="E46" i="38" s="1"/>
  <c r="E251" i="31"/>
  <c r="E2081" i="46"/>
  <c r="E2085" i="46" s="1"/>
  <c r="E260" i="31" s="1"/>
  <c r="E2073" i="46"/>
  <c r="E2077" i="46" s="1"/>
  <c r="E259" i="31" s="1"/>
  <c r="E2065" i="46"/>
  <c r="E2069" i="46" s="1"/>
  <c r="E258" i="31" s="1"/>
  <c r="E2057" i="46"/>
  <c r="E2061" i="46" s="1"/>
  <c r="E257" i="31" s="1"/>
  <c r="E1030" i="46"/>
  <c r="E1034" i="46" s="1"/>
  <c r="E58" i="31" s="1"/>
  <c r="E1014" i="46"/>
  <c r="E1018" i="46" s="1"/>
  <c r="E1022" i="46"/>
  <c r="E1026" i="46" s="1"/>
  <c r="E1005" i="46"/>
  <c r="E1010" i="46" s="1"/>
  <c r="E49" i="31"/>
  <c r="E325" i="31" l="1"/>
  <c r="E1963" i="46" s="1"/>
  <c r="U25" i="64" s="1"/>
  <c r="E323" i="31"/>
  <c r="E1960" i="46" s="1"/>
  <c r="E324" i="31"/>
  <c r="E322" i="31"/>
  <c r="E344" i="31" s="1"/>
  <c r="E236" i="71"/>
  <c r="E278" i="71"/>
  <c r="K49" i="32"/>
  <c r="K257" i="32"/>
  <c r="F71" i="1"/>
  <c r="K251" i="32"/>
  <c r="K258" i="32"/>
  <c r="K259" i="32"/>
  <c r="K58" i="32"/>
  <c r="K260" i="32"/>
  <c r="E224" i="71"/>
  <c r="E231" i="71"/>
  <c r="E18" i="31"/>
  <c r="E55" i="31"/>
  <c r="E57" i="31"/>
  <c r="E56" i="31"/>
  <c r="F61" i="1"/>
  <c r="K34" i="28"/>
  <c r="K22" i="28"/>
  <c r="K23" i="28"/>
  <c r="K24" i="28"/>
  <c r="K35" i="28"/>
  <c r="K36" i="28"/>
  <c r="E42" i="28"/>
  <c r="E43" i="28"/>
  <c r="E1959" i="46" l="1"/>
  <c r="E1961" i="46" s="1"/>
  <c r="U24" i="64" s="1"/>
  <c r="E1325" i="46"/>
  <c r="K322" i="32"/>
  <c r="E346" i="31"/>
  <c r="K324" i="32"/>
  <c r="E345" i="31"/>
  <c r="K323" i="32"/>
  <c r="K325" i="32"/>
  <c r="E347" i="31"/>
  <c r="E121" i="31"/>
  <c r="E119" i="31"/>
  <c r="E122" i="31"/>
  <c r="E120" i="31"/>
  <c r="K5" i="62"/>
  <c r="U5" i="64"/>
  <c r="I5" i="65"/>
  <c r="U5" i="63"/>
  <c r="I5" i="66"/>
  <c r="E155" i="70"/>
  <c r="E164" i="70"/>
  <c r="E222" i="38"/>
  <c r="E24" i="70"/>
  <c r="K1029" i="46"/>
  <c r="K2027" i="46"/>
  <c r="K976" i="46"/>
  <c r="K2064" i="46"/>
  <c r="K2056" i="46"/>
  <c r="K2080" i="46"/>
  <c r="K2072" i="46"/>
  <c r="K18" i="32"/>
  <c r="K57" i="32"/>
  <c r="K56" i="32"/>
  <c r="K55" i="32"/>
  <c r="K5" i="34"/>
  <c r="E273" i="71"/>
  <c r="F81" i="1"/>
  <c r="E44" i="28"/>
  <c r="D47" i="1"/>
  <c r="D43" i="1"/>
  <c r="K1982" i="46" l="1"/>
  <c r="K931" i="46"/>
  <c r="E1580" i="46"/>
  <c r="E1563" i="46"/>
  <c r="E1736" i="46"/>
  <c r="E1719" i="46"/>
  <c r="E1368" i="46"/>
  <c r="E1338" i="46"/>
  <c r="E1502" i="46"/>
  <c r="E1517" i="46" s="1"/>
  <c r="K346" i="32"/>
  <c r="K1656" i="46" s="1"/>
  <c r="K347" i="32"/>
  <c r="K1500" i="46" s="1"/>
  <c r="K345" i="32"/>
  <c r="K1224" i="46" s="1"/>
  <c r="K344" i="32"/>
  <c r="K1211" i="46" s="1"/>
  <c r="K122" i="32"/>
  <c r="E144" i="31"/>
  <c r="E527" i="46" s="1"/>
  <c r="E912" i="46"/>
  <c r="U25" i="63" s="1"/>
  <c r="K121" i="32"/>
  <c r="E143" i="31"/>
  <c r="E683" i="46" s="1"/>
  <c r="E911" i="46"/>
  <c r="U26" i="63" s="1"/>
  <c r="K119" i="32"/>
  <c r="E141" i="31"/>
  <c r="E289" i="46" s="1"/>
  <c r="E908" i="46"/>
  <c r="K120" i="32"/>
  <c r="E142" i="31"/>
  <c r="E302" i="46" s="1"/>
  <c r="E909" i="46"/>
  <c r="K4" i="62"/>
  <c r="U4" i="64"/>
  <c r="I4" i="65"/>
  <c r="I4" i="66"/>
  <c r="U4" i="63"/>
  <c r="E320" i="71"/>
  <c r="E337" i="70"/>
  <c r="K1004" i="46"/>
  <c r="K1021" i="46"/>
  <c r="K1013" i="46"/>
  <c r="E1355" i="46"/>
  <c r="E1226" i="46"/>
  <c r="E1387" i="46"/>
  <c r="K4" i="34"/>
  <c r="D41" i="1"/>
  <c r="K141" i="32" l="1"/>
  <c r="K175" i="46" s="1"/>
  <c r="K941" i="46"/>
  <c r="K938" i="46"/>
  <c r="K951" i="46"/>
  <c r="K1989" i="46"/>
  <c r="K1992" i="46"/>
  <c r="K2002" i="46"/>
  <c r="E1509" i="46"/>
  <c r="E1516" i="46"/>
  <c r="E1505" i="46"/>
  <c r="E1507" i="46"/>
  <c r="E1510" i="46"/>
  <c r="E1513" i="46"/>
  <c r="E1512" i="46"/>
  <c r="E700" i="46"/>
  <c r="E745" i="46"/>
  <c r="E1506" i="46"/>
  <c r="E1514" i="46"/>
  <c r="E910" i="46"/>
  <c r="U24" i="63" s="1"/>
  <c r="K143" i="32"/>
  <c r="K620" i="46" s="1"/>
  <c r="E622" i="46"/>
  <c r="E637" i="46" s="1"/>
  <c r="E1515" i="46"/>
  <c r="E1508" i="46"/>
  <c r="E1511" i="46"/>
  <c r="K1368" i="46"/>
  <c r="K142" i="32"/>
  <c r="K188" i="46" s="1"/>
  <c r="K144" i="32"/>
  <c r="K464" i="46" s="1"/>
  <c r="E319" i="46"/>
  <c r="E332" i="46"/>
  <c r="E1232" i="46"/>
  <c r="E1251" i="46"/>
  <c r="E1242" i="46"/>
  <c r="E1249" i="46"/>
  <c r="E1244" i="46"/>
  <c r="E1229" i="46"/>
  <c r="E1241" i="46"/>
  <c r="E1237" i="46"/>
  <c r="E1230" i="46"/>
  <c r="E1234" i="46"/>
  <c r="E1233" i="46"/>
  <c r="E1248" i="46"/>
  <c r="E1250" i="46"/>
  <c r="E1245" i="46"/>
  <c r="E1236" i="46"/>
  <c r="E1231" i="46"/>
  <c r="E1253" i="46"/>
  <c r="E1252" i="46"/>
  <c r="E1247" i="46"/>
  <c r="E1238" i="46"/>
  <c r="E1239" i="46"/>
  <c r="E1240" i="46"/>
  <c r="E1246" i="46"/>
  <c r="E1243" i="46"/>
  <c r="E1235" i="46"/>
  <c r="E190" i="46"/>
  <c r="E218" i="46" s="1"/>
  <c r="Q218" i="46" s="1"/>
  <c r="E1254" i="46"/>
  <c r="S20" i="65" l="1"/>
  <c r="K35" i="71" s="1"/>
  <c r="K106" i="70"/>
  <c r="K62" i="31"/>
  <c r="O62" i="31" s="1"/>
  <c r="K958" i="46"/>
  <c r="S20" i="66"/>
  <c r="K132" i="71" s="1"/>
  <c r="K279" i="70"/>
  <c r="K264" i="31"/>
  <c r="O264" i="31" s="1"/>
  <c r="K2009" i="46"/>
  <c r="O20" i="66"/>
  <c r="K1999" i="46"/>
  <c r="O26" i="66" s="1"/>
  <c r="O20" i="65"/>
  <c r="K948" i="46"/>
  <c r="O26" i="65" s="1"/>
  <c r="K1580" i="46"/>
  <c r="K1736" i="46"/>
  <c r="K1355" i="46"/>
  <c r="E635" i="46"/>
  <c r="E627" i="46"/>
  <c r="E630" i="46"/>
  <c r="E631" i="46"/>
  <c r="E628" i="46"/>
  <c r="E634" i="46"/>
  <c r="E625" i="46"/>
  <c r="E636" i="46"/>
  <c r="E633" i="46"/>
  <c r="E629" i="46"/>
  <c r="E632" i="46"/>
  <c r="E626" i="46"/>
  <c r="E466" i="46"/>
  <c r="E544" i="46"/>
  <c r="E204" i="46"/>
  <c r="Q204" i="46" s="1"/>
  <c r="E217" i="46"/>
  <c r="Q217" i="46" s="1"/>
  <c r="E213" i="46"/>
  <c r="Q213" i="46" s="1"/>
  <c r="E197" i="46"/>
  <c r="Q197" i="46" s="1"/>
  <c r="E199" i="46"/>
  <c r="Q199" i="46" s="1"/>
  <c r="E206" i="46"/>
  <c r="Q206" i="46" s="1"/>
  <c r="E194" i="46"/>
  <c r="Q194" i="46" s="1"/>
  <c r="E208" i="46"/>
  <c r="Q208" i="46" s="1"/>
  <c r="E212" i="46"/>
  <c r="Q212" i="46" s="1"/>
  <c r="E215" i="46"/>
  <c r="Q215" i="46" s="1"/>
  <c r="E209" i="46"/>
  <c r="Q209" i="46" s="1"/>
  <c r="E201" i="46"/>
  <c r="Q201" i="46" s="1"/>
  <c r="E211" i="46"/>
  <c r="Q211" i="46" s="1"/>
  <c r="E195" i="46"/>
  <c r="Q195" i="46" s="1"/>
  <c r="E198" i="46"/>
  <c r="Q198" i="46" s="1"/>
  <c r="E202" i="46"/>
  <c r="Q202" i="46" s="1"/>
  <c r="E207" i="46"/>
  <c r="Q207" i="46" s="1"/>
  <c r="E214" i="46"/>
  <c r="Q214" i="46" s="1"/>
  <c r="E193" i="46"/>
  <c r="Q193" i="46" s="1"/>
  <c r="E196" i="46"/>
  <c r="Q196" i="46" s="1"/>
  <c r="E200" i="46"/>
  <c r="Q200" i="46" s="1"/>
  <c r="E203" i="46"/>
  <c r="Q203" i="46" s="1"/>
  <c r="E216" i="46"/>
  <c r="Q216" i="46" s="1"/>
  <c r="E210" i="46"/>
  <c r="Q210" i="46" s="1"/>
  <c r="E205" i="46"/>
  <c r="Q205" i="46" s="1"/>
  <c r="K2039" i="46" l="1"/>
  <c r="K2042" i="46" s="1"/>
  <c r="K253" i="31" s="1"/>
  <c r="O253" i="31" s="1"/>
  <c r="K2030" i="46"/>
  <c r="K2047" i="46"/>
  <c r="K132" i="38" s="1"/>
  <c r="K254" i="31"/>
  <c r="K270" i="31"/>
  <c r="O270" i="31" s="1"/>
  <c r="K2018" i="46"/>
  <c r="S26" i="66"/>
  <c r="K138" i="71" s="1"/>
  <c r="K285" i="70"/>
  <c r="K68" i="31"/>
  <c r="O68" i="31" s="1"/>
  <c r="K979" i="46"/>
  <c r="K112" i="70"/>
  <c r="K996" i="46"/>
  <c r="K56" i="38" s="1"/>
  <c r="K52" i="31"/>
  <c r="S26" i="65"/>
  <c r="K41" i="71" s="1"/>
  <c r="K988" i="46"/>
  <c r="K991" i="46" s="1"/>
  <c r="K51" i="31" s="1"/>
  <c r="O51" i="31" s="1"/>
  <c r="E481" i="46"/>
  <c r="E479" i="46"/>
  <c r="E470" i="46"/>
  <c r="E478" i="46"/>
  <c r="E480" i="46"/>
  <c r="E476" i="46"/>
  <c r="E473" i="46"/>
  <c r="E474" i="46"/>
  <c r="E477" i="46"/>
  <c r="E471" i="46"/>
  <c r="E469" i="46"/>
  <c r="E475" i="46"/>
  <c r="E472" i="46"/>
  <c r="K319" i="46"/>
  <c r="M161" i="70" l="1"/>
  <c r="K228" i="71"/>
  <c r="L161" i="70"/>
  <c r="K161" i="70"/>
  <c r="O254" i="31"/>
  <c r="K73" i="1"/>
  <c r="M334" i="70"/>
  <c r="K334" i="70"/>
  <c r="L334" i="70"/>
  <c r="K270" i="71"/>
  <c r="K68" i="38"/>
  <c r="K235" i="71" s="1"/>
  <c r="K144" i="38"/>
  <c r="K277" i="71" s="1"/>
  <c r="O52" i="31"/>
  <c r="K63" i="1"/>
  <c r="K544" i="46"/>
  <c r="K700" i="46"/>
  <c r="K332" i="46"/>
  <c r="G2034" i="46"/>
  <c r="G2050" i="46" s="1"/>
  <c r="G2053" i="46" s="1"/>
  <c r="F2034" i="46"/>
  <c r="F2050" i="46" l="1"/>
  <c r="E480" i="38"/>
  <c r="E346" i="38"/>
  <c r="G2020" i="46"/>
  <c r="F2020" i="46"/>
  <c r="F251" i="31"/>
  <c r="F2081" i="46"/>
  <c r="F2073" i="46"/>
  <c r="F2065" i="46"/>
  <c r="F2057" i="46"/>
  <c r="G251" i="31"/>
  <c r="G2073" i="46"/>
  <c r="G2065" i="46"/>
  <c r="G2057" i="46"/>
  <c r="G2081" i="46"/>
  <c r="E420" i="38" l="1"/>
  <c r="E286" i="38"/>
  <c r="F2053" i="46"/>
  <c r="E450" i="38"/>
  <c r="E316" i="38"/>
  <c r="I251" i="31"/>
  <c r="M251" i="32"/>
  <c r="M2027" i="46" s="1"/>
  <c r="F337" i="70"/>
  <c r="L251" i="32"/>
  <c r="E451" i="38" l="1"/>
  <c r="E317" i="38"/>
  <c r="G337" i="70"/>
  <c r="L2027" i="46"/>
  <c r="O251" i="32"/>
  <c r="K1381" i="46" l="1"/>
  <c r="F983" i="46" l="1"/>
  <c r="F999" i="46" l="1"/>
  <c r="E470" i="38"/>
  <c r="E336" i="38"/>
  <c r="F969" i="46"/>
  <c r="F2061" i="46"/>
  <c r="F257" i="31" s="1"/>
  <c r="F2085" i="46"/>
  <c r="F260" i="31" s="1"/>
  <c r="F2077" i="46"/>
  <c r="F259" i="31" s="1"/>
  <c r="F2069" i="46"/>
  <c r="F258" i="31" s="1"/>
  <c r="F345" i="31" s="1"/>
  <c r="F1338" i="46" s="1"/>
  <c r="F1022" i="46"/>
  <c r="F1026" i="46" s="1"/>
  <c r="F1030" i="46"/>
  <c r="F1034" i="46" s="1"/>
  <c r="F1005" i="46"/>
  <c r="F1010" i="46" s="1"/>
  <c r="F1014" i="46"/>
  <c r="F1018" i="46" s="1"/>
  <c r="F164" i="70"/>
  <c r="F49" i="31"/>
  <c r="G983" i="46"/>
  <c r="G999" i="46" s="1"/>
  <c r="G1001" i="46" s="1"/>
  <c r="F346" i="31" l="1"/>
  <c r="F1719" i="46" s="1"/>
  <c r="F347" i="31"/>
  <c r="F1563" i="46" s="1"/>
  <c r="F325" i="31"/>
  <c r="F323" i="31"/>
  <c r="F324" i="31"/>
  <c r="F322" i="31"/>
  <c r="F344" i="31" s="1"/>
  <c r="F1325" i="46" s="1"/>
  <c r="F155" i="70"/>
  <c r="E411" i="38"/>
  <c r="E277" i="38"/>
  <c r="F1001" i="46"/>
  <c r="E441" i="38"/>
  <c r="E307" i="38"/>
  <c r="G969" i="46"/>
  <c r="G155" i="70" s="1"/>
  <c r="F18" i="31"/>
  <c r="L49" i="32"/>
  <c r="L260" i="32"/>
  <c r="L257" i="32"/>
  <c r="L258" i="32"/>
  <c r="L259" i="32"/>
  <c r="G2085" i="46"/>
  <c r="G260" i="31" s="1"/>
  <c r="G347" i="31" s="1"/>
  <c r="G1563" i="46" s="1"/>
  <c r="G2077" i="46"/>
  <c r="G259" i="31" s="1"/>
  <c r="G346" i="31" s="1"/>
  <c r="G1719" i="46" s="1"/>
  <c r="G2069" i="46"/>
  <c r="G258" i="31" s="1"/>
  <c r="G345" i="31" s="1"/>
  <c r="G1338" i="46" s="1"/>
  <c r="G2061" i="46"/>
  <c r="G257" i="31" s="1"/>
  <c r="F56" i="31"/>
  <c r="F55" i="31"/>
  <c r="F58" i="31"/>
  <c r="F57" i="31"/>
  <c r="G1022" i="46"/>
  <c r="G1026" i="46" s="1"/>
  <c r="G1030" i="46"/>
  <c r="G1034" i="46" s="1"/>
  <c r="G1014" i="46"/>
  <c r="G1018" i="46" s="1"/>
  <c r="G1005" i="46"/>
  <c r="G1010" i="46" s="1"/>
  <c r="G164" i="70"/>
  <c r="G49" i="31"/>
  <c r="I49" i="31" s="1"/>
  <c r="L323" i="32" l="1"/>
  <c r="L345" i="32" s="1"/>
  <c r="L1224" i="46" s="1"/>
  <c r="F1960" i="46"/>
  <c r="L322" i="32"/>
  <c r="F1959" i="46"/>
  <c r="L325" i="32"/>
  <c r="L347" i="32" s="1"/>
  <c r="L1500" i="46" s="1"/>
  <c r="F1963" i="46"/>
  <c r="L324" i="32"/>
  <c r="L346" i="32" s="1"/>
  <c r="L1656" i="46" s="1"/>
  <c r="F1962" i="46"/>
  <c r="F1502" i="46"/>
  <c r="F1517" i="46" s="1"/>
  <c r="F1580" i="46"/>
  <c r="F1736" i="46"/>
  <c r="F1658" i="46"/>
  <c r="F1673" i="46" s="1"/>
  <c r="G324" i="31"/>
  <c r="G325" i="31"/>
  <c r="G323" i="31"/>
  <c r="G322" i="31"/>
  <c r="G344" i="31" s="1"/>
  <c r="G1325" i="46" s="1"/>
  <c r="F119" i="31"/>
  <c r="F121" i="31"/>
  <c r="F120" i="31"/>
  <c r="F122" i="31"/>
  <c r="F24" i="70"/>
  <c r="E356" i="38"/>
  <c r="E442" i="38"/>
  <c r="E308" i="38"/>
  <c r="I258" i="31"/>
  <c r="I345" i="31"/>
  <c r="I259" i="31"/>
  <c r="I260" i="31"/>
  <c r="I257" i="31"/>
  <c r="L976" i="46"/>
  <c r="L2072" i="46"/>
  <c r="L2056" i="46"/>
  <c r="L2064" i="46"/>
  <c r="L2080" i="46"/>
  <c r="G18" i="31"/>
  <c r="E490" i="38" s="1"/>
  <c r="M49" i="32"/>
  <c r="M976" i="46" s="1"/>
  <c r="F142" i="31"/>
  <c r="F302" i="46" s="1"/>
  <c r="L56" i="32"/>
  <c r="M260" i="32"/>
  <c r="M2080" i="46" s="1"/>
  <c r="F143" i="31"/>
  <c r="L57" i="32"/>
  <c r="M257" i="32"/>
  <c r="M2056" i="46" s="1"/>
  <c r="F1368" i="46"/>
  <c r="F144" i="31"/>
  <c r="F527" i="46" s="1"/>
  <c r="L58" i="32"/>
  <c r="M258" i="32"/>
  <c r="M2064" i="46" s="1"/>
  <c r="F141" i="31"/>
  <c r="F289" i="46" s="1"/>
  <c r="L55" i="32"/>
  <c r="M259" i="32"/>
  <c r="M2072" i="46" s="1"/>
  <c r="L18" i="32"/>
  <c r="G58" i="31"/>
  <c r="I58" i="31" s="1"/>
  <c r="G57" i="31"/>
  <c r="G55" i="31"/>
  <c r="G56" i="31"/>
  <c r="F745" i="46" l="1"/>
  <c r="F683" i="46"/>
  <c r="F1507" i="46"/>
  <c r="F1509" i="46"/>
  <c r="I344" i="31"/>
  <c r="F1508" i="46"/>
  <c r="F1514" i="46"/>
  <c r="F1511" i="46"/>
  <c r="F1513" i="46"/>
  <c r="F1510" i="46"/>
  <c r="F1505" i="46"/>
  <c r="F1506" i="46"/>
  <c r="F1668" i="46"/>
  <c r="F1663" i="46"/>
  <c r="F1961" i="46"/>
  <c r="F1515" i="46"/>
  <c r="F1516" i="46"/>
  <c r="F1512" i="46"/>
  <c r="F1669" i="46"/>
  <c r="F1667" i="46"/>
  <c r="F1670" i="46"/>
  <c r="M324" i="32"/>
  <c r="G1962" i="46"/>
  <c r="L344" i="32"/>
  <c r="L1211" i="46" s="1"/>
  <c r="M322" i="32"/>
  <c r="O322" i="32" s="1"/>
  <c r="G1959" i="46"/>
  <c r="M325" i="32"/>
  <c r="G1963" i="46"/>
  <c r="M323" i="32"/>
  <c r="O323" i="32" s="1"/>
  <c r="G1960" i="46"/>
  <c r="F1666" i="46"/>
  <c r="F1661" i="46"/>
  <c r="F1665" i="46"/>
  <c r="F1662" i="46"/>
  <c r="F1671" i="46"/>
  <c r="F1672" i="46"/>
  <c r="F1664" i="46"/>
  <c r="L122" i="32"/>
  <c r="F912" i="46"/>
  <c r="L120" i="32"/>
  <c r="F909" i="46"/>
  <c r="I322" i="31"/>
  <c r="L121" i="32"/>
  <c r="F911" i="46"/>
  <c r="I324" i="31"/>
  <c r="I323" i="31"/>
  <c r="L119" i="32"/>
  <c r="F908" i="46"/>
  <c r="I325" i="31"/>
  <c r="I126" i="31"/>
  <c r="I125" i="31"/>
  <c r="I124" i="31"/>
  <c r="I123" i="31"/>
  <c r="G119" i="31"/>
  <c r="G121" i="31"/>
  <c r="G120" i="31"/>
  <c r="G122" i="31"/>
  <c r="I57" i="31"/>
  <c r="I56" i="31"/>
  <c r="I55" i="31"/>
  <c r="F700" i="46"/>
  <c r="F622" i="46"/>
  <c r="F637" i="46" s="1"/>
  <c r="O49" i="32"/>
  <c r="I18" i="31"/>
  <c r="G24" i="70"/>
  <c r="L1004" i="46"/>
  <c r="L1029" i="46"/>
  <c r="L1021" i="46"/>
  <c r="L1013" i="46"/>
  <c r="O260" i="32"/>
  <c r="I346" i="31"/>
  <c r="O259" i="32"/>
  <c r="O258" i="32"/>
  <c r="O257" i="32"/>
  <c r="L1368" i="46"/>
  <c r="I347" i="31"/>
  <c r="L143" i="32"/>
  <c r="L620" i="46" s="1"/>
  <c r="G143" i="31"/>
  <c r="M57" i="32"/>
  <c r="M1021" i="46" s="1"/>
  <c r="G142" i="31"/>
  <c r="M56" i="32"/>
  <c r="M1013" i="46" s="1"/>
  <c r="G141" i="31"/>
  <c r="M55" i="32"/>
  <c r="M1004" i="46" s="1"/>
  <c r="G144" i="31"/>
  <c r="M58" i="32"/>
  <c r="M1029" i="46" s="1"/>
  <c r="G1368" i="46"/>
  <c r="L142" i="32"/>
  <c r="L188" i="46" s="1"/>
  <c r="F1355" i="46"/>
  <c r="F1226" i="46"/>
  <c r="L141" i="32"/>
  <c r="L175" i="46" s="1"/>
  <c r="L144" i="32"/>
  <c r="L464" i="46" s="1"/>
  <c r="M18" i="32"/>
  <c r="O18" i="32" s="1"/>
  <c r="O58" i="32" l="1"/>
  <c r="G745" i="46"/>
  <c r="G683" i="46"/>
  <c r="L1736" i="46"/>
  <c r="L1580" i="46"/>
  <c r="L1355" i="46"/>
  <c r="I141" i="31"/>
  <c r="G289" i="46"/>
  <c r="I144" i="31"/>
  <c r="G527" i="46"/>
  <c r="I142" i="31"/>
  <c r="G302" i="46"/>
  <c r="F910" i="46"/>
  <c r="M346" i="32"/>
  <c r="M347" i="32"/>
  <c r="M1500" i="46" s="1"/>
  <c r="M1580" i="46" s="1"/>
  <c r="M344" i="32"/>
  <c r="M345" i="32"/>
  <c r="M1224" i="46" s="1"/>
  <c r="G1961" i="46"/>
  <c r="M122" i="32"/>
  <c r="O122" i="32" s="1"/>
  <c r="G912" i="46"/>
  <c r="M120" i="32"/>
  <c r="O120" i="32" s="1"/>
  <c r="G909" i="46"/>
  <c r="M121" i="32"/>
  <c r="O121" i="32" s="1"/>
  <c r="G911" i="46"/>
  <c r="M119" i="32"/>
  <c r="G908" i="46"/>
  <c r="I120" i="31"/>
  <c r="I122" i="31"/>
  <c r="I119" i="31"/>
  <c r="I121" i="31"/>
  <c r="M143" i="32"/>
  <c r="F635" i="46"/>
  <c r="F631" i="46"/>
  <c r="F632" i="46"/>
  <c r="F634" i="46"/>
  <c r="F630" i="46"/>
  <c r="F627" i="46"/>
  <c r="F629" i="46"/>
  <c r="F625" i="46"/>
  <c r="F628" i="46"/>
  <c r="F626" i="46"/>
  <c r="F633" i="46"/>
  <c r="F636" i="46"/>
  <c r="G1736" i="46"/>
  <c r="G1658" i="46"/>
  <c r="G1580" i="46"/>
  <c r="G1502" i="46"/>
  <c r="F319" i="46"/>
  <c r="F332" i="46"/>
  <c r="F544" i="46"/>
  <c r="I143" i="31"/>
  <c r="G29" i="70"/>
  <c r="F29" i="70"/>
  <c r="E29" i="70"/>
  <c r="O56" i="32"/>
  <c r="O55" i="32"/>
  <c r="O57" i="32"/>
  <c r="G1355" i="46"/>
  <c r="G1226" i="46"/>
  <c r="F190" i="46"/>
  <c r="F218" i="46" s="1"/>
  <c r="M144" i="32"/>
  <c r="M464" i="46" s="1"/>
  <c r="M142" i="32"/>
  <c r="M188" i="46" s="1"/>
  <c r="F1241" i="46"/>
  <c r="F1237" i="46"/>
  <c r="F1254" i="46"/>
  <c r="F1245" i="46"/>
  <c r="F1234" i="46"/>
  <c r="F1233" i="46"/>
  <c r="F1232" i="46"/>
  <c r="F1235" i="46"/>
  <c r="F1242" i="46"/>
  <c r="F1229" i="46"/>
  <c r="F1238" i="46"/>
  <c r="F1244" i="46"/>
  <c r="F1230" i="46"/>
  <c r="F1247" i="46"/>
  <c r="F1249" i="46"/>
  <c r="F1231" i="46"/>
  <c r="F1240" i="46"/>
  <c r="F1248" i="46"/>
  <c r="F1253" i="46"/>
  <c r="F1246" i="46"/>
  <c r="F1251" i="46"/>
  <c r="F1250" i="46"/>
  <c r="F1239" i="46"/>
  <c r="F1243" i="46"/>
  <c r="F1252" i="46"/>
  <c r="F1236" i="46"/>
  <c r="F466" i="46"/>
  <c r="M141" i="32"/>
  <c r="M175" i="46" s="1"/>
  <c r="O143" i="32" l="1"/>
  <c r="M620" i="46"/>
  <c r="M700" i="46" s="1"/>
  <c r="O344" i="32"/>
  <c r="M1211" i="46"/>
  <c r="M1355" i="46" s="1"/>
  <c r="O345" i="32"/>
  <c r="O347" i="32"/>
  <c r="O346" i="32"/>
  <c r="M1656" i="46"/>
  <c r="M1736" i="46" s="1"/>
  <c r="G910" i="46"/>
  <c r="L544" i="46"/>
  <c r="O119" i="32"/>
  <c r="O123" i="31"/>
  <c r="O142" i="32"/>
  <c r="G700" i="46"/>
  <c r="G622" i="46"/>
  <c r="G637" i="46" s="1"/>
  <c r="M1368" i="46"/>
  <c r="G1673" i="46"/>
  <c r="G1667" i="46"/>
  <c r="G1668" i="46"/>
  <c r="G1672" i="46"/>
  <c r="G1666" i="46"/>
  <c r="G1661" i="46"/>
  <c r="G1665" i="46"/>
  <c r="G1662" i="46"/>
  <c r="G1671" i="46"/>
  <c r="G1669" i="46"/>
  <c r="G1664" i="46"/>
  <c r="G1663" i="46"/>
  <c r="G1670" i="46"/>
  <c r="G1517" i="46"/>
  <c r="G1515" i="46"/>
  <c r="G1510" i="46"/>
  <c r="G1505" i="46"/>
  <c r="G1507" i="46"/>
  <c r="G1516" i="46"/>
  <c r="G1511" i="46"/>
  <c r="G1512" i="46"/>
  <c r="G1508" i="46"/>
  <c r="G1506" i="46"/>
  <c r="G1514" i="46"/>
  <c r="G1509" i="46"/>
  <c r="G1513" i="46"/>
  <c r="F479" i="46"/>
  <c r="F480" i="46"/>
  <c r="F477" i="46"/>
  <c r="F469" i="46"/>
  <c r="F472" i="46"/>
  <c r="F475" i="46"/>
  <c r="F474" i="46"/>
  <c r="F471" i="46"/>
  <c r="F470" i="46"/>
  <c r="F476" i="46"/>
  <c r="F473" i="46"/>
  <c r="F478" i="46"/>
  <c r="G544" i="46"/>
  <c r="L332" i="46"/>
  <c r="G319" i="46"/>
  <c r="F217" i="46"/>
  <c r="F204" i="46"/>
  <c r="F199" i="46"/>
  <c r="F198" i="46"/>
  <c r="F194" i="46"/>
  <c r="F207" i="46"/>
  <c r="F193" i="46"/>
  <c r="F200" i="46"/>
  <c r="F214" i="46"/>
  <c r="F209" i="46"/>
  <c r="F206" i="46"/>
  <c r="F201" i="46"/>
  <c r="F197" i="46"/>
  <c r="F211" i="46"/>
  <c r="F195" i="46"/>
  <c r="F213" i="46"/>
  <c r="F202" i="46"/>
  <c r="F196" i="46"/>
  <c r="F215" i="46"/>
  <c r="F208" i="46"/>
  <c r="F212" i="46"/>
  <c r="F216" i="46"/>
  <c r="F203" i="46"/>
  <c r="F210" i="46"/>
  <c r="G332" i="46"/>
  <c r="F481" i="46"/>
  <c r="F205" i="46"/>
  <c r="O141" i="32"/>
  <c r="O144" i="32"/>
  <c r="F1394" i="46"/>
  <c r="G190" i="46"/>
  <c r="G205" i="46" s="1"/>
  <c r="G1241" i="46"/>
  <c r="G1247" i="46"/>
  <c r="G1243" i="46"/>
  <c r="G1251" i="46"/>
  <c r="G1239" i="46"/>
  <c r="G1234" i="46"/>
  <c r="G1231" i="46"/>
  <c r="G1246" i="46"/>
  <c r="G1230" i="46"/>
  <c r="G1232" i="46"/>
  <c r="G1253" i="46"/>
  <c r="G1229" i="46"/>
  <c r="G1244" i="46"/>
  <c r="G1233" i="46"/>
  <c r="G1236" i="46"/>
  <c r="G1250" i="46"/>
  <c r="G1248" i="46"/>
  <c r="G1242" i="46"/>
  <c r="G1252" i="46"/>
  <c r="G1249" i="46"/>
  <c r="G1237" i="46"/>
  <c r="G1240" i="46"/>
  <c r="G1238" i="46"/>
  <c r="G1245" i="46"/>
  <c r="G1235" i="46"/>
  <c r="G1254" i="46"/>
  <c r="G466" i="46"/>
  <c r="L700" i="46" l="1"/>
  <c r="L319" i="46"/>
  <c r="O126" i="31"/>
  <c r="O125" i="31"/>
  <c r="O124" i="31"/>
  <c r="G632" i="46"/>
  <c r="G626" i="46"/>
  <c r="G628" i="46"/>
  <c r="G633" i="46"/>
  <c r="G631" i="46"/>
  <c r="G634" i="46"/>
  <c r="G635" i="46"/>
  <c r="G629" i="46"/>
  <c r="G625" i="46"/>
  <c r="G636" i="46"/>
  <c r="G627" i="46"/>
  <c r="G630" i="46"/>
  <c r="M544" i="46"/>
  <c r="G480" i="46"/>
  <c r="G479" i="46"/>
  <c r="G472" i="46"/>
  <c r="G469" i="46"/>
  <c r="G471" i="46"/>
  <c r="G478" i="46"/>
  <c r="G470" i="46"/>
  <c r="G476" i="46"/>
  <c r="G473" i="46"/>
  <c r="G475" i="46"/>
  <c r="G477" i="46"/>
  <c r="G474" i="46"/>
  <c r="G216" i="46"/>
  <c r="G203" i="46"/>
  <c r="G204" i="46"/>
  <c r="G217" i="46"/>
  <c r="G215" i="46"/>
  <c r="G193" i="46"/>
  <c r="G194" i="46"/>
  <c r="G198" i="46"/>
  <c r="G201" i="46"/>
  <c r="G207" i="46"/>
  <c r="G209" i="46"/>
  <c r="G200" i="46"/>
  <c r="G214" i="46"/>
  <c r="G199" i="46"/>
  <c r="G196" i="46"/>
  <c r="G197" i="46"/>
  <c r="G213" i="46"/>
  <c r="G212" i="46"/>
  <c r="G211" i="46"/>
  <c r="G195" i="46"/>
  <c r="G206" i="46"/>
  <c r="G208" i="46"/>
  <c r="G202" i="46"/>
  <c r="G210" i="46"/>
  <c r="G218" i="46"/>
  <c r="M332" i="46"/>
  <c r="G481" i="46"/>
  <c r="F1890" i="46"/>
  <c r="M319" i="46" l="1"/>
  <c r="F1891" i="46"/>
  <c r="F396" i="31" s="1"/>
  <c r="G1890" i="46"/>
  <c r="G1891" i="46" s="1"/>
  <c r="L396" i="32" l="1"/>
  <c r="G396" i="31"/>
  <c r="L1578" i="46" l="1"/>
  <c r="L1734" i="46"/>
  <c r="M396" i="32"/>
  <c r="F250" i="31" l="1"/>
  <c r="F21" i="68" s="1"/>
  <c r="F22" i="68" s="1"/>
  <c r="F2021" i="46"/>
  <c r="L1810" i="46"/>
  <c r="L1840" i="46" s="1"/>
  <c r="L1366" i="46"/>
  <c r="L1887" i="46" s="1"/>
  <c r="E421" i="38" l="1"/>
  <c r="E287" i="38"/>
  <c r="L250" i="32"/>
  <c r="L2045" i="46" s="1"/>
  <c r="G2021" i="46"/>
  <c r="G2024" i="46" s="1"/>
  <c r="G252" i="31" s="1"/>
  <c r="M252" i="32" s="1"/>
  <c r="M2016" i="46" s="1"/>
  <c r="G250" i="31"/>
  <c r="F2024" i="46"/>
  <c r="L1749" i="46"/>
  <c r="E422" i="38" l="1"/>
  <c r="E288" i="38"/>
  <c r="G21" i="68"/>
  <c r="G22" i="68" s="1"/>
  <c r="M250" i="32"/>
  <c r="M2045" i="46" s="1"/>
  <c r="G24" i="68"/>
  <c r="G25" i="68" s="1"/>
  <c r="F24" i="68"/>
  <c r="F25" i="68" s="1"/>
  <c r="F252" i="31"/>
  <c r="L252" i="32" s="1"/>
  <c r="L2016" i="46" s="1"/>
  <c r="L1593" i="46"/>
  <c r="L1394" i="46"/>
  <c r="E230" i="71" l="1"/>
  <c r="G163" i="70"/>
  <c r="F163" i="70"/>
  <c r="E163" i="70"/>
  <c r="G1749" i="46" l="1"/>
  <c r="G1593" i="46" l="1"/>
  <c r="G1394" i="46"/>
  <c r="G193" i="31"/>
  <c r="F193" i="31"/>
  <c r="F970" i="46" l="1"/>
  <c r="L193" i="32"/>
  <c r="M193" i="32"/>
  <c r="G970" i="46"/>
  <c r="E412" i="38" l="1"/>
  <c r="E278" i="38"/>
  <c r="E1394" i="46"/>
  <c r="F48" i="31"/>
  <c r="F21" i="51" s="1"/>
  <c r="F22" i="51" s="1"/>
  <c r="G48" i="31"/>
  <c r="G21" i="51" s="1"/>
  <c r="G22" i="51" s="1"/>
  <c r="G1412" i="46" l="1"/>
  <c r="G1440" i="46" s="1"/>
  <c r="G1406" i="46"/>
  <c r="G1602" i="46"/>
  <c r="E1593" i="46"/>
  <c r="L48" i="32"/>
  <c r="L994" i="46" s="1"/>
  <c r="G1601" i="46"/>
  <c r="G1847" i="46"/>
  <c r="G1603" i="46"/>
  <c r="G1849" i="46"/>
  <c r="G1854" i="46"/>
  <c r="G1608" i="46"/>
  <c r="G1604" i="46"/>
  <c r="G1850" i="46"/>
  <c r="G1606" i="46"/>
  <c r="G1852" i="46"/>
  <c r="G1609" i="46"/>
  <c r="G1855" i="46"/>
  <c r="G1600" i="46"/>
  <c r="G1846" i="46"/>
  <c r="G1592" i="46"/>
  <c r="G1607" i="46" s="1"/>
  <c r="G1853" i="46"/>
  <c r="G1599" i="46"/>
  <c r="G1845" i="46"/>
  <c r="M1578" i="46"/>
  <c r="M48" i="32"/>
  <c r="M994" i="46" s="1"/>
  <c r="G1565" i="46" l="1"/>
  <c r="G1754" i="46"/>
  <c r="G1769" i="46" s="1"/>
  <c r="G1721" i="46"/>
  <c r="G1598" i="46"/>
  <c r="G1613" i="46" s="1"/>
  <c r="G1371" i="46"/>
  <c r="G1399" i="46" s="1"/>
  <c r="G1427" i="46" s="1"/>
  <c r="G1340" i="46"/>
  <c r="G1851" i="46"/>
  <c r="G401" i="70" s="1"/>
  <c r="G1434" i="46"/>
  <c r="G1917" i="46" s="1"/>
  <c r="G1848" i="46"/>
  <c r="G398" i="70" s="1"/>
  <c r="G1844" i="46"/>
  <c r="G395" i="70"/>
  <c r="G333" i="31"/>
  <c r="G334" i="31"/>
  <c r="G396" i="70"/>
  <c r="G405" i="70"/>
  <c r="G343" i="31"/>
  <c r="G1621" i="46"/>
  <c r="G1918" i="46" s="1"/>
  <c r="G404" i="70"/>
  <c r="G342" i="31"/>
  <c r="G1616" i="46"/>
  <c r="G1913" i="46" s="1"/>
  <c r="G1614" i="46"/>
  <c r="G1911" i="46" s="1"/>
  <c r="G1617" i="46"/>
  <c r="G1914" i="46" s="1"/>
  <c r="G1615" i="46"/>
  <c r="G1912" i="46" s="1"/>
  <c r="G1624" i="46"/>
  <c r="G1921" i="46" s="1"/>
  <c r="G400" i="70"/>
  <c r="G338" i="31"/>
  <c r="G1187" i="46" s="1"/>
  <c r="G399" i="70"/>
  <c r="G337" i="31"/>
  <c r="G341" i="31"/>
  <c r="G403" i="70"/>
  <c r="G1619" i="46"/>
  <c r="G1916" i="46" s="1"/>
  <c r="G1618" i="46"/>
  <c r="G1915" i="46" s="1"/>
  <c r="G1622" i="46"/>
  <c r="G1919" i="46" s="1"/>
  <c r="G402" i="70"/>
  <c r="G340" i="31"/>
  <c r="G1623" i="46"/>
  <c r="G1920" i="46" s="1"/>
  <c r="G335" i="31"/>
  <c r="G397" i="70"/>
  <c r="M1810" i="46"/>
  <c r="M1840" i="46" s="1"/>
  <c r="M1734" i="46"/>
  <c r="M1366" i="46"/>
  <c r="G973" i="46"/>
  <c r="G24" i="51" s="1"/>
  <c r="G25" i="51" s="1"/>
  <c r="F973" i="46"/>
  <c r="G1860" i="46" l="1"/>
  <c r="G1894" i="46" s="1"/>
  <c r="E413" i="38"/>
  <c r="E279" i="38"/>
  <c r="G339" i="31"/>
  <c r="M339" i="32" s="1"/>
  <c r="M1651" i="46" s="1"/>
  <c r="G1857" i="46"/>
  <c r="G332" i="31"/>
  <c r="G336" i="31"/>
  <c r="G394" i="70"/>
  <c r="M335" i="32"/>
  <c r="M1202" i="46" s="1"/>
  <c r="M1316" i="46" s="1"/>
  <c r="M1465" i="46" s="1"/>
  <c r="G369" i="31"/>
  <c r="M369" i="32" s="1"/>
  <c r="G371" i="31"/>
  <c r="M371" i="32" s="1"/>
  <c r="M337" i="32"/>
  <c r="M1217" i="46" s="1"/>
  <c r="M1331" i="46" s="1"/>
  <c r="M1479" i="46" s="1"/>
  <c r="G376" i="31"/>
  <c r="M376" i="32" s="1"/>
  <c r="M342" i="32"/>
  <c r="G377" i="31"/>
  <c r="M377" i="32" s="1"/>
  <c r="M343" i="32"/>
  <c r="G1910" i="46"/>
  <c r="G1923" i="46" s="1"/>
  <c r="G1176" i="46"/>
  <c r="G1179" i="46" s="1"/>
  <c r="M341" i="32"/>
  <c r="M1497" i="46" s="1"/>
  <c r="M1560" i="46" s="1"/>
  <c r="M1639" i="46" s="1"/>
  <c r="G375" i="31"/>
  <c r="M375" i="32" s="1"/>
  <c r="G374" i="31"/>
  <c r="M374" i="32" s="1"/>
  <c r="M340" i="32"/>
  <c r="M1652" i="46" s="1"/>
  <c r="M1715" i="46" s="1"/>
  <c r="M1794" i="46" s="1"/>
  <c r="G372" i="31"/>
  <c r="M372" i="32" s="1"/>
  <c r="M338" i="32"/>
  <c r="M1650" i="46" s="1"/>
  <c r="M1713" i="46" s="1"/>
  <c r="M1792" i="46" s="1"/>
  <c r="G368" i="31"/>
  <c r="M368" i="32" s="1"/>
  <c r="M334" i="32"/>
  <c r="M1201" i="46" s="1"/>
  <c r="M1315" i="46" s="1"/>
  <c r="M1464" i="46" s="1"/>
  <c r="M333" i="32"/>
  <c r="M1200" i="46" s="1"/>
  <c r="M1314" i="46" s="1"/>
  <c r="M1463" i="46" s="1"/>
  <c r="G367" i="31"/>
  <c r="M367" i="32" s="1"/>
  <c r="M1887" i="46"/>
  <c r="M1749" i="46"/>
  <c r="F50" i="31"/>
  <c r="L50" i="32" s="1"/>
  <c r="L966" i="46" s="1"/>
  <c r="F24" i="51"/>
  <c r="F25" i="51" s="1"/>
  <c r="G50" i="31"/>
  <c r="M50" i="32" s="1"/>
  <c r="M966" i="46" s="1"/>
  <c r="M1731" i="46" l="1"/>
  <c r="M1884" i="46" s="1"/>
  <c r="M1714" i="46"/>
  <c r="M1793" i="46" s="1"/>
  <c r="G1166" i="46"/>
  <c r="G370" i="31"/>
  <c r="M370" i="32" s="1"/>
  <c r="M1807" i="46"/>
  <c r="M1837" i="46" s="1"/>
  <c r="G1186" i="46"/>
  <c r="G1189" i="46" s="1"/>
  <c r="G373" i="31"/>
  <c r="M373" i="32" s="1"/>
  <c r="G1924" i="46"/>
  <c r="G1167" i="46"/>
  <c r="M332" i="32"/>
  <c r="M1199" i="46" s="1"/>
  <c r="M1313" i="46" s="1"/>
  <c r="M1462" i="46" s="1"/>
  <c r="M336" i="32"/>
  <c r="M1216" i="46" s="1"/>
  <c r="M1330" i="46" s="1"/>
  <c r="M1478" i="46" s="1"/>
  <c r="G366" i="31"/>
  <c r="M366" i="32" s="1"/>
  <c r="M1344" i="46"/>
  <c r="M1878" i="46" s="1"/>
  <c r="M1801" i="46"/>
  <c r="M1831" i="46" s="1"/>
  <c r="M1806" i="46"/>
  <c r="M1836" i="46" s="1"/>
  <c r="M1730" i="46"/>
  <c r="M1883" i="46" s="1"/>
  <c r="M1658" i="46"/>
  <c r="M1809" i="46"/>
  <c r="M1839" i="46" s="1"/>
  <c r="M1577" i="46"/>
  <c r="M1886" i="46" s="1"/>
  <c r="M1502" i="46"/>
  <c r="M1361" i="46"/>
  <c r="M1882" i="46" s="1"/>
  <c r="M1805" i="46"/>
  <c r="M1835" i="46" s="1"/>
  <c r="M1345" i="46"/>
  <c r="M1879" i="46" s="1"/>
  <c r="M1802" i="46"/>
  <c r="M1832" i="46" s="1"/>
  <c r="M1808" i="46"/>
  <c r="M1838" i="46" s="1"/>
  <c r="M1732" i="46"/>
  <c r="M1885" i="46" s="1"/>
  <c r="M1346" i="46"/>
  <c r="M1880" i="46" s="1"/>
  <c r="M1803" i="46"/>
  <c r="M1833" i="46" s="1"/>
  <c r="M1593" i="46"/>
  <c r="M1394" i="46"/>
  <c r="M1343" i="46" l="1"/>
  <c r="M1877" i="46" s="1"/>
  <c r="G1169" i="46"/>
  <c r="F336" i="70"/>
  <c r="G336" i="70"/>
  <c r="E272" i="71"/>
  <c r="M1800" i="46"/>
  <c r="M1830" i="46" s="1"/>
  <c r="M1226" i="46"/>
  <c r="M1230" i="46" s="1"/>
  <c r="E336" i="70"/>
  <c r="M1360" i="46"/>
  <c r="M1881" i="46" s="1"/>
  <c r="M1804" i="46"/>
  <c r="M1834" i="46" s="1"/>
  <c r="M1514" i="46"/>
  <c r="M1505" i="46"/>
  <c r="M1506" i="46"/>
  <c r="M1511" i="46"/>
  <c r="M1516" i="46"/>
  <c r="M1513" i="46"/>
  <c r="M1509" i="46"/>
  <c r="M1515" i="46"/>
  <c r="M1517" i="46"/>
  <c r="M1508" i="46"/>
  <c r="M1510" i="46"/>
  <c r="M1507" i="46"/>
  <c r="M1512" i="46"/>
  <c r="M1669" i="46"/>
  <c r="M1662" i="46"/>
  <c r="M1671" i="46"/>
  <c r="M1673" i="46"/>
  <c r="M1667" i="46"/>
  <c r="M1672" i="46"/>
  <c r="M1663" i="46"/>
  <c r="M1670" i="46"/>
  <c r="M1661" i="46"/>
  <c r="M1664" i="46"/>
  <c r="M1668" i="46"/>
  <c r="M1666" i="46"/>
  <c r="M1665" i="46"/>
  <c r="M1890" i="46" l="1"/>
  <c r="M1891" i="46" s="1"/>
  <c r="M396" i="31" s="1"/>
  <c r="M1231" i="46"/>
  <c r="M1250" i="46"/>
  <c r="M1239" i="46"/>
  <c r="M1237" i="46"/>
  <c r="M1254" i="46"/>
  <c r="M1233" i="46"/>
  <c r="M1246" i="46"/>
  <c r="M1251" i="46"/>
  <c r="M1252" i="46"/>
  <c r="M1234" i="46"/>
  <c r="M1242" i="46"/>
  <c r="M1232" i="46"/>
  <c r="M1235" i="46"/>
  <c r="M1240" i="46"/>
  <c r="M1245" i="46"/>
  <c r="M1236" i="46"/>
  <c r="M1238" i="46"/>
  <c r="M1249" i="46"/>
  <c r="M1229" i="46"/>
  <c r="M1244" i="46"/>
  <c r="M1243" i="46"/>
  <c r="M1241" i="46"/>
  <c r="M1253" i="46"/>
  <c r="M1248" i="46"/>
  <c r="M1247" i="46"/>
  <c r="E347" i="46" l="1"/>
  <c r="E375" i="46" s="1"/>
  <c r="E403" i="46" s="1"/>
  <c r="G715" i="46"/>
  <c r="G730" i="46" s="1"/>
  <c r="E358" i="46"/>
  <c r="E559" i="46"/>
  <c r="E574" i="46" s="1"/>
  <c r="E589" i="46" s="1"/>
  <c r="F559" i="46"/>
  <c r="F574" i="46" s="1"/>
  <c r="F589" i="46" s="1"/>
  <c r="F360" i="46"/>
  <c r="F388" i="46" s="1"/>
  <c r="F416" i="46" s="1"/>
  <c r="E715" i="46"/>
  <c r="E730" i="46" s="1"/>
  <c r="G347" i="46"/>
  <c r="G375" i="46" s="1"/>
  <c r="G403" i="46" s="1"/>
  <c r="E360" i="46"/>
  <c r="E388" i="46" s="1"/>
  <c r="E416" i="46" s="1"/>
  <c r="F347" i="46"/>
  <c r="F375" i="46" s="1"/>
  <c r="F403" i="46" s="1"/>
  <c r="F715" i="46"/>
  <c r="F730" i="46" s="1"/>
  <c r="G559" i="46"/>
  <c r="G574" i="46" s="1"/>
  <c r="G589" i="46" s="1"/>
  <c r="G360" i="46"/>
  <c r="G388" i="46" s="1"/>
  <c r="G416" i="46" s="1"/>
  <c r="O125" i="32" l="1"/>
  <c r="O126" i="32"/>
  <c r="K1394" i="46" l="1"/>
  <c r="E1381" i="46" l="1"/>
  <c r="E1806" i="46"/>
  <c r="O16" i="64" s="1"/>
  <c r="E1808" i="46"/>
  <c r="E1838" i="46" s="1"/>
  <c r="E1807" i="46"/>
  <c r="O18" i="64" l="1"/>
  <c r="E1836" i="46"/>
  <c r="E1837" i="46"/>
  <c r="O17" i="64"/>
  <c r="F1595" i="46" l="1"/>
  <c r="F1610" i="46" s="1"/>
  <c r="F1625" i="46" s="1"/>
  <c r="E1854" i="46" l="1"/>
  <c r="E342" i="31" s="1"/>
  <c r="F1340" i="46"/>
  <c r="E1849" i="46"/>
  <c r="F1847" i="46"/>
  <c r="F335" i="31" s="1"/>
  <c r="O327" i="32" s="1"/>
  <c r="F1920" i="46"/>
  <c r="F1848" i="46"/>
  <c r="F336" i="31" s="1"/>
  <c r="F1852" i="46"/>
  <c r="F402" i="70" s="1"/>
  <c r="E1846" i="46"/>
  <c r="E1851" i="46"/>
  <c r="F1853" i="46"/>
  <c r="F403" i="70" s="1"/>
  <c r="F1854" i="46"/>
  <c r="F342" i="31" s="1"/>
  <c r="F376" i="31" s="1"/>
  <c r="L376" i="32" s="1"/>
  <c r="E1852" i="46"/>
  <c r="E1850" i="46"/>
  <c r="E1848" i="46"/>
  <c r="F1855" i="46"/>
  <c r="F405" i="70" s="1"/>
  <c r="F1845" i="46"/>
  <c r="F395" i="70" s="1"/>
  <c r="F1851" i="46"/>
  <c r="F339" i="31" s="1"/>
  <c r="F1846" i="46"/>
  <c r="F396" i="70" s="1"/>
  <c r="F1850" i="46"/>
  <c r="F338" i="31" s="1"/>
  <c r="E1565" i="46"/>
  <c r="Y25" i="64" s="1"/>
  <c r="E1845" i="46"/>
  <c r="E1609" i="46"/>
  <c r="E1624" i="46" s="1"/>
  <c r="E1847" i="46"/>
  <c r="F1763" i="46"/>
  <c r="E1754" i="46"/>
  <c r="E1769" i="46" s="1"/>
  <c r="F1754" i="46"/>
  <c r="F1769" i="46" s="1"/>
  <c r="F1721" i="46"/>
  <c r="F1565" i="46"/>
  <c r="F1598" i="46"/>
  <c r="F1613" i="46" s="1"/>
  <c r="F1371" i="46"/>
  <c r="F1399" i="46" s="1"/>
  <c r="F1427" i="46" s="1"/>
  <c r="E1340" i="46"/>
  <c r="Y24" i="64" s="1"/>
  <c r="F1844" i="46"/>
  <c r="F394" i="70" s="1"/>
  <c r="E1844" i="46"/>
  <c r="F1603" i="46"/>
  <c r="F1849" i="46"/>
  <c r="E1421" i="46"/>
  <c r="E1853" i="46"/>
  <c r="E389" i="31" s="1"/>
  <c r="E1592" i="46" s="1"/>
  <c r="E1607" i="46" s="1"/>
  <c r="E1622" i="46" s="1"/>
  <c r="L338" i="32" l="1"/>
  <c r="L1650" i="46" s="1"/>
  <c r="F1187" i="46"/>
  <c r="E376" i="31"/>
  <c r="Y20" i="64" s="1"/>
  <c r="E1177" i="46"/>
  <c r="F398" i="70"/>
  <c r="E400" i="70"/>
  <c r="E386" i="31"/>
  <c r="U15" i="64"/>
  <c r="E203" i="71" s="1"/>
  <c r="E385" i="31"/>
  <c r="U10" i="64"/>
  <c r="E198" i="71" s="1"/>
  <c r="E380" i="31"/>
  <c r="E335" i="31"/>
  <c r="K335" i="32" s="1"/>
  <c r="K1202" i="46" s="1"/>
  <c r="K1316" i="46" s="1"/>
  <c r="K1465" i="46" s="1"/>
  <c r="E383" i="31"/>
  <c r="E402" i="70"/>
  <c r="E388" i="31"/>
  <c r="I389" i="31"/>
  <c r="K389" i="32"/>
  <c r="O389" i="32" s="1"/>
  <c r="E1577" i="46"/>
  <c r="E1886" i="46" s="1"/>
  <c r="E401" i="70"/>
  <c r="E387" i="31"/>
  <c r="E395" i="70"/>
  <c r="E381" i="31"/>
  <c r="U14" i="64"/>
  <c r="E202" i="71" s="1"/>
  <c r="E384" i="31"/>
  <c r="E334" i="31"/>
  <c r="K334" i="32" s="1"/>
  <c r="E382" i="31"/>
  <c r="L1806" i="46"/>
  <c r="L1836" i="46" s="1"/>
  <c r="L1713" i="46"/>
  <c r="L1792" i="46" s="1"/>
  <c r="K376" i="32"/>
  <c r="O376" i="32" s="1"/>
  <c r="F334" i="31"/>
  <c r="F368" i="31" s="1"/>
  <c r="L368" i="32" s="1"/>
  <c r="L342" i="32"/>
  <c r="U18" i="64"/>
  <c r="E206" i="71" s="1"/>
  <c r="F333" i="31"/>
  <c r="L333" i="32" s="1"/>
  <c r="L1200" i="46" s="1"/>
  <c r="L1314" i="46" s="1"/>
  <c r="L1463" i="46" s="1"/>
  <c r="F340" i="31"/>
  <c r="F374" i="31" s="1"/>
  <c r="L374" i="32" s="1"/>
  <c r="F401" i="70"/>
  <c r="E340" i="31"/>
  <c r="E374" i="31" s="1"/>
  <c r="F341" i="31"/>
  <c r="F375" i="31" s="1"/>
  <c r="L375" i="32" s="1"/>
  <c r="F1913" i="46"/>
  <c r="F404" i="70"/>
  <c r="I342" i="31"/>
  <c r="F372" i="31"/>
  <c r="L372" i="32" s="1"/>
  <c r="L1730" i="46"/>
  <c r="L1883" i="46" s="1"/>
  <c r="E396" i="70"/>
  <c r="E1920" i="46"/>
  <c r="AC20" i="64" s="1"/>
  <c r="E339" i="31"/>
  <c r="K339" i="32" s="1"/>
  <c r="E333" i="31"/>
  <c r="E397" i="70"/>
  <c r="E404" i="70"/>
  <c r="E337" i="31"/>
  <c r="K337" i="32" s="1"/>
  <c r="K1217" i="46" s="1"/>
  <c r="K1331" i="46" s="1"/>
  <c r="K1479" i="46" s="1"/>
  <c r="K342" i="32"/>
  <c r="U13" i="64"/>
  <c r="E201" i="71" s="1"/>
  <c r="U20" i="64"/>
  <c r="E208" i="71" s="1"/>
  <c r="U17" i="64"/>
  <c r="E205" i="71" s="1"/>
  <c r="U11" i="64"/>
  <c r="E199" i="71" s="1"/>
  <c r="F343" i="31"/>
  <c r="E336" i="31"/>
  <c r="I336" i="31" s="1"/>
  <c r="F397" i="70"/>
  <c r="F1917" i="46"/>
  <c r="U12" i="64"/>
  <c r="E200" i="71" s="1"/>
  <c r="E398" i="70"/>
  <c r="E338" i="31"/>
  <c r="I338" i="31" s="1"/>
  <c r="U16" i="64"/>
  <c r="E204" i="71" s="1"/>
  <c r="E399" i="70"/>
  <c r="F400" i="70"/>
  <c r="F1778" i="46"/>
  <c r="F1919" i="46" s="1"/>
  <c r="F332" i="31"/>
  <c r="L332" i="32" s="1"/>
  <c r="L1199" i="46" s="1"/>
  <c r="L1313" i="46" s="1"/>
  <c r="L1462" i="46" s="1"/>
  <c r="E332" i="31"/>
  <c r="E366" i="31" s="1"/>
  <c r="E394" i="70"/>
  <c r="O326" i="32"/>
  <c r="O324" i="32"/>
  <c r="O325" i="32"/>
  <c r="O328" i="32"/>
  <c r="F1912" i="46"/>
  <c r="F337" i="31"/>
  <c r="F399" i="70"/>
  <c r="F1618" i="46"/>
  <c r="F1857" i="46"/>
  <c r="U19" i="64"/>
  <c r="E207" i="71" s="1"/>
  <c r="E341" i="31"/>
  <c r="E403" i="70"/>
  <c r="E1449" i="46"/>
  <c r="L336" i="32"/>
  <c r="L1216" i="46" s="1"/>
  <c r="L1330" i="46" s="1"/>
  <c r="L1478" i="46" s="1"/>
  <c r="F370" i="31"/>
  <c r="L370" i="32" s="1"/>
  <c r="L335" i="32"/>
  <c r="L1202" i="46" s="1"/>
  <c r="L1316" i="46" s="1"/>
  <c r="L1465" i="46" s="1"/>
  <c r="F369" i="31"/>
  <c r="L369" i="32" s="1"/>
  <c r="L339" i="32"/>
  <c r="L1651" i="46" s="1"/>
  <c r="L1714" i="46" s="1"/>
  <c r="L1793" i="46" s="1"/>
  <c r="F373" i="31"/>
  <c r="L373" i="32" s="1"/>
  <c r="F1910" i="46"/>
  <c r="I376" i="31"/>
  <c r="E368" i="31" l="1"/>
  <c r="I368" i="31" s="1"/>
  <c r="I335" i="31"/>
  <c r="E369" i="31"/>
  <c r="Y13" i="64" s="1"/>
  <c r="I384" i="31"/>
  <c r="K384" i="32"/>
  <c r="O384" i="32" s="1"/>
  <c r="E1360" i="46"/>
  <c r="E1881" i="46" s="1"/>
  <c r="E1388" i="46"/>
  <c r="E1416" i="46" s="1"/>
  <c r="K388" i="32"/>
  <c r="O388" i="32" s="1"/>
  <c r="I388" i="31"/>
  <c r="E1732" i="46"/>
  <c r="E1885" i="46" s="1"/>
  <c r="E1747" i="46"/>
  <c r="E1762" i="46" s="1"/>
  <c r="I380" i="31"/>
  <c r="K380" i="32"/>
  <c r="E1343" i="46"/>
  <c r="E1877" i="46" s="1"/>
  <c r="E1371" i="46"/>
  <c r="E1399" i="46" s="1"/>
  <c r="I386" i="31"/>
  <c r="K386" i="32"/>
  <c r="O386" i="32" s="1"/>
  <c r="E1730" i="46"/>
  <c r="E1883" i="46" s="1"/>
  <c r="E1745" i="46"/>
  <c r="E1760" i="46" s="1"/>
  <c r="K382" i="32"/>
  <c r="O382" i="32" s="1"/>
  <c r="I382" i="31"/>
  <c r="E1345" i="46"/>
  <c r="E1879" i="46" s="1"/>
  <c r="E1373" i="46"/>
  <c r="E1401" i="46" s="1"/>
  <c r="K381" i="32"/>
  <c r="O381" i="32" s="1"/>
  <c r="I381" i="31"/>
  <c r="E1344" i="46"/>
  <c r="E1878" i="46" s="1"/>
  <c r="E1372" i="46"/>
  <c r="E1400" i="46" s="1"/>
  <c r="K387" i="32"/>
  <c r="O387" i="32" s="1"/>
  <c r="I387" i="31"/>
  <c r="E1731" i="46"/>
  <c r="E1884" i="46" s="1"/>
  <c r="E1746" i="46"/>
  <c r="E1761" i="46" s="1"/>
  <c r="I383" i="31"/>
  <c r="K383" i="32"/>
  <c r="O383" i="32" s="1"/>
  <c r="E1346" i="46"/>
  <c r="E1880" i="46" s="1"/>
  <c r="E1374" i="46"/>
  <c r="E1402" i="46" s="1"/>
  <c r="K385" i="32"/>
  <c r="O385" i="32" s="1"/>
  <c r="I385" i="31"/>
  <c r="E1361" i="46"/>
  <c r="E1882" i="46" s="1"/>
  <c r="E1389" i="46"/>
  <c r="E1417" i="46" s="1"/>
  <c r="L341" i="32"/>
  <c r="L1497" i="46" s="1"/>
  <c r="L1560" i="46" s="1"/>
  <c r="L1639" i="46" s="1"/>
  <c r="O342" i="32"/>
  <c r="I334" i="31"/>
  <c r="L334" i="32"/>
  <c r="L1201" i="46" s="1"/>
  <c r="L340" i="32"/>
  <c r="L1652" i="46" s="1"/>
  <c r="F1186" i="46"/>
  <c r="F1189" i="46" s="1"/>
  <c r="I340" i="31"/>
  <c r="E373" i="31"/>
  <c r="Y17" i="64" s="1"/>
  <c r="F1176" i="46"/>
  <c r="F1179" i="46" s="1"/>
  <c r="F367" i="31"/>
  <c r="L367" i="32" s="1"/>
  <c r="I333" i="31"/>
  <c r="K340" i="32"/>
  <c r="K1652" i="46" s="1"/>
  <c r="K1715" i="46" s="1"/>
  <c r="K1794" i="46" s="1"/>
  <c r="K336" i="32"/>
  <c r="O336" i="32" s="1"/>
  <c r="E370" i="31"/>
  <c r="K370" i="32" s="1"/>
  <c r="O370" i="32" s="1"/>
  <c r="F377" i="31"/>
  <c r="L377" i="32" s="1"/>
  <c r="K333" i="32"/>
  <c r="K1200" i="46" s="1"/>
  <c r="K1314" i="46" s="1"/>
  <c r="K1463" i="46" s="1"/>
  <c r="I339" i="31"/>
  <c r="E371" i="31"/>
  <c r="K371" i="32" s="1"/>
  <c r="E367" i="31"/>
  <c r="K338" i="32"/>
  <c r="O338" i="32" s="1"/>
  <c r="L343" i="32"/>
  <c r="E372" i="31"/>
  <c r="Y16" i="64" s="1"/>
  <c r="F1166" i="46"/>
  <c r="F366" i="31"/>
  <c r="L366" i="32" s="1"/>
  <c r="I332" i="31"/>
  <c r="K332" i="32"/>
  <c r="K1199" i="46" s="1"/>
  <c r="K1313" i="46" s="1"/>
  <c r="K1462" i="46" s="1"/>
  <c r="F1167" i="46"/>
  <c r="O329" i="32"/>
  <c r="O335" i="32"/>
  <c r="L1804" i="46"/>
  <c r="L1834" i="46" s="1"/>
  <c r="L1360" i="46"/>
  <c r="L1881" i="46" s="1"/>
  <c r="F1915" i="46"/>
  <c r="E1919" i="46"/>
  <c r="AC19" i="64" s="1"/>
  <c r="K341" i="32"/>
  <c r="I341" i="31"/>
  <c r="E375" i="31"/>
  <c r="I375" i="31" s="1"/>
  <c r="L337" i="32"/>
  <c r="F371" i="31"/>
  <c r="I337" i="31"/>
  <c r="L1343" i="46"/>
  <c r="L1877" i="46" s="1"/>
  <c r="L1800" i="46"/>
  <c r="L1830" i="46" s="1"/>
  <c r="L1807" i="46"/>
  <c r="L1837" i="46" s="1"/>
  <c r="L1731" i="46"/>
  <c r="L1884" i="46" s="1"/>
  <c r="L1803" i="46"/>
  <c r="L1833" i="46" s="1"/>
  <c r="L1346" i="46"/>
  <c r="L1880" i="46" s="1"/>
  <c r="L1344" i="46"/>
  <c r="L1878" i="46" s="1"/>
  <c r="L1801" i="46"/>
  <c r="L1831" i="46" s="1"/>
  <c r="K1201" i="46"/>
  <c r="K1315" i="46" s="1"/>
  <c r="K1464" i="46" s="1"/>
  <c r="O339" i="32"/>
  <c r="K1651" i="46"/>
  <c r="K1714" i="46" s="1"/>
  <c r="K1793" i="46" s="1"/>
  <c r="Y18" i="64"/>
  <c r="I374" i="31"/>
  <c r="K374" i="32"/>
  <c r="O374" i="32" s="1"/>
  <c r="K1803" i="46"/>
  <c r="Y10" i="64"/>
  <c r="K366" i="32"/>
  <c r="K1805" i="46"/>
  <c r="Y12" i="64"/>
  <c r="O380" i="32" l="1"/>
  <c r="K368" i="32"/>
  <c r="O368" i="32" s="1"/>
  <c r="I369" i="31"/>
  <c r="K369" i="32"/>
  <c r="O369" i="32" s="1"/>
  <c r="E1445" i="46"/>
  <c r="E1915" i="46" s="1"/>
  <c r="AC15" i="64" s="1"/>
  <c r="E1430" i="46"/>
  <c r="E1913" i="46" s="1"/>
  <c r="AC13" i="64" s="1"/>
  <c r="E1776" i="46"/>
  <c r="E1917" i="46" s="1"/>
  <c r="AC17" i="64" s="1"/>
  <c r="E1428" i="46"/>
  <c r="E1911" i="46" s="1"/>
  <c r="AC11" i="64" s="1"/>
  <c r="E1429" i="46"/>
  <c r="E1912" i="46" s="1"/>
  <c r="AC12" i="64" s="1"/>
  <c r="E1775" i="46"/>
  <c r="E1427" i="46"/>
  <c r="E1777" i="46"/>
  <c r="E1918" i="46" s="1"/>
  <c r="AC18" i="64" s="1"/>
  <c r="E1444" i="46"/>
  <c r="L1658" i="46"/>
  <c r="L1668" i="46" s="1"/>
  <c r="L1715" i="46"/>
  <c r="L1794" i="46" s="1"/>
  <c r="L1802" i="46"/>
  <c r="L1832" i="46" s="1"/>
  <c r="L1315" i="46"/>
  <c r="L1464" i="46" s="1"/>
  <c r="L1502" i="46"/>
  <c r="L1514" i="46" s="1"/>
  <c r="Y14" i="64"/>
  <c r="O334" i="32"/>
  <c r="L1809" i="46"/>
  <c r="L1839" i="46" s="1"/>
  <c r="L1577" i="46"/>
  <c r="L1886" i="46" s="1"/>
  <c r="L1808" i="46"/>
  <c r="L1838" i="46" s="1"/>
  <c r="L1732" i="46"/>
  <c r="L1885" i="46" s="1"/>
  <c r="I373" i="31"/>
  <c r="L1345" i="46"/>
  <c r="L1879" i="46" s="1"/>
  <c r="K1216" i="46"/>
  <c r="K1330" i="46" s="1"/>
  <c r="K1478" i="46" s="1"/>
  <c r="O340" i="32"/>
  <c r="K373" i="32"/>
  <c r="O373" i="32" s="1"/>
  <c r="I367" i="31"/>
  <c r="Y15" i="64"/>
  <c r="O333" i="32"/>
  <c r="I370" i="31"/>
  <c r="Y11" i="64"/>
  <c r="K367" i="32"/>
  <c r="O367" i="32" s="1"/>
  <c r="K1650" i="46"/>
  <c r="K1713" i="46" s="1"/>
  <c r="K1792" i="46" s="1"/>
  <c r="K372" i="32"/>
  <c r="O372" i="32" s="1"/>
  <c r="I372" i="31"/>
  <c r="F1169" i="46"/>
  <c r="O366" i="32"/>
  <c r="I366" i="31"/>
  <c r="O332" i="32"/>
  <c r="L371" i="32"/>
  <c r="O371" i="32" s="1"/>
  <c r="I371" i="31"/>
  <c r="L1217" i="46"/>
  <c r="L1331" i="46" s="1"/>
  <c r="L1479" i="46" s="1"/>
  <c r="O337" i="32"/>
  <c r="K1497" i="46"/>
  <c r="K1560" i="46" s="1"/>
  <c r="K1639" i="46" s="1"/>
  <c r="O341" i="32"/>
  <c r="Y19" i="64"/>
  <c r="K375" i="32"/>
  <c r="O375" i="32" s="1"/>
  <c r="K1801" i="46"/>
  <c r="K1808" i="46"/>
  <c r="AR13" i="64"/>
  <c r="K1833" i="46"/>
  <c r="AR15" i="64"/>
  <c r="K1835" i="46"/>
  <c r="K1807" i="46"/>
  <c r="K1802" i="46"/>
  <c r="K1800" i="46"/>
  <c r="L1664" i="46" l="1"/>
  <c r="E1916" i="46"/>
  <c r="AC16" i="64" s="1"/>
  <c r="L1663" i="46"/>
  <c r="L1665" i="46"/>
  <c r="E1914" i="46"/>
  <c r="AC14" i="64" s="1"/>
  <c r="E1910" i="46"/>
  <c r="L1671" i="46"/>
  <c r="L1667" i="46"/>
  <c r="L1672" i="46"/>
  <c r="L1661" i="46"/>
  <c r="L1673" i="46"/>
  <c r="L1666" i="46"/>
  <c r="L1662" i="46"/>
  <c r="L1670" i="46"/>
  <c r="L1669" i="46"/>
  <c r="L1506" i="46"/>
  <c r="L1517" i="46"/>
  <c r="L1511" i="46"/>
  <c r="L1508" i="46"/>
  <c r="L1507" i="46"/>
  <c r="L1505" i="46"/>
  <c r="L1516" i="46"/>
  <c r="L1510" i="46"/>
  <c r="L1515" i="46"/>
  <c r="L1513" i="46"/>
  <c r="L1509" i="46"/>
  <c r="L1512" i="46"/>
  <c r="K1226" i="46"/>
  <c r="K1229" i="46" s="1"/>
  <c r="K1804" i="46"/>
  <c r="K1834" i="46" s="1"/>
  <c r="K1658" i="46"/>
  <c r="K1669" i="46" s="1"/>
  <c r="K1806" i="46"/>
  <c r="K1836" i="46" s="1"/>
  <c r="L1805" i="46"/>
  <c r="L1835" i="46" s="1"/>
  <c r="L1361" i="46"/>
  <c r="L1882" i="46" s="1"/>
  <c r="L1890" i="46" s="1"/>
  <c r="L1226" i="46"/>
  <c r="K1502" i="46"/>
  <c r="K1809" i="46"/>
  <c r="K1831" i="46"/>
  <c r="AR11" i="64"/>
  <c r="K1837" i="46"/>
  <c r="AR17" i="64"/>
  <c r="K1838" i="46"/>
  <c r="AR18" i="64"/>
  <c r="AR10" i="64"/>
  <c r="K1830" i="46"/>
  <c r="K1832" i="46"/>
  <c r="AR12" i="64"/>
  <c r="AC10" i="64" l="1"/>
  <c r="E122" i="38"/>
  <c r="AR16" i="64"/>
  <c r="K1231" i="46"/>
  <c r="K1250" i="46"/>
  <c r="K1253" i="46"/>
  <c r="K1246" i="46"/>
  <c r="K1248" i="46"/>
  <c r="K1236" i="46"/>
  <c r="K1239" i="46"/>
  <c r="K1662" i="46"/>
  <c r="AR14" i="64"/>
  <c r="K1254" i="46"/>
  <c r="K1244" i="46"/>
  <c r="K1252" i="46"/>
  <c r="K1232" i="46"/>
  <c r="K1249" i="46"/>
  <c r="K1245" i="46"/>
  <c r="K1240" i="46"/>
  <c r="K1251" i="46"/>
  <c r="K1243" i="46"/>
  <c r="K1247" i="46"/>
  <c r="K1233" i="46"/>
  <c r="K1235" i="46"/>
  <c r="K1230" i="46"/>
  <c r="K1234" i="46"/>
  <c r="K1241" i="46"/>
  <c r="K1237" i="46"/>
  <c r="K1238" i="46"/>
  <c r="K1242" i="46"/>
  <c r="K1671" i="46"/>
  <c r="K1670" i="46"/>
  <c r="K1666" i="46"/>
  <c r="K1663" i="46"/>
  <c r="K1667" i="46"/>
  <c r="K1665" i="46"/>
  <c r="K1664" i="46"/>
  <c r="K1673" i="46"/>
  <c r="K1661" i="46"/>
  <c r="K1668" i="46"/>
  <c r="K1672" i="46"/>
  <c r="AR19" i="64"/>
  <c r="K1839" i="46"/>
  <c r="L1231" i="46"/>
  <c r="L1230" i="46"/>
  <c r="L1236" i="46"/>
  <c r="L1229" i="46"/>
  <c r="L1248" i="46"/>
  <c r="L1233" i="46"/>
  <c r="L1250" i="46"/>
  <c r="L1242" i="46"/>
  <c r="L1253" i="46"/>
  <c r="L1247" i="46"/>
  <c r="L1241" i="46"/>
  <c r="L1254" i="46"/>
  <c r="L1239" i="46"/>
  <c r="L1235" i="46"/>
  <c r="L1251" i="46"/>
  <c r="L1237" i="46"/>
  <c r="L1232" i="46"/>
  <c r="L1244" i="46"/>
  <c r="L1243" i="46"/>
  <c r="L1238" i="46"/>
  <c r="L1240" i="46"/>
  <c r="L1252" i="46"/>
  <c r="L1245" i="46"/>
  <c r="L1249" i="46"/>
  <c r="L1246" i="46"/>
  <c r="L1234" i="46"/>
  <c r="K1509" i="46"/>
  <c r="K1516" i="46"/>
  <c r="K1513" i="46"/>
  <c r="K1514" i="46"/>
  <c r="K1515" i="46"/>
  <c r="K1507" i="46"/>
  <c r="K1505" i="46"/>
  <c r="K1510" i="46"/>
  <c r="K1512" i="46"/>
  <c r="K1517" i="46"/>
  <c r="K1511" i="46"/>
  <c r="K1508" i="46"/>
  <c r="K1506" i="46"/>
  <c r="L1891" i="46"/>
  <c r="L396" i="31" s="1"/>
  <c r="F328" i="70" l="1"/>
  <c r="E266" i="71"/>
  <c r="G328" i="70"/>
  <c r="E328" i="70"/>
  <c r="K296" i="70" l="1"/>
  <c r="K145" i="71"/>
  <c r="K297" i="70"/>
  <c r="K146" i="71"/>
  <c r="K298" i="70"/>
  <c r="K147" i="71"/>
  <c r="K299" i="70" l="1"/>
  <c r="K148" i="71"/>
  <c r="K150" i="71"/>
  <c r="K301" i="70"/>
  <c r="K1073" i="46"/>
  <c r="AF17" i="62" s="1"/>
  <c r="K149" i="71"/>
  <c r="K300" i="70"/>
  <c r="G1124" i="46" l="1"/>
  <c r="G1125" i="46"/>
  <c r="G1126" i="46"/>
  <c r="F1125" i="46"/>
  <c r="F1124" i="46"/>
  <c r="F1126" i="46"/>
  <c r="E1125" i="46"/>
  <c r="E1124" i="46"/>
  <c r="E1126" i="46"/>
  <c r="M111" i="46"/>
  <c r="M121" i="46"/>
  <c r="M133" i="70"/>
  <c r="M35" i="47"/>
  <c r="M101" i="46"/>
  <c r="L101" i="46"/>
  <c r="L133" i="70"/>
  <c r="L35" i="47"/>
  <c r="L111" i="46"/>
  <c r="L121" i="46"/>
  <c r="E1128" i="46" l="1"/>
  <c r="E1146" i="46"/>
  <c r="E96" i="47"/>
  <c r="N11" i="62"/>
  <c r="E110" i="38"/>
  <c r="E304" i="70"/>
  <c r="E1156" i="46"/>
  <c r="E1136" i="46"/>
  <c r="F1129" i="46"/>
  <c r="F1147" i="46"/>
  <c r="F102" i="47"/>
  <c r="F306" i="70"/>
  <c r="F1157" i="46"/>
  <c r="F1137" i="46"/>
  <c r="E1129" i="46"/>
  <c r="N12" i="62"/>
  <c r="E1157" i="46"/>
  <c r="E1137" i="46"/>
  <c r="E102" i="47"/>
  <c r="E306" i="70"/>
  <c r="E112" i="38"/>
  <c r="E259" i="71" s="1"/>
  <c r="E1147" i="46"/>
  <c r="G1130" i="46"/>
  <c r="G308" i="70"/>
  <c r="G1158" i="46"/>
  <c r="G1148" i="46"/>
  <c r="G108" i="47"/>
  <c r="G1138" i="46"/>
  <c r="F1130" i="46"/>
  <c r="F108" i="47"/>
  <c r="F1138" i="46"/>
  <c r="F1148" i="46"/>
  <c r="F308" i="70"/>
  <c r="F1158" i="46"/>
  <c r="G1129" i="46"/>
  <c r="G306" i="70"/>
  <c r="G1137" i="46"/>
  <c r="G102" i="47"/>
  <c r="G1157" i="46"/>
  <c r="G1147" i="46"/>
  <c r="E1130" i="46"/>
  <c r="E308" i="70"/>
  <c r="E1158" i="46"/>
  <c r="E114" i="38"/>
  <c r="E261" i="71" s="1"/>
  <c r="E1138" i="46"/>
  <c r="E108" i="47"/>
  <c r="N13" i="62"/>
  <c r="E1148" i="46"/>
  <c r="F1128" i="46"/>
  <c r="F1132" i="46" s="1"/>
  <c r="E272" i="38" s="1"/>
  <c r="F1136" i="46"/>
  <c r="F1156" i="46"/>
  <c r="F1146" i="46"/>
  <c r="F96" i="47"/>
  <c r="F304" i="70"/>
  <c r="G1128" i="46"/>
  <c r="G1146" i="46"/>
  <c r="G1156" i="46"/>
  <c r="G96" i="47"/>
  <c r="G1136" i="46"/>
  <c r="G304" i="70"/>
  <c r="K101" i="46"/>
  <c r="K133" i="70"/>
  <c r="AD12" i="34"/>
  <c r="K35" i="47"/>
  <c r="K111" i="46"/>
  <c r="K36" i="38"/>
  <c r="K217" i="71" s="1"/>
  <c r="K121" i="46"/>
  <c r="M104" i="46"/>
  <c r="M36" i="47"/>
  <c r="M38" i="47" s="1"/>
  <c r="M134" i="70"/>
  <c r="M124" i="46"/>
  <c r="M114" i="46"/>
  <c r="L36" i="47"/>
  <c r="L38" i="47" s="1"/>
  <c r="L104" i="46"/>
  <c r="L134" i="70"/>
  <c r="L124" i="46"/>
  <c r="L114" i="46"/>
  <c r="G1132" i="46" l="1"/>
  <c r="E406" i="38" s="1"/>
  <c r="I108" i="47"/>
  <c r="G103" i="47"/>
  <c r="G105" i="47" s="1"/>
  <c r="G307" i="70"/>
  <c r="G1150" i="46"/>
  <c r="G1160" i="46"/>
  <c r="G1140" i="46"/>
  <c r="G309" i="70"/>
  <c r="G109" i="47"/>
  <c r="G111" i="47" s="1"/>
  <c r="G1161" i="46"/>
  <c r="G1141" i="46"/>
  <c r="G1151" i="46"/>
  <c r="I102" i="47"/>
  <c r="E103" i="47"/>
  <c r="E105" i="47" s="1"/>
  <c r="E307" i="70"/>
  <c r="E1150" i="46"/>
  <c r="E1140" i="46"/>
  <c r="E113" i="38"/>
  <c r="E260" i="71" s="1"/>
  <c r="N15" i="62"/>
  <c r="E1160" i="46"/>
  <c r="I96" i="47"/>
  <c r="F1159" i="46"/>
  <c r="F1139" i="46"/>
  <c r="F305" i="70"/>
  <c r="F97" i="47"/>
  <c r="F99" i="47" s="1"/>
  <c r="F1149" i="46"/>
  <c r="E309" i="70"/>
  <c r="E115" i="38"/>
  <c r="E262" i="71" s="1"/>
  <c r="E109" i="47"/>
  <c r="E1151" i="46"/>
  <c r="E1141" i="46"/>
  <c r="E1161" i="46"/>
  <c r="N16" i="62"/>
  <c r="F309" i="70"/>
  <c r="F1141" i="46"/>
  <c r="F109" i="47"/>
  <c r="F111" i="47" s="1"/>
  <c r="F1161" i="46"/>
  <c r="F1151" i="46"/>
  <c r="F1140" i="46"/>
  <c r="F307" i="70"/>
  <c r="F1150" i="46"/>
  <c r="F103" i="47"/>
  <c r="F105" i="47" s="1"/>
  <c r="F1160" i="46"/>
  <c r="G1159" i="46"/>
  <c r="G1149" i="46"/>
  <c r="G305" i="70"/>
  <c r="G1139" i="46"/>
  <c r="G1143" i="46" s="1"/>
  <c r="G97" i="47"/>
  <c r="G99" i="47" s="1"/>
  <c r="E1132" i="46"/>
  <c r="E257" i="71"/>
  <c r="E1139" i="46"/>
  <c r="E97" i="47"/>
  <c r="E1159" i="46"/>
  <c r="E1149" i="46"/>
  <c r="N14" i="62"/>
  <c r="E111" i="38"/>
  <c r="E258" i="71" s="1"/>
  <c r="E305" i="70"/>
  <c r="L48" i="47"/>
  <c r="L65" i="70"/>
  <c r="M65" i="70"/>
  <c r="M48" i="47"/>
  <c r="O35" i="47"/>
  <c r="K124" i="46"/>
  <c r="K36" i="47"/>
  <c r="O36" i="47" s="1"/>
  <c r="K134" i="70"/>
  <c r="AD15" i="34"/>
  <c r="K37" i="38"/>
  <c r="K218" i="71" s="1"/>
  <c r="K114" i="46"/>
  <c r="K104" i="46"/>
  <c r="G1163" i="46" l="1"/>
  <c r="G1680" i="46" s="1"/>
  <c r="G1758" i="46" s="1"/>
  <c r="G1773" i="46" s="1"/>
  <c r="E116" i="38"/>
  <c r="E263" i="71" s="1"/>
  <c r="G1153" i="46"/>
  <c r="G1529" i="46" s="1"/>
  <c r="F1163" i="46"/>
  <c r="F1681" i="46" s="1"/>
  <c r="F1759" i="46" s="1"/>
  <c r="F1774" i="46" s="1"/>
  <c r="G239" i="70"/>
  <c r="G116" i="47"/>
  <c r="G1277" i="46"/>
  <c r="G1420" i="46" s="1"/>
  <c r="G1448" i="46" s="1"/>
  <c r="G1259" i="46"/>
  <c r="G1279" i="46"/>
  <c r="G1422" i="46" s="1"/>
  <c r="G1450" i="46" s="1"/>
  <c r="G1257" i="46"/>
  <c r="G1258" i="46"/>
  <c r="G1266" i="46"/>
  <c r="G1273" i="46"/>
  <c r="G1388" i="46" s="1"/>
  <c r="G1416" i="46" s="1"/>
  <c r="G1444" i="46" s="1"/>
  <c r="G1281" i="46"/>
  <c r="G1396" i="46" s="1"/>
  <c r="G1424" i="46" s="1"/>
  <c r="G1452" i="46" s="1"/>
  <c r="G1260" i="46"/>
  <c r="G1267" i="46"/>
  <c r="G1264" i="46"/>
  <c r="G1268" i="46"/>
  <c r="G1383" i="46" s="1"/>
  <c r="G1411" i="46" s="1"/>
  <c r="G1439" i="46" s="1"/>
  <c r="G1263" i="46"/>
  <c r="G1269" i="46"/>
  <c r="G1276" i="46"/>
  <c r="G1419" i="46" s="1"/>
  <c r="G1265" i="46"/>
  <c r="G1271" i="46"/>
  <c r="G1414" i="46" s="1"/>
  <c r="G1442" i="46" s="1"/>
  <c r="G1272" i="46"/>
  <c r="G1415" i="46" s="1"/>
  <c r="G1443" i="46" s="1"/>
  <c r="G1256" i="46"/>
  <c r="G1261" i="46"/>
  <c r="G1270" i="46"/>
  <c r="G1413" i="46" s="1"/>
  <c r="G1441" i="46" s="1"/>
  <c r="G1278" i="46"/>
  <c r="G1421" i="46" s="1"/>
  <c r="G1449" i="46" s="1"/>
  <c r="G1274" i="46"/>
  <c r="G1389" i="46" s="1"/>
  <c r="G1417" i="46" s="1"/>
  <c r="G1445" i="46" s="1"/>
  <c r="G1262" i="46"/>
  <c r="G1275" i="46"/>
  <c r="G1418" i="46" s="1"/>
  <c r="G1446" i="46" s="1"/>
  <c r="G1280" i="46"/>
  <c r="G1423" i="46" s="1"/>
  <c r="G1451" i="46" s="1"/>
  <c r="E99" i="47"/>
  <c r="I97" i="47"/>
  <c r="N17" i="62"/>
  <c r="L17" i="62"/>
  <c r="F238" i="70"/>
  <c r="F115" i="47"/>
  <c r="F1153" i="46"/>
  <c r="E1153" i="46"/>
  <c r="I10" i="60"/>
  <c r="E114" i="71" s="1"/>
  <c r="E103" i="38"/>
  <c r="E254" i="71" s="1"/>
  <c r="E238" i="70"/>
  <c r="E115" i="47"/>
  <c r="I105" i="47"/>
  <c r="G114" i="47"/>
  <c r="G237" i="70"/>
  <c r="E111" i="47"/>
  <c r="I109" i="47"/>
  <c r="F114" i="47"/>
  <c r="F237" i="70"/>
  <c r="F239" i="70"/>
  <c r="F116" i="47"/>
  <c r="E1163" i="46"/>
  <c r="I103" i="47"/>
  <c r="F1143" i="46"/>
  <c r="E1143" i="46"/>
  <c r="G238" i="70"/>
  <c r="G115" i="47"/>
  <c r="K38" i="47"/>
  <c r="O38" i="47" s="1"/>
  <c r="G1678" i="46" l="1"/>
  <c r="G1756" i="46" s="1"/>
  <c r="G1771" i="46" s="1"/>
  <c r="G1676" i="46"/>
  <c r="G1688" i="46"/>
  <c r="G1751" i="46" s="1"/>
  <c r="G1766" i="46" s="1"/>
  <c r="G1781" i="46" s="1"/>
  <c r="G1687" i="46"/>
  <c r="G1765" i="46" s="1"/>
  <c r="G1780" i="46" s="1"/>
  <c r="G1679" i="46"/>
  <c r="G1757" i="46" s="1"/>
  <c r="G1772" i="46" s="1"/>
  <c r="G1682" i="46"/>
  <c r="G1745" i="46" s="1"/>
  <c r="G1760" i="46" s="1"/>
  <c r="G1775" i="46" s="1"/>
  <c r="G1684" i="46"/>
  <c r="G1747" i="46" s="1"/>
  <c r="G1762" i="46" s="1"/>
  <c r="G1777" i="46" s="1"/>
  <c r="G1681" i="46"/>
  <c r="G1759" i="46" s="1"/>
  <c r="G1774" i="46" s="1"/>
  <c r="G1683" i="46"/>
  <c r="G1746" i="46" s="1"/>
  <c r="G1761" i="46" s="1"/>
  <c r="G1776" i="46" s="1"/>
  <c r="G1686" i="46"/>
  <c r="G1764" i="46" s="1"/>
  <c r="G1779" i="46" s="1"/>
  <c r="G1677" i="46"/>
  <c r="G1755" i="46" s="1"/>
  <c r="G1770" i="46" s="1"/>
  <c r="G1685" i="46"/>
  <c r="G1763" i="46" s="1"/>
  <c r="G1778" i="46" s="1"/>
  <c r="G1447" i="46"/>
  <c r="G1457" i="46" s="1"/>
  <c r="F1678" i="46"/>
  <c r="F1756" i="46" s="1"/>
  <c r="F1771" i="46" s="1"/>
  <c r="F1685" i="46"/>
  <c r="F1687" i="46"/>
  <c r="F1765" i="46" s="1"/>
  <c r="F1780" i="46" s="1"/>
  <c r="G1520" i="46"/>
  <c r="G1524" i="46"/>
  <c r="G1818" i="46" s="1"/>
  <c r="G1528" i="46"/>
  <c r="G1822" i="46" s="1"/>
  <c r="G1523" i="46"/>
  <c r="G1525" i="46"/>
  <c r="G1522" i="46"/>
  <c r="G1526" i="46"/>
  <c r="G1521" i="46"/>
  <c r="G1527" i="46"/>
  <c r="G1605" i="46" s="1"/>
  <c r="G1620" i="46" s="1"/>
  <c r="G1531" i="46"/>
  <c r="G1532" i="46"/>
  <c r="G1595" i="46" s="1"/>
  <c r="G1610" i="46" s="1"/>
  <c r="G1625" i="46" s="1"/>
  <c r="G1530" i="46"/>
  <c r="F1682" i="46"/>
  <c r="F1745" i="46" s="1"/>
  <c r="F1760" i="46" s="1"/>
  <c r="F1775" i="46" s="1"/>
  <c r="F1677" i="46"/>
  <c r="F1755" i="46" s="1"/>
  <c r="F1770" i="46" s="1"/>
  <c r="F1676" i="46"/>
  <c r="F1684" i="46"/>
  <c r="F1747" i="46" s="1"/>
  <c r="F1762" i="46" s="1"/>
  <c r="F1777" i="46" s="1"/>
  <c r="F1679" i="46"/>
  <c r="F1757" i="46" s="1"/>
  <c r="F1772" i="46" s="1"/>
  <c r="F1688" i="46"/>
  <c r="F1751" i="46" s="1"/>
  <c r="F1766" i="46" s="1"/>
  <c r="F1781" i="46" s="1"/>
  <c r="F1686" i="46"/>
  <c r="F1764" i="46" s="1"/>
  <c r="F1779" i="46" s="1"/>
  <c r="F1680" i="46"/>
  <c r="F1758" i="46" s="1"/>
  <c r="F1773" i="46" s="1"/>
  <c r="F1914" i="46" s="1"/>
  <c r="F1683" i="46"/>
  <c r="F1746" i="46" s="1"/>
  <c r="F1761" i="46" s="1"/>
  <c r="F1776" i="46" s="1"/>
  <c r="E1265" i="46"/>
  <c r="E1268" i="46"/>
  <c r="E1383" i="46" s="1"/>
  <c r="E1411" i="46" s="1"/>
  <c r="E1439" i="46" s="1"/>
  <c r="E1274" i="46"/>
  <c r="E1276" i="46"/>
  <c r="E1419" i="46" s="1"/>
  <c r="E1447" i="46" s="1"/>
  <c r="E162" i="38"/>
  <c r="E1257" i="46"/>
  <c r="E1275" i="46"/>
  <c r="E1418" i="46" s="1"/>
  <c r="E1446" i="46" s="1"/>
  <c r="E1256" i="46"/>
  <c r="E1279" i="46"/>
  <c r="E1422" i="46" s="1"/>
  <c r="E1450" i="46" s="1"/>
  <c r="E1258" i="46"/>
  <c r="E1261" i="46"/>
  <c r="E1280" i="46"/>
  <c r="E1423" i="46" s="1"/>
  <c r="E1451" i="46" s="1"/>
  <c r="E1281" i="46"/>
  <c r="E1396" i="46" s="1"/>
  <c r="E1424" i="46" s="1"/>
  <c r="E1452" i="46" s="1"/>
  <c r="E1267" i="46"/>
  <c r="E1278" i="46"/>
  <c r="E1272" i="46"/>
  <c r="E1415" i="46" s="1"/>
  <c r="E1264" i="46"/>
  <c r="E1262" i="46"/>
  <c r="E1273" i="46"/>
  <c r="E1270" i="46"/>
  <c r="E1413" i="46" s="1"/>
  <c r="E1271" i="46"/>
  <c r="E1414" i="46" s="1"/>
  <c r="E1266" i="46"/>
  <c r="E1277" i="46"/>
  <c r="E1420" i="46" s="1"/>
  <c r="E1448" i="46" s="1"/>
  <c r="E1259" i="46"/>
  <c r="E1263" i="46"/>
  <c r="E1260" i="46"/>
  <c r="E1269" i="46"/>
  <c r="F118" i="47"/>
  <c r="G118" i="47"/>
  <c r="G1405" i="46"/>
  <c r="G1404" i="46"/>
  <c r="G1408" i="46"/>
  <c r="G1372" i="46"/>
  <c r="G1400" i="46" s="1"/>
  <c r="F1275" i="46"/>
  <c r="F1418" i="46" s="1"/>
  <c r="F1446" i="46" s="1"/>
  <c r="F1264" i="46"/>
  <c r="F1257" i="46"/>
  <c r="F1279" i="46"/>
  <c r="F1422" i="46" s="1"/>
  <c r="F1450" i="46" s="1"/>
  <c r="F1272" i="46"/>
  <c r="F1415" i="46" s="1"/>
  <c r="F1443" i="46" s="1"/>
  <c r="F1260" i="46"/>
  <c r="F1261" i="46"/>
  <c r="F1273" i="46"/>
  <c r="F1388" i="46" s="1"/>
  <c r="F1416" i="46" s="1"/>
  <c r="F1444" i="46" s="1"/>
  <c r="F1280" i="46"/>
  <c r="F1423" i="46" s="1"/>
  <c r="F1451" i="46" s="1"/>
  <c r="F1258" i="46"/>
  <c r="F1271" i="46"/>
  <c r="F1414" i="46" s="1"/>
  <c r="F1442" i="46" s="1"/>
  <c r="F1256" i="46"/>
  <c r="F1270" i="46"/>
  <c r="F1413" i="46" s="1"/>
  <c r="F1441" i="46" s="1"/>
  <c r="F1276" i="46"/>
  <c r="F1419" i="46" s="1"/>
  <c r="F1447" i="46" s="1"/>
  <c r="F1274" i="46"/>
  <c r="F1389" i="46" s="1"/>
  <c r="F1417" i="46" s="1"/>
  <c r="F1445" i="46" s="1"/>
  <c r="F1268" i="46"/>
  <c r="F1383" i="46" s="1"/>
  <c r="F1411" i="46" s="1"/>
  <c r="F1439" i="46" s="1"/>
  <c r="F1265" i="46"/>
  <c r="F1259" i="46"/>
  <c r="F1269" i="46"/>
  <c r="F1267" i="46"/>
  <c r="F1281" i="46"/>
  <c r="F1396" i="46" s="1"/>
  <c r="F1424" i="46" s="1"/>
  <c r="F1452" i="46" s="1"/>
  <c r="F1262" i="46"/>
  <c r="F1278" i="46"/>
  <c r="F1421" i="46" s="1"/>
  <c r="F1449" i="46" s="1"/>
  <c r="F1263" i="46"/>
  <c r="F1266" i="46"/>
  <c r="F1277" i="46"/>
  <c r="F1420" i="46" s="1"/>
  <c r="F1448" i="46" s="1"/>
  <c r="I11" i="60"/>
  <c r="E115" i="71" s="1"/>
  <c r="E239" i="70"/>
  <c r="E116" i="47"/>
  <c r="I116" i="47" s="1"/>
  <c r="E104" i="38"/>
  <c r="E255" i="71" s="1"/>
  <c r="I111" i="47"/>
  <c r="E114" i="47"/>
  <c r="I9" i="60"/>
  <c r="E113" i="71" s="1"/>
  <c r="E237" i="70"/>
  <c r="I99" i="47"/>
  <c r="E102" i="38"/>
  <c r="E253" i="71" s="1"/>
  <c r="G1170" i="46"/>
  <c r="G1283" i="46"/>
  <c r="G1407" i="46"/>
  <c r="G1171" i="46"/>
  <c r="G1410" i="46"/>
  <c r="G1409" i="46"/>
  <c r="G1374" i="46"/>
  <c r="G1402" i="46" s="1"/>
  <c r="I115" i="47"/>
  <c r="E1527" i="46"/>
  <c r="E1605" i="46" s="1"/>
  <c r="E1620" i="46" s="1"/>
  <c r="E1531" i="46"/>
  <c r="E164" i="38"/>
  <c r="E287" i="71" s="1"/>
  <c r="E1524" i="46"/>
  <c r="E1602" i="46" s="1"/>
  <c r="E1617" i="46" s="1"/>
  <c r="E1529" i="46"/>
  <c r="E1532" i="46"/>
  <c r="E1595" i="46" s="1"/>
  <c r="E1610" i="46" s="1"/>
  <c r="E1625" i="46" s="1"/>
  <c r="E1523" i="46"/>
  <c r="E1601" i="46" s="1"/>
  <c r="E1616" i="46" s="1"/>
  <c r="E1526" i="46"/>
  <c r="E1604" i="46" s="1"/>
  <c r="E1619" i="46" s="1"/>
  <c r="E1525" i="46"/>
  <c r="E1603" i="46" s="1"/>
  <c r="E1618" i="46" s="1"/>
  <c r="E1530" i="46"/>
  <c r="E1608" i="46" s="1"/>
  <c r="E1623" i="46" s="1"/>
  <c r="E1520" i="46"/>
  <c r="E1521" i="46"/>
  <c r="E1599" i="46" s="1"/>
  <c r="E1614" i="46" s="1"/>
  <c r="E1522" i="46"/>
  <c r="E1600" i="46" s="1"/>
  <c r="E1615" i="46" s="1"/>
  <c r="E1528" i="46"/>
  <c r="E1606" i="46" s="1"/>
  <c r="E1621" i="46" s="1"/>
  <c r="E166" i="38"/>
  <c r="E289" i="71" s="1"/>
  <c r="F1531" i="46"/>
  <c r="F1609" i="46" s="1"/>
  <c r="F1624" i="46" s="1"/>
  <c r="F1532" i="46"/>
  <c r="F1521" i="46"/>
  <c r="F1599" i="46" s="1"/>
  <c r="F1614" i="46" s="1"/>
  <c r="F1523" i="46"/>
  <c r="F1601" i="46" s="1"/>
  <c r="F1616" i="46" s="1"/>
  <c r="F1530" i="46"/>
  <c r="F1608" i="46" s="1"/>
  <c r="F1623" i="46" s="1"/>
  <c r="F1528" i="46"/>
  <c r="F1606" i="46" s="1"/>
  <c r="F1621" i="46" s="1"/>
  <c r="F1529" i="46"/>
  <c r="F1592" i="46" s="1"/>
  <c r="F1607" i="46" s="1"/>
  <c r="F1622" i="46" s="1"/>
  <c r="F1520" i="46"/>
  <c r="F1527" i="46"/>
  <c r="F1605" i="46" s="1"/>
  <c r="F1620" i="46" s="1"/>
  <c r="F1522" i="46"/>
  <c r="F1600" i="46" s="1"/>
  <c r="F1615" i="46" s="1"/>
  <c r="F1524" i="46"/>
  <c r="F1602" i="46" s="1"/>
  <c r="F1617" i="46" s="1"/>
  <c r="F1526" i="46"/>
  <c r="F1604" i="46" s="1"/>
  <c r="F1619" i="46" s="1"/>
  <c r="F1525" i="46"/>
  <c r="G1403" i="46"/>
  <c r="G1373" i="46"/>
  <c r="G1401" i="46" s="1"/>
  <c r="V12" i="62"/>
  <c r="X12" i="62"/>
  <c r="T12" i="62"/>
  <c r="X13" i="62"/>
  <c r="T13" i="62"/>
  <c r="V13" i="62"/>
  <c r="K48" i="47"/>
  <c r="O48" i="47" s="1"/>
  <c r="S10" i="60"/>
  <c r="K17" i="71" s="1"/>
  <c r="K27" i="38"/>
  <c r="K212" i="71" s="1"/>
  <c r="K65" i="70"/>
  <c r="E345" i="46"/>
  <c r="E713" i="46"/>
  <c r="E557" i="46"/>
  <c r="G1814" i="46" l="1"/>
  <c r="G1825" i="46"/>
  <c r="G1820" i="46"/>
  <c r="G1817" i="46"/>
  <c r="G1819" i="46"/>
  <c r="G1190" i="46"/>
  <c r="G1193" i="46" s="1"/>
  <c r="G1194" i="46" s="1"/>
  <c r="G343" i="70" s="1"/>
  <c r="G1824" i="46"/>
  <c r="G1815" i="46"/>
  <c r="G1783" i="46"/>
  <c r="G1954" i="46" s="1"/>
  <c r="G1690" i="46"/>
  <c r="G1823" i="46"/>
  <c r="G1627" i="46"/>
  <c r="G1943" i="46" s="1"/>
  <c r="G1435" i="46"/>
  <c r="G1868" i="46"/>
  <c r="G1902" i="46" s="1"/>
  <c r="G1432" i="46"/>
  <c r="G1865" i="46"/>
  <c r="G1899" i="46" s="1"/>
  <c r="G1430" i="46"/>
  <c r="G1863" i="46"/>
  <c r="G1897" i="46" s="1"/>
  <c r="G1429" i="46"/>
  <c r="G1862" i="46"/>
  <c r="G1896" i="46" s="1"/>
  <c r="G1428" i="46"/>
  <c r="G1861" i="46"/>
  <c r="G1895" i="46" s="1"/>
  <c r="G1867" i="46"/>
  <c r="G1901" i="46" s="1"/>
  <c r="F1627" i="46"/>
  <c r="F1939" i="46" s="1"/>
  <c r="G1436" i="46"/>
  <c r="G1869" i="46"/>
  <c r="G1903" i="46" s="1"/>
  <c r="G1431" i="46"/>
  <c r="G1864" i="46"/>
  <c r="G1898" i="46" s="1"/>
  <c r="G1433" i="46"/>
  <c r="G1866" i="46"/>
  <c r="G1900" i="46" s="1"/>
  <c r="F1783" i="46"/>
  <c r="F1950" i="46" s="1"/>
  <c r="G1821" i="46"/>
  <c r="G1534" i="46"/>
  <c r="G1816" i="46"/>
  <c r="G1180" i="46"/>
  <c r="G1183" i="46" s="1"/>
  <c r="G1184" i="46" s="1"/>
  <c r="G342" i="70" s="1"/>
  <c r="F1690" i="46"/>
  <c r="F1190" i="46"/>
  <c r="F1193" i="46" s="1"/>
  <c r="F1194" i="46" s="1"/>
  <c r="F343" i="70" s="1"/>
  <c r="G1173" i="46"/>
  <c r="G1174" i="46" s="1"/>
  <c r="G341" i="70" s="1"/>
  <c r="E1598" i="46"/>
  <c r="E1613" i="46" s="1"/>
  <c r="E1627" i="46" s="1"/>
  <c r="E1534" i="46"/>
  <c r="W25" i="64" s="1"/>
  <c r="E1180" i="46"/>
  <c r="E1183" i="46" s="1"/>
  <c r="F1412" i="46"/>
  <c r="F1171" i="46"/>
  <c r="F1404" i="46"/>
  <c r="F1819" i="46"/>
  <c r="F1372" i="46"/>
  <c r="F1400" i="46" s="1"/>
  <c r="F1815" i="46"/>
  <c r="F240" i="70"/>
  <c r="F248" i="31"/>
  <c r="E1441" i="46"/>
  <c r="E1443" i="46"/>
  <c r="E1170" i="46"/>
  <c r="E1283" i="46"/>
  <c r="W24" i="64" s="1"/>
  <c r="F1534" i="46"/>
  <c r="F1180" i="46"/>
  <c r="F1183" i="46" s="1"/>
  <c r="F1184" i="46" s="1"/>
  <c r="F342" i="70" s="1"/>
  <c r="G1438" i="46"/>
  <c r="G1871" i="46"/>
  <c r="G1905" i="46" s="1"/>
  <c r="I114" i="47"/>
  <c r="E118" i="47"/>
  <c r="F1405" i="46"/>
  <c r="F1820" i="46"/>
  <c r="F1374" i="46"/>
  <c r="F1402" i="46" s="1"/>
  <c r="F1817" i="46"/>
  <c r="F1373" i="46"/>
  <c r="F1401" i="46" s="1"/>
  <c r="F1816" i="46"/>
  <c r="F1403" i="46"/>
  <c r="F1818" i="46"/>
  <c r="F1407" i="46"/>
  <c r="F1822" i="46"/>
  <c r="E1412" i="46"/>
  <c r="E1171" i="46"/>
  <c r="E1404" i="46"/>
  <c r="F1409" i="46"/>
  <c r="F1824" i="46"/>
  <c r="F1408" i="46"/>
  <c r="F1823" i="46"/>
  <c r="E1403" i="46"/>
  <c r="E1409" i="46"/>
  <c r="E1405" i="46"/>
  <c r="E1410" i="46"/>
  <c r="G1437" i="46"/>
  <c r="G1870" i="46"/>
  <c r="F1406" i="46"/>
  <c r="F1821" i="46"/>
  <c r="F1410" i="46"/>
  <c r="F1825" i="46"/>
  <c r="F1814" i="46"/>
  <c r="F1283" i="46"/>
  <c r="F1170" i="46"/>
  <c r="G248" i="31"/>
  <c r="G240" i="70"/>
  <c r="E1406" i="46"/>
  <c r="E1442" i="46"/>
  <c r="E1407" i="46"/>
  <c r="E285" i="71"/>
  <c r="E1408" i="46"/>
  <c r="T14" i="62"/>
  <c r="X14" i="62"/>
  <c r="V14" i="62"/>
  <c r="V11" i="62"/>
  <c r="K1050" i="46"/>
  <c r="Z17" i="62" s="1"/>
  <c r="V16" i="62"/>
  <c r="X16" i="62"/>
  <c r="T16" i="62"/>
  <c r="V15" i="62"/>
  <c r="X15" i="62"/>
  <c r="T15" i="62"/>
  <c r="X11" i="62"/>
  <c r="T11" i="62"/>
  <c r="G1950" i="46" l="1"/>
  <c r="G1953" i="46"/>
  <c r="G1952" i="46"/>
  <c r="G1949" i="46"/>
  <c r="F1943" i="46"/>
  <c r="F1944" i="46"/>
  <c r="G1951" i="46"/>
  <c r="F1940" i="46"/>
  <c r="F1941" i="46"/>
  <c r="F1953" i="46"/>
  <c r="F1942" i="46"/>
  <c r="F1951" i="46"/>
  <c r="G1944" i="46"/>
  <c r="G1939" i="46"/>
  <c r="G1942" i="46"/>
  <c r="G1940" i="46"/>
  <c r="G1941" i="46"/>
  <c r="F1431" i="46"/>
  <c r="F1864" i="46"/>
  <c r="F1898" i="46" s="1"/>
  <c r="F1430" i="46"/>
  <c r="F1863" i="46"/>
  <c r="F1897" i="46" s="1"/>
  <c r="F1432" i="46"/>
  <c r="F1865" i="46"/>
  <c r="F1899" i="46" s="1"/>
  <c r="F1867" i="46"/>
  <c r="F1901" i="46" s="1"/>
  <c r="F1434" i="46"/>
  <c r="F1861" i="46"/>
  <c r="F1895" i="46" s="1"/>
  <c r="F1428" i="46"/>
  <c r="F1911" i="46" s="1"/>
  <c r="F1440" i="46"/>
  <c r="F1457" i="46" s="1"/>
  <c r="F1860" i="46"/>
  <c r="F1894" i="46" s="1"/>
  <c r="F1436" i="46"/>
  <c r="F1869" i="46"/>
  <c r="F1903" i="46" s="1"/>
  <c r="F1868" i="46"/>
  <c r="F1902" i="46" s="1"/>
  <c r="F1435" i="46"/>
  <c r="F1918" i="46" s="1"/>
  <c r="F1429" i="46"/>
  <c r="F1862" i="46"/>
  <c r="F1896" i="46" s="1"/>
  <c r="F1433" i="46"/>
  <c r="F1916" i="46" s="1"/>
  <c r="F1866" i="46"/>
  <c r="F1900" i="46" s="1"/>
  <c r="F1949" i="46"/>
  <c r="F1952" i="46"/>
  <c r="F1954" i="46"/>
  <c r="G1827" i="46"/>
  <c r="G1196" i="46"/>
  <c r="G261" i="31" s="1"/>
  <c r="M261" i="32" s="1"/>
  <c r="F1173" i="46"/>
  <c r="F1174" i="46" s="1"/>
  <c r="F341" i="70" s="1"/>
  <c r="G249" i="31"/>
  <c r="M249" i="32" s="1"/>
  <c r="M248" i="32"/>
  <c r="F1827" i="46"/>
  <c r="E1433" i="46"/>
  <c r="E1866" i="46"/>
  <c r="E1431" i="46"/>
  <c r="F1437" i="46"/>
  <c r="F1870" i="46"/>
  <c r="E240" i="70"/>
  <c r="E248" i="31"/>
  <c r="I118" i="47"/>
  <c r="I12" i="60"/>
  <c r="E116" i="71" s="1"/>
  <c r="F249" i="31"/>
  <c r="L249" i="32" s="1"/>
  <c r="L248" i="32"/>
  <c r="E1436" i="46"/>
  <c r="E1435" i="46"/>
  <c r="E1868" i="46"/>
  <c r="E1434" i="46"/>
  <c r="E1867" i="46"/>
  <c r="E1440" i="46"/>
  <c r="E1457" i="46" s="1"/>
  <c r="E1860" i="46"/>
  <c r="E1173" i="46"/>
  <c r="E1940" i="46"/>
  <c r="E1942" i="46"/>
  <c r="E1939" i="46"/>
  <c r="E1943" i="46"/>
  <c r="E1944" i="46"/>
  <c r="E1941" i="46"/>
  <c r="F1871" i="46"/>
  <c r="F1905" i="46" s="1"/>
  <c r="F1438" i="46"/>
  <c r="F1921" i="46" s="1"/>
  <c r="G1904" i="46"/>
  <c r="G1907" i="46" s="1"/>
  <c r="G1873" i="46"/>
  <c r="G1874" i="46" s="1"/>
  <c r="E1438" i="46"/>
  <c r="E1437" i="46"/>
  <c r="G1454" i="46"/>
  <c r="G1456" i="46"/>
  <c r="E1432" i="46"/>
  <c r="K1096" i="46"/>
  <c r="X17" i="62" s="1"/>
  <c r="K1120" i="46"/>
  <c r="T17" i="62" s="1"/>
  <c r="K1108" i="46"/>
  <c r="V17" i="62" s="1"/>
  <c r="K315" i="38" l="1"/>
  <c r="K449" i="38"/>
  <c r="G1956" i="46"/>
  <c r="G123" i="47" s="1"/>
  <c r="F1946" i="46"/>
  <c r="F122" i="47" s="1"/>
  <c r="G1946" i="46"/>
  <c r="G122" i="47" s="1"/>
  <c r="F1956" i="46"/>
  <c r="F123" i="47" s="1"/>
  <c r="F1923" i="46"/>
  <c r="F1924" i="46" s="1"/>
  <c r="M2032" i="46"/>
  <c r="M2034" i="46" s="1"/>
  <c r="M2081" i="46" s="1"/>
  <c r="M2085" i="46" s="1"/>
  <c r="M260" i="31" s="1"/>
  <c r="F1196" i="46"/>
  <c r="F261" i="31" s="1"/>
  <c r="L261" i="32" s="1"/>
  <c r="L2032" i="46" s="1"/>
  <c r="L2034" i="46" s="1"/>
  <c r="L2065" i="46" s="1"/>
  <c r="L2069" i="46" s="1"/>
  <c r="L258" i="31" s="1"/>
  <c r="G1458" i="46"/>
  <c r="E1901" i="46"/>
  <c r="W17" i="64"/>
  <c r="F1456" i="46"/>
  <c r="F1454" i="46"/>
  <c r="I248" i="31"/>
  <c r="K248" i="32"/>
  <c r="O248" i="32" s="1"/>
  <c r="E249" i="31"/>
  <c r="D248" i="32"/>
  <c r="G1931" i="46"/>
  <c r="G1932" i="46"/>
  <c r="G1929" i="46"/>
  <c r="G1455" i="46"/>
  <c r="G1930" i="46"/>
  <c r="G1933" i="46"/>
  <c r="G1934" i="46"/>
  <c r="G1459" i="46"/>
  <c r="G1460" i="46" s="1"/>
  <c r="E1946" i="46"/>
  <c r="E122" i="47" s="1"/>
  <c r="E1894" i="46"/>
  <c r="W10" i="64"/>
  <c r="E1902" i="46"/>
  <c r="W18" i="64"/>
  <c r="E1456" i="46"/>
  <c r="E1454" i="46"/>
  <c r="E1459" i="46" s="1"/>
  <c r="F1904" i="46"/>
  <c r="F1907" i="46" s="1"/>
  <c r="F1873" i="46"/>
  <c r="F1874" i="46" s="1"/>
  <c r="W16" i="64"/>
  <c r="E1900" i="46"/>
  <c r="L1600" i="46"/>
  <c r="L1615" i="46" s="1"/>
  <c r="L1606" i="46"/>
  <c r="L1621" i="46" s="1"/>
  <c r="M1755" i="46"/>
  <c r="M1770" i="46" s="1"/>
  <c r="M1420" i="46"/>
  <c r="M1448" i="46" s="1"/>
  <c r="L1605" i="46"/>
  <c r="L1620" i="46" s="1"/>
  <c r="M1747" i="46"/>
  <c r="M1762" i="46" s="1"/>
  <c r="M1777" i="46" s="1"/>
  <c r="L1745" i="46"/>
  <c r="L1760" i="46" s="1"/>
  <c r="M1389" i="46"/>
  <c r="M1417" i="46" s="1"/>
  <c r="M1445" i="46" s="1"/>
  <c r="M1419" i="46"/>
  <c r="M1447" i="46" s="1"/>
  <c r="L1592" i="46"/>
  <c r="L1607" i="46" s="1"/>
  <c r="L1622" i="46" s="1"/>
  <c r="L1599" i="46"/>
  <c r="L1614" i="46" s="1"/>
  <c r="M1746" i="46"/>
  <c r="M1761" i="46" s="1"/>
  <c r="M1776" i="46" s="1"/>
  <c r="M1764" i="46"/>
  <c r="M1779" i="46" s="1"/>
  <c r="L1419" i="46"/>
  <c r="L1447" i="46" s="1"/>
  <c r="L1414" i="46"/>
  <c r="L1442" i="46" s="1"/>
  <c r="L1422" i="46"/>
  <c r="L1450" i="46" s="1"/>
  <c r="L1421" i="46"/>
  <c r="L1449" i="46" s="1"/>
  <c r="L1756" i="46"/>
  <c r="L1771" i="46" s="1"/>
  <c r="L1765" i="46"/>
  <c r="L1780" i="46" s="1"/>
  <c r="K1418" i="46"/>
  <c r="K1446" i="46" s="1"/>
  <c r="K1423" i="46"/>
  <c r="K1451" i="46" s="1"/>
  <c r="K1414" i="46"/>
  <c r="K1442" i="46" s="1"/>
  <c r="M1388" i="46"/>
  <c r="M1416" i="46" s="1"/>
  <c r="M1444" i="46" s="1"/>
  <c r="M1422" i="46"/>
  <c r="M1450" i="46" s="1"/>
  <c r="M1418" i="46"/>
  <c r="M1446" i="46" s="1"/>
  <c r="L1608" i="46"/>
  <c r="L1623" i="46" s="1"/>
  <c r="L1415" i="46"/>
  <c r="L1443" i="46" s="1"/>
  <c r="L1413" i="46"/>
  <c r="L1441" i="46" s="1"/>
  <c r="L1758" i="46"/>
  <c r="L1773" i="46" s="1"/>
  <c r="K1420" i="46"/>
  <c r="K1448" i="46" s="1"/>
  <c r="K1422" i="46"/>
  <c r="K1450" i="46" s="1"/>
  <c r="M1413" i="46"/>
  <c r="M1441" i="46" s="1"/>
  <c r="L1602" i="46"/>
  <c r="L1617" i="46" s="1"/>
  <c r="M1758" i="46"/>
  <c r="M1773" i="46" s="1"/>
  <c r="M1765" i="46"/>
  <c r="M1780" i="46" s="1"/>
  <c r="K1421" i="46"/>
  <c r="K1449" i="46" s="1"/>
  <c r="K1415" i="46"/>
  <c r="K1443" i="46" s="1"/>
  <c r="L1609" i="46"/>
  <c r="L1624" i="46" s="1"/>
  <c r="L1601" i="46"/>
  <c r="L1616" i="46" s="1"/>
  <c r="M1745" i="46"/>
  <c r="M1760" i="46" s="1"/>
  <c r="M1775" i="46" s="1"/>
  <c r="L1418" i="46"/>
  <c r="L1446" i="46" s="1"/>
  <c r="L1420" i="46"/>
  <c r="L1448" i="46" s="1"/>
  <c r="L1389" i="46"/>
  <c r="L1417" i="46" s="1"/>
  <c r="L1445" i="46" s="1"/>
  <c r="L1764" i="46"/>
  <c r="L1779" i="46" s="1"/>
  <c r="K1419" i="46"/>
  <c r="K1447" i="46" s="1"/>
  <c r="K1413" i="46"/>
  <c r="K1441" i="46" s="1"/>
  <c r="M1415" i="46"/>
  <c r="M1443" i="46" s="1"/>
  <c r="M1414" i="46"/>
  <c r="M1442" i="46" s="1"/>
  <c r="M1421" i="46"/>
  <c r="M1449" i="46" s="1"/>
  <c r="L2050" i="46" l="1"/>
  <c r="L2053" i="46" s="1"/>
  <c r="L250" i="31" s="1"/>
  <c r="L21" i="68" s="1"/>
  <c r="L22" i="68" s="1"/>
  <c r="L2081" i="46"/>
  <c r="L2085" i="46" s="1"/>
  <c r="L260" i="31" s="1"/>
  <c r="L2073" i="46"/>
  <c r="L2077" i="46" s="1"/>
  <c r="L259" i="31" s="1"/>
  <c r="L2057" i="46"/>
  <c r="L2061" i="46" s="1"/>
  <c r="L257" i="31" s="1"/>
  <c r="L325" i="31" s="1"/>
  <c r="L2020" i="46"/>
  <c r="L251" i="31"/>
  <c r="K346" i="38"/>
  <c r="K480" i="38"/>
  <c r="M251" i="31"/>
  <c r="M2065" i="46"/>
  <c r="M2069" i="46" s="1"/>
  <c r="M258" i="31" s="1"/>
  <c r="M2057" i="46"/>
  <c r="M2061" i="46" s="1"/>
  <c r="M257" i="31" s="1"/>
  <c r="M322" i="31" s="1"/>
  <c r="M2020" i="46"/>
  <c r="M2073" i="46"/>
  <c r="M2077" i="46" s="1"/>
  <c r="M259" i="31" s="1"/>
  <c r="M2050" i="46"/>
  <c r="K316" i="38" s="1"/>
  <c r="E1460" i="46"/>
  <c r="Y36" i="64" s="1"/>
  <c r="Y35" i="64"/>
  <c r="E1931" i="46"/>
  <c r="E1934" i="46"/>
  <c r="E1933" i="46"/>
  <c r="E1455" i="46"/>
  <c r="E1932" i="46"/>
  <c r="E1929" i="46"/>
  <c r="E1930" i="46"/>
  <c r="F1458" i="46"/>
  <c r="E1458" i="46"/>
  <c r="Y34" i="64" s="1"/>
  <c r="E154" i="38"/>
  <c r="E280" i="71" s="1"/>
  <c r="I122" i="47"/>
  <c r="G1936" i="46"/>
  <c r="G121" i="47" s="1"/>
  <c r="G125" i="47" s="1"/>
  <c r="I249" i="31"/>
  <c r="F96" i="1"/>
  <c r="K249" i="32"/>
  <c r="O249" i="32" s="1"/>
  <c r="E105" i="38"/>
  <c r="E256" i="71" s="1"/>
  <c r="F68" i="1"/>
  <c r="F1932" i="46"/>
  <c r="F1933" i="46"/>
  <c r="F1930" i="46"/>
  <c r="F1934" i="46"/>
  <c r="F1455" i="46"/>
  <c r="F1929" i="46"/>
  <c r="F1931" i="46"/>
  <c r="F1459" i="46"/>
  <c r="F1460" i="46" s="1"/>
  <c r="L1775" i="46"/>
  <c r="M1412" i="46"/>
  <c r="M1440" i="46" s="1"/>
  <c r="L1407" i="46"/>
  <c r="L1852" i="46"/>
  <c r="M1609" i="46"/>
  <c r="M1624" i="46" s="1"/>
  <c r="M1852" i="46"/>
  <c r="M1407" i="46"/>
  <c r="M1435" i="46" s="1"/>
  <c r="L1855" i="46"/>
  <c r="L1410" i="46"/>
  <c r="M1850" i="46"/>
  <c r="M1405" i="46"/>
  <c r="K1757" i="46"/>
  <c r="K1772" i="46" s="1"/>
  <c r="K1765" i="46"/>
  <c r="K1780" i="46" s="1"/>
  <c r="K1602" i="46"/>
  <c r="K1617" i="46" s="1"/>
  <c r="M1606" i="46"/>
  <c r="M1621" i="46" s="1"/>
  <c r="M1601" i="46"/>
  <c r="M1616" i="46" s="1"/>
  <c r="K1406" i="46"/>
  <c r="K1434" i="46" s="1"/>
  <c r="K1851" i="46"/>
  <c r="K387" i="31" s="1"/>
  <c r="K1746" i="46" s="1"/>
  <c r="K1761" i="46" s="1"/>
  <c r="K1776" i="46" s="1"/>
  <c r="L1847" i="46"/>
  <c r="L1374" i="46"/>
  <c r="L1402" i="46" s="1"/>
  <c r="M1844" i="46"/>
  <c r="M1371" i="46"/>
  <c r="M1399" i="46" s="1"/>
  <c r="M1427" i="46" s="1"/>
  <c r="M1408" i="46"/>
  <c r="M1853" i="46"/>
  <c r="K1409" i="46"/>
  <c r="K1437" i="46" s="1"/>
  <c r="K1854" i="46"/>
  <c r="M1406" i="46"/>
  <c r="M1851" i="46"/>
  <c r="K1749" i="46"/>
  <c r="K1764" i="46" s="1"/>
  <c r="K1779" i="46" s="1"/>
  <c r="M1854" i="46"/>
  <c r="M1409" i="46"/>
  <c r="M1437" i="46" s="1"/>
  <c r="K1407" i="46"/>
  <c r="K1435" i="46" s="1"/>
  <c r="K1852" i="46"/>
  <c r="K388" i="31" s="1"/>
  <c r="K1747" i="46" s="1"/>
  <c r="K1762" i="46" s="1"/>
  <c r="K1777" i="46" s="1"/>
  <c r="K1847" i="46"/>
  <c r="K383" i="31" s="1"/>
  <c r="K1605" i="46"/>
  <c r="K1620" i="46" s="1"/>
  <c r="K1601" i="46"/>
  <c r="K1616" i="46" s="1"/>
  <c r="L1403" i="46"/>
  <c r="L1848" i="46"/>
  <c r="L1372" i="46"/>
  <c r="L1400" i="46" s="1"/>
  <c r="L1845" i="46"/>
  <c r="M1847" i="46"/>
  <c r="M1374" i="46"/>
  <c r="M1402" i="46" s="1"/>
  <c r="M1430" i="46" s="1"/>
  <c r="M1372" i="46"/>
  <c r="M1400" i="46" s="1"/>
  <c r="M1845" i="46"/>
  <c r="K1404" i="46"/>
  <c r="K1432" i="46" s="1"/>
  <c r="K1849" i="46"/>
  <c r="K385" i="31" s="1"/>
  <c r="M1599" i="46"/>
  <c r="M1614" i="46" s="1"/>
  <c r="M1592" i="46"/>
  <c r="M1607" i="46" s="1"/>
  <c r="M1622" i="46" s="1"/>
  <c r="M1604" i="46"/>
  <c r="M1619" i="46" s="1"/>
  <c r="L1405" i="46"/>
  <c r="L1850" i="46"/>
  <c r="K1412" i="46"/>
  <c r="K1440" i="46" s="1"/>
  <c r="L1371" i="46"/>
  <c r="L1399" i="46" s="1"/>
  <c r="L1427" i="46" s="1"/>
  <c r="L1844" i="46"/>
  <c r="M1404" i="46"/>
  <c r="M1432" i="46" s="1"/>
  <c r="M1849" i="46"/>
  <c r="K1846" i="46"/>
  <c r="K382" i="31" s="1"/>
  <c r="K1373" i="46" s="1"/>
  <c r="K1401" i="46" s="1"/>
  <c r="K1429" i="46" s="1"/>
  <c r="L1409" i="46"/>
  <c r="L1870" i="46" s="1"/>
  <c r="L1854" i="46"/>
  <c r="K1756" i="46"/>
  <c r="K1771" i="46" s="1"/>
  <c r="K1758" i="46"/>
  <c r="K1773" i="46" s="1"/>
  <c r="M1855" i="46"/>
  <c r="M1410" i="46"/>
  <c r="M1438" i="46" s="1"/>
  <c r="K1848" i="46"/>
  <c r="K384" i="31" s="1"/>
  <c r="K1403" i="46"/>
  <c r="K1604" i="46"/>
  <c r="K1619" i="46" s="1"/>
  <c r="K1599" i="46"/>
  <c r="K1614" i="46" s="1"/>
  <c r="K1609" i="46"/>
  <c r="K1624" i="46" s="1"/>
  <c r="M1754" i="46"/>
  <c r="M1769" i="46" s="1"/>
  <c r="K1408" i="46"/>
  <c r="K1436" i="46" s="1"/>
  <c r="K1853" i="46"/>
  <c r="K389" i="31" s="1"/>
  <c r="M1603" i="46"/>
  <c r="M1618" i="46" s="1"/>
  <c r="L1598" i="46"/>
  <c r="L1613" i="46" s="1"/>
  <c r="K1755" i="46"/>
  <c r="K1770" i="46" s="1"/>
  <c r="K1845" i="46"/>
  <c r="K381" i="31" s="1"/>
  <c r="K1372" i="46" s="1"/>
  <c r="K1400" i="46" s="1"/>
  <c r="M1608" i="46"/>
  <c r="M1623" i="46" s="1"/>
  <c r="L1846" i="46"/>
  <c r="L1373" i="46"/>
  <c r="L1401" i="46" s="1"/>
  <c r="L1862" i="46" s="1"/>
  <c r="L1849" i="46"/>
  <c r="L1404" i="46"/>
  <c r="M1605" i="46"/>
  <c r="M1620" i="46" s="1"/>
  <c r="M1602" i="46"/>
  <c r="M1617" i="46" s="1"/>
  <c r="M1600" i="46"/>
  <c r="M1615" i="46" s="1"/>
  <c r="M1846" i="46"/>
  <c r="M1373" i="46"/>
  <c r="M1401" i="46" s="1"/>
  <c r="M1429" i="46" s="1"/>
  <c r="M1848" i="46"/>
  <c r="M1403" i="46"/>
  <c r="M1431" i="46" s="1"/>
  <c r="K1850" i="46"/>
  <c r="K386" i="31" s="1"/>
  <c r="K1745" i="46" s="1"/>
  <c r="K1760" i="46" s="1"/>
  <c r="K1775" i="46" s="1"/>
  <c r="K1405" i="46"/>
  <c r="K1433" i="46" s="1"/>
  <c r="L1408" i="46"/>
  <c r="L1853" i="46"/>
  <c r="K1410" i="46"/>
  <c r="K1438" i="46" s="1"/>
  <c r="K1855" i="46"/>
  <c r="L1754" i="46"/>
  <c r="L1769" i="46" s="1"/>
  <c r="K1763" i="46"/>
  <c r="K1778" i="46" s="1"/>
  <c r="K1759" i="46"/>
  <c r="K1774" i="46" s="1"/>
  <c r="K1600" i="46"/>
  <c r="K1615" i="46" s="1"/>
  <c r="K1603" i="46"/>
  <c r="K1618" i="46" s="1"/>
  <c r="K1606" i="46"/>
  <c r="K1621" i="46" s="1"/>
  <c r="K1608" i="46"/>
  <c r="K1623" i="46" s="1"/>
  <c r="L1412" i="46"/>
  <c r="L1440" i="46" s="1"/>
  <c r="L1406" i="46"/>
  <c r="L1851" i="46"/>
  <c r="K420" i="38" l="1"/>
  <c r="K286" i="38"/>
  <c r="L2021" i="46"/>
  <c r="L2024" i="46" s="1"/>
  <c r="L252" i="31" s="1"/>
  <c r="L322" i="31"/>
  <c r="L344" i="31" s="1"/>
  <c r="L1325" i="46" s="1"/>
  <c r="L324" i="31"/>
  <c r="L1962" i="46" s="1"/>
  <c r="L323" i="31"/>
  <c r="L345" i="31" s="1"/>
  <c r="L1338" i="46" s="1"/>
  <c r="L1396" i="46" s="1"/>
  <c r="L1424" i="46" s="1"/>
  <c r="L1452" i="46" s="1"/>
  <c r="M324" i="31"/>
  <c r="M1962" i="46" s="1"/>
  <c r="M325" i="31"/>
  <c r="M1963" i="46" s="1"/>
  <c r="M323" i="31"/>
  <c r="M345" i="31" s="1"/>
  <c r="M1338" i="46" s="1"/>
  <c r="M1396" i="46" s="1"/>
  <c r="M1424" i="46" s="1"/>
  <c r="M1452" i="46" s="1"/>
  <c r="K450" i="38"/>
  <c r="M2053" i="46"/>
  <c r="M250" i="31" s="1"/>
  <c r="M21" i="68" s="1"/>
  <c r="M22" i="68" s="1"/>
  <c r="G245" i="70"/>
  <c r="G241" i="70"/>
  <c r="G126" i="47"/>
  <c r="E1936" i="46"/>
  <c r="E121" i="47" s="1"/>
  <c r="F1936" i="46"/>
  <c r="F121" i="47" s="1"/>
  <c r="F125" i="47" s="1"/>
  <c r="L1963" i="46"/>
  <c r="L347" i="31"/>
  <c r="L1563" i="46" s="1"/>
  <c r="M1959" i="46"/>
  <c r="M344" i="31"/>
  <c r="M1325" i="46" s="1"/>
  <c r="E5" i="62"/>
  <c r="I5" i="64"/>
  <c r="E5" i="66"/>
  <c r="O389" i="31"/>
  <c r="K1577" i="46"/>
  <c r="K1886" i="46" s="1"/>
  <c r="O383" i="31"/>
  <c r="K1346" i="46"/>
  <c r="K1880" i="46" s="1"/>
  <c r="K1374" i="46"/>
  <c r="K1402" i="46" s="1"/>
  <c r="K1863" i="46" s="1"/>
  <c r="AZ13" i="64" s="1"/>
  <c r="O381" i="31"/>
  <c r="K1344" i="46"/>
  <c r="K1878" i="46" s="1"/>
  <c r="O387" i="31"/>
  <c r="K1731" i="46"/>
  <c r="K1884" i="46" s="1"/>
  <c r="O384" i="31"/>
  <c r="K1360" i="46"/>
  <c r="K1881" i="46" s="1"/>
  <c r="K1388" i="46"/>
  <c r="K1416" i="46" s="1"/>
  <c r="K1444" i="46" s="1"/>
  <c r="K1592" i="46"/>
  <c r="K1607" i="46" s="1"/>
  <c r="K1622" i="46" s="1"/>
  <c r="K1919" i="46" s="1"/>
  <c r="BF19" i="64" s="1"/>
  <c r="O386" i="31"/>
  <c r="K1730" i="46"/>
  <c r="K1883" i="46" s="1"/>
  <c r="O382" i="31"/>
  <c r="K1345" i="46"/>
  <c r="K1879" i="46" s="1"/>
  <c r="O385" i="31"/>
  <c r="K1361" i="46"/>
  <c r="K1882" i="46" s="1"/>
  <c r="K1389" i="46"/>
  <c r="K1417" i="46" s="1"/>
  <c r="K1445" i="46" s="1"/>
  <c r="K1915" i="46" s="1"/>
  <c r="BF15" i="64" s="1"/>
  <c r="O388" i="31"/>
  <c r="K1732" i="46"/>
  <c r="K1885" i="46" s="1"/>
  <c r="K1844" i="46"/>
  <c r="K380" i="31" s="1"/>
  <c r="L1436" i="46"/>
  <c r="L1919" i="46" s="1"/>
  <c r="K1861" i="46"/>
  <c r="AZ11" i="64" s="1"/>
  <c r="M1861" i="46"/>
  <c r="M1895" i="46" s="1"/>
  <c r="M1866" i="46"/>
  <c r="M1900" i="46" s="1"/>
  <c r="L1438" i="46"/>
  <c r="L1921" i="46" s="1"/>
  <c r="M1913" i="46"/>
  <c r="L1430" i="46"/>
  <c r="L1913" i="46" s="1"/>
  <c r="M1921" i="46"/>
  <c r="M1918" i="46"/>
  <c r="L1433" i="46"/>
  <c r="L1916" i="46" s="1"/>
  <c r="L1434" i="46"/>
  <c r="L1917" i="46" s="1"/>
  <c r="K1871" i="46"/>
  <c r="AZ21" i="64" s="1"/>
  <c r="M1920" i="46"/>
  <c r="AX16" i="64"/>
  <c r="K204" i="71" s="1"/>
  <c r="K338" i="31"/>
  <c r="K400" i="70"/>
  <c r="M395" i="70"/>
  <c r="M333" i="31"/>
  <c r="M367" i="31" s="1"/>
  <c r="L398" i="70"/>
  <c r="L336" i="31"/>
  <c r="M339" i="31"/>
  <c r="M373" i="31" s="1"/>
  <c r="M401" i="70"/>
  <c r="L343" i="31"/>
  <c r="L377" i="31" s="1"/>
  <c r="L405" i="70"/>
  <c r="M402" i="70"/>
  <c r="M340" i="31"/>
  <c r="M374" i="31" s="1"/>
  <c r="L339" i="31"/>
  <c r="L373" i="31" s="1"/>
  <c r="L401" i="70"/>
  <c r="K405" i="70"/>
  <c r="AX21" i="64"/>
  <c r="K209" i="71" s="1"/>
  <c r="K343" i="31"/>
  <c r="K1177" i="46" s="1"/>
  <c r="K1916" i="46"/>
  <c r="BF16" i="64" s="1"/>
  <c r="K341" i="31"/>
  <c r="AX19" i="64"/>
  <c r="K207" i="71" s="1"/>
  <c r="K403" i="70"/>
  <c r="M399" i="70"/>
  <c r="M337" i="31"/>
  <c r="M371" i="31" s="1"/>
  <c r="L333" i="31"/>
  <c r="L367" i="31" s="1"/>
  <c r="L395" i="70"/>
  <c r="K402" i="70"/>
  <c r="AX18" i="64"/>
  <c r="K206" i="71" s="1"/>
  <c r="K340" i="31"/>
  <c r="M404" i="70"/>
  <c r="M342" i="31"/>
  <c r="M376" i="31" s="1"/>
  <c r="M1867" i="46"/>
  <c r="M1901" i="46" s="1"/>
  <c r="M1436" i="46"/>
  <c r="M1919" i="46" s="1"/>
  <c r="K1917" i="46"/>
  <c r="BF17" i="64" s="1"/>
  <c r="M338" i="31"/>
  <c r="M1187" i="46" s="1"/>
  <c r="M400" i="70"/>
  <c r="L340" i="31"/>
  <c r="L374" i="31" s="1"/>
  <c r="L402" i="70"/>
  <c r="K1754" i="46"/>
  <c r="K1769" i="46" s="1"/>
  <c r="M1864" i="46"/>
  <c r="M1898" i="46" s="1"/>
  <c r="L337" i="31"/>
  <c r="L371" i="31" s="1"/>
  <c r="L399" i="70"/>
  <c r="L396" i="70"/>
  <c r="L334" i="31"/>
  <c r="L368" i="31" s="1"/>
  <c r="L1896" i="46"/>
  <c r="K395" i="70"/>
  <c r="K333" i="31"/>
  <c r="AX11" i="64"/>
  <c r="K199" i="71" s="1"/>
  <c r="K1431" i="46"/>
  <c r="L404" i="70"/>
  <c r="L342" i="31"/>
  <c r="L376" i="31" s="1"/>
  <c r="L1904" i="46"/>
  <c r="K396" i="70"/>
  <c r="K334" i="31"/>
  <c r="AX12" i="64"/>
  <c r="K200" i="71" s="1"/>
  <c r="L332" i="31"/>
  <c r="L394" i="70"/>
  <c r="L1857" i="46"/>
  <c r="L1428" i="46"/>
  <c r="L1911" i="46" s="1"/>
  <c r="L1431" i="46"/>
  <c r="L1914" i="46" s="1"/>
  <c r="K397" i="70"/>
  <c r="K335" i="31"/>
  <c r="AX13" i="64"/>
  <c r="K201" i="71" s="1"/>
  <c r="K1868" i="46"/>
  <c r="AZ18" i="64" s="1"/>
  <c r="M1434" i="46"/>
  <c r="M1917" i="46" s="1"/>
  <c r="K1870" i="46"/>
  <c r="AZ20" i="64" s="1"/>
  <c r="AX17" i="64"/>
  <c r="K205" i="71" s="1"/>
  <c r="K339" i="31"/>
  <c r="K401" i="70"/>
  <c r="M1433" i="46"/>
  <c r="M1916" i="46" s="1"/>
  <c r="M1598" i="46"/>
  <c r="M1860" i="46" s="1"/>
  <c r="L1435" i="46"/>
  <c r="L1918" i="46" s="1"/>
  <c r="K1921" i="46"/>
  <c r="BF21" i="64" s="1"/>
  <c r="M1914" i="46"/>
  <c r="M343" i="31"/>
  <c r="M377" i="31" s="1"/>
  <c r="M405" i="70"/>
  <c r="K399" i="70"/>
  <c r="K337" i="31"/>
  <c r="AX15" i="64"/>
  <c r="K203" i="71" s="1"/>
  <c r="M1870" i="46"/>
  <c r="M1904" i="46" s="1"/>
  <c r="K1920" i="46"/>
  <c r="BF20" i="64" s="1"/>
  <c r="L341" i="31"/>
  <c r="L403" i="70"/>
  <c r="M1912" i="46"/>
  <c r="K336" i="31"/>
  <c r="AX14" i="64"/>
  <c r="K202" i="71" s="1"/>
  <c r="K398" i="70"/>
  <c r="K1912" i="46"/>
  <c r="BF12" i="64" s="1"/>
  <c r="L400" i="70"/>
  <c r="L338" i="31"/>
  <c r="L1187" i="46" s="1"/>
  <c r="K1598" i="46"/>
  <c r="AX20" i="64"/>
  <c r="K208" i="71" s="1"/>
  <c r="K404" i="70"/>
  <c r="K342" i="31"/>
  <c r="M394" i="70"/>
  <c r="M1857" i="46"/>
  <c r="M332" i="31"/>
  <c r="K1866" i="46"/>
  <c r="AZ16" i="64" s="1"/>
  <c r="M398" i="70"/>
  <c r="M336" i="31"/>
  <c r="M396" i="70"/>
  <c r="M334" i="31"/>
  <c r="M368" i="31" s="1"/>
  <c r="L1432" i="46"/>
  <c r="L1915" i="46" s="1"/>
  <c r="L1429" i="46"/>
  <c r="L1912" i="46" s="1"/>
  <c r="K1428" i="46"/>
  <c r="K1911" i="46" s="1"/>
  <c r="BF11" i="64" s="1"/>
  <c r="L1437" i="46"/>
  <c r="L1920" i="46" s="1"/>
  <c r="K1862" i="46"/>
  <c r="AZ12" i="64" s="1"/>
  <c r="M1915" i="46"/>
  <c r="L1860" i="46"/>
  <c r="M1428" i="46"/>
  <c r="M1911" i="46" s="1"/>
  <c r="M335" i="31"/>
  <c r="M369" i="31" s="1"/>
  <c r="M397" i="70"/>
  <c r="K1918" i="46"/>
  <c r="BF18" i="64" s="1"/>
  <c r="M403" i="70"/>
  <c r="M341" i="31"/>
  <c r="L335" i="31"/>
  <c r="L369" i="31" s="1"/>
  <c r="L397" i="70"/>
  <c r="K1867" i="46"/>
  <c r="AZ17" i="64" s="1"/>
  <c r="M1868" i="46"/>
  <c r="M1902" i="46" s="1"/>
  <c r="K1187" i="46" l="1"/>
  <c r="L1959" i="46"/>
  <c r="L346" i="31"/>
  <c r="L1719" i="46" s="1"/>
  <c r="L1751" i="46" s="1"/>
  <c r="L1766" i="46" s="1"/>
  <c r="L1781" i="46" s="1"/>
  <c r="L24" i="68"/>
  <c r="L25" i="68" s="1"/>
  <c r="M1960" i="46"/>
  <c r="M1961" i="46" s="1"/>
  <c r="L1960" i="46"/>
  <c r="K451" i="38"/>
  <c r="M346" i="31"/>
  <c r="M1719" i="46" s="1"/>
  <c r="M1751" i="46" s="1"/>
  <c r="M1766" i="46" s="1"/>
  <c r="M1781" i="46" s="1"/>
  <c r="K317" i="38"/>
  <c r="M347" i="31"/>
  <c r="M1563" i="46" s="1"/>
  <c r="M2021" i="46"/>
  <c r="L1383" i="46"/>
  <c r="L1411" i="46" s="1"/>
  <c r="L1439" i="46" s="1"/>
  <c r="L1340" i="46"/>
  <c r="G134" i="47"/>
  <c r="G127" i="47"/>
  <c r="G242" i="70" s="1"/>
  <c r="L1595" i="46"/>
  <c r="L1610" i="46" s="1"/>
  <c r="L1625" i="46" s="1"/>
  <c r="L1565" i="46"/>
  <c r="M1340" i="46"/>
  <c r="M1383" i="46"/>
  <c r="M1411" i="46" s="1"/>
  <c r="M1439" i="46" s="1"/>
  <c r="F241" i="70"/>
  <c r="F245" i="70"/>
  <c r="F126" i="47"/>
  <c r="I121" i="47"/>
  <c r="E153" i="38"/>
  <c r="E279" i="71" s="1"/>
  <c r="K1430" i="46"/>
  <c r="K1913" i="46" s="1"/>
  <c r="BF13" i="64" s="1"/>
  <c r="K1865" i="46"/>
  <c r="AZ15" i="64" s="1"/>
  <c r="K1914" i="46"/>
  <c r="BF14" i="64" s="1"/>
  <c r="K1864" i="46"/>
  <c r="AZ14" i="64" s="1"/>
  <c r="K1869" i="46"/>
  <c r="AZ19" i="64" s="1"/>
  <c r="K1457" i="46"/>
  <c r="AX10" i="64"/>
  <c r="K198" i="71" s="1"/>
  <c r="K1897" i="46"/>
  <c r="K332" i="31"/>
  <c r="O332" i="31" s="1"/>
  <c r="K394" i="70"/>
  <c r="K1857" i="46"/>
  <c r="K1895" i="46"/>
  <c r="K1904" i="46"/>
  <c r="M1613" i="46"/>
  <c r="M1910" i="46" s="1"/>
  <c r="M1923" i="46" s="1"/>
  <c r="M1924" i="46" s="1"/>
  <c r="K1905" i="46"/>
  <c r="K1900" i="46"/>
  <c r="L1910" i="46"/>
  <c r="L1923" i="46" s="1"/>
  <c r="L1924" i="46" s="1"/>
  <c r="K1901" i="46"/>
  <c r="K370" i="31"/>
  <c r="O336" i="31"/>
  <c r="M1894" i="46"/>
  <c r="O334" i="31"/>
  <c r="K368" i="31"/>
  <c r="M372" i="31"/>
  <c r="O340" i="31"/>
  <c r="K374" i="31"/>
  <c r="M1456" i="46"/>
  <c r="M370" i="31"/>
  <c r="M1167" i="46"/>
  <c r="M1166" i="46"/>
  <c r="M366" i="31"/>
  <c r="O342" i="31"/>
  <c r="K376" i="31"/>
  <c r="L372" i="31"/>
  <c r="L1456" i="46"/>
  <c r="O339" i="31"/>
  <c r="K373" i="31"/>
  <c r="L366" i="31"/>
  <c r="L1166" i="46"/>
  <c r="L1167" i="46"/>
  <c r="L370" i="31"/>
  <c r="K372" i="31"/>
  <c r="O338" i="31"/>
  <c r="O337" i="31"/>
  <c r="K371" i="31"/>
  <c r="O335" i="31"/>
  <c r="K369" i="31"/>
  <c r="L1894" i="46"/>
  <c r="K377" i="31"/>
  <c r="O343" i="31"/>
  <c r="M375" i="31"/>
  <c r="K1613" i="46"/>
  <c r="L1176" i="46"/>
  <c r="L1179" i="46" s="1"/>
  <c r="L375" i="31"/>
  <c r="K1896" i="46"/>
  <c r="K367" i="31"/>
  <c r="O333" i="31"/>
  <c r="K1902" i="46"/>
  <c r="O341" i="31"/>
  <c r="K375" i="31"/>
  <c r="M2024" i="46" l="1"/>
  <c r="M252" i="31" s="1"/>
  <c r="K287" i="38"/>
  <c r="K421" i="38"/>
  <c r="L1961" i="46"/>
  <c r="L1186" i="46"/>
  <c r="L1189" i="46" s="1"/>
  <c r="L1721" i="46"/>
  <c r="M1721" i="46"/>
  <c r="M1186" i="46"/>
  <c r="M1189" i="46" s="1"/>
  <c r="M1176" i="46"/>
  <c r="M1179" i="46" s="1"/>
  <c r="M1595" i="46"/>
  <c r="M1610" i="46" s="1"/>
  <c r="M1625" i="46" s="1"/>
  <c r="M1627" i="46" s="1"/>
  <c r="M1939" i="46" s="1"/>
  <c r="M1565" i="46"/>
  <c r="F127" i="47"/>
  <c r="F242" i="70" s="1"/>
  <c r="F134" i="47"/>
  <c r="G135" i="47"/>
  <c r="G247" i="70" s="1"/>
  <c r="G246" i="70"/>
  <c r="K1899" i="46"/>
  <c r="K1898" i="46"/>
  <c r="K1903" i="46"/>
  <c r="O380" i="31"/>
  <c r="K1343" i="46"/>
  <c r="K1877" i="46" s="1"/>
  <c r="K1890" i="46" s="1"/>
  <c r="K1891" i="46" s="1"/>
  <c r="K396" i="31" s="1"/>
  <c r="K1371" i="46"/>
  <c r="K1399" i="46" s="1"/>
  <c r="K366" i="31"/>
  <c r="BB10" i="64" s="1"/>
  <c r="L1169" i="46"/>
  <c r="M1169" i="46"/>
  <c r="BB13" i="64"/>
  <c r="O369" i="31"/>
  <c r="O370" i="31"/>
  <c r="BB14" i="64"/>
  <c r="O377" i="31"/>
  <c r="BB21" i="64"/>
  <c r="O371" i="31"/>
  <c r="BB15" i="64"/>
  <c r="O372" i="31"/>
  <c r="BB16" i="64"/>
  <c r="BB11" i="64"/>
  <c r="O367" i="31"/>
  <c r="O375" i="31"/>
  <c r="BB19" i="64"/>
  <c r="O373" i="31"/>
  <c r="BB17" i="64"/>
  <c r="O376" i="31"/>
  <c r="BB20" i="64"/>
  <c r="O374" i="31"/>
  <c r="BB18" i="64"/>
  <c r="BB12" i="64"/>
  <c r="O368" i="31"/>
  <c r="M24" i="68" l="1"/>
  <c r="M25" i="68" s="1"/>
  <c r="K422" i="38"/>
  <c r="K288" i="38"/>
  <c r="F246" i="70"/>
  <c r="F135" i="47"/>
  <c r="F247" i="70" s="1"/>
  <c r="O366" i="31"/>
  <c r="K1427" i="46"/>
  <c r="K1860" i="46"/>
  <c r="O396" i="31"/>
  <c r="M1942" i="46"/>
  <c r="M1944" i="46"/>
  <c r="M1941" i="46"/>
  <c r="M1943" i="46"/>
  <c r="M1940" i="46"/>
  <c r="K1894" i="46" l="1"/>
  <c r="K1907" i="46" s="1"/>
  <c r="AZ10" i="64"/>
  <c r="K1873" i="46"/>
  <c r="K1874" i="46" s="1"/>
  <c r="K1910" i="46"/>
  <c r="K1456" i="46"/>
  <c r="M1946" i="46"/>
  <c r="M122" i="47" s="1"/>
  <c r="BF10" i="64" l="1"/>
  <c r="K1923" i="46"/>
  <c r="K1924" i="46" s="1"/>
  <c r="E369" i="46" l="1"/>
  <c r="E397" i="46" s="1"/>
  <c r="G370" i="46"/>
  <c r="G398" i="46" s="1"/>
  <c r="F368" i="46"/>
  <c r="F396" i="46" s="1"/>
  <c r="F370" i="46"/>
  <c r="F398" i="46" s="1"/>
  <c r="E367" i="46"/>
  <c r="E395" i="46" s="1"/>
  <c r="G337" i="46"/>
  <c r="G365" i="46" s="1"/>
  <c r="G393" i="46" s="1"/>
  <c r="E370" i="46"/>
  <c r="E398" i="46" s="1"/>
  <c r="E368" i="46"/>
  <c r="G372" i="46"/>
  <c r="G400" i="46" s="1"/>
  <c r="G367" i="46"/>
  <c r="G395" i="46" s="1"/>
  <c r="E371" i="46"/>
  <c r="E399" i="46" s="1"/>
  <c r="F336" i="46"/>
  <c r="F364" i="46" s="1"/>
  <c r="F372" i="46"/>
  <c r="G335" i="46"/>
  <c r="G363" i="46" s="1"/>
  <c r="F366" i="46"/>
  <c r="F394" i="46" s="1"/>
  <c r="F369" i="46"/>
  <c r="F397" i="46" s="1"/>
  <c r="F337" i="46"/>
  <c r="F365" i="46" s="1"/>
  <c r="F393" i="46" s="1"/>
  <c r="E372" i="46"/>
  <c r="E400" i="46" s="1"/>
  <c r="G369" i="46"/>
  <c r="G397" i="46" s="1"/>
  <c r="G366" i="46"/>
  <c r="F335" i="46"/>
  <c r="F363" i="46" s="1"/>
  <c r="F391" i="46" s="1"/>
  <c r="E366" i="46"/>
  <c r="E394" i="46" s="1"/>
  <c r="G371" i="46"/>
  <c r="G368" i="46"/>
  <c r="F371" i="46"/>
  <c r="G336" i="46"/>
  <c r="G364" i="46" s="1"/>
  <c r="F367" i="46"/>
  <c r="F395" i="46" s="1"/>
  <c r="G392" i="46" l="1"/>
  <c r="G396" i="46"/>
  <c r="G391" i="46"/>
  <c r="G399" i="46"/>
  <c r="F392" i="46"/>
  <c r="F399" i="46"/>
  <c r="F400" i="46"/>
  <c r="G394" i="46"/>
  <c r="E396" i="46"/>
  <c r="E377" i="46" l="1"/>
  <c r="E405" i="46" s="1"/>
  <c r="E378" i="46"/>
  <c r="E406" i="46" s="1"/>
  <c r="E376" i="46"/>
  <c r="E404" i="46" s="1"/>
  <c r="E382" i="46"/>
  <c r="E410" i="46" s="1"/>
  <c r="G377" i="46"/>
  <c r="G405" i="46" s="1"/>
  <c r="F352" i="46"/>
  <c r="F380" i="46" s="1"/>
  <c r="F408" i="46" s="1"/>
  <c r="F381" i="46"/>
  <c r="G383" i="46"/>
  <c r="G378" i="46"/>
  <c r="E381" i="46"/>
  <c r="E409" i="46" s="1"/>
  <c r="E384" i="46"/>
  <c r="E412" i="46" s="1"/>
  <c r="F383" i="46"/>
  <c r="G385" i="46"/>
  <c r="G352" i="46"/>
  <c r="G380" i="46" s="1"/>
  <c r="F378" i="46"/>
  <c r="G384" i="46"/>
  <c r="G412" i="46" s="1"/>
  <c r="E383" i="46"/>
  <c r="E411" i="46" s="1"/>
  <c r="F382" i="46"/>
  <c r="F410" i="46" s="1"/>
  <c r="F384" i="46"/>
  <c r="F412" i="46" s="1"/>
  <c r="F385" i="46"/>
  <c r="F377" i="46"/>
  <c r="F405" i="46" s="1"/>
  <c r="F351" i="46"/>
  <c r="F379" i="46" s="1"/>
  <c r="G351" i="46"/>
  <c r="G379" i="46" s="1"/>
  <c r="G407" i="46" s="1"/>
  <c r="G381" i="46"/>
  <c r="E385" i="46"/>
  <c r="E413" i="46" s="1"/>
  <c r="G382" i="46"/>
  <c r="G410" i="46" s="1"/>
  <c r="F376" i="46"/>
  <c r="F404" i="46" s="1"/>
  <c r="G376" i="46"/>
  <c r="G404" i="46" s="1"/>
  <c r="G406" i="46" l="1"/>
  <c r="G408" i="46"/>
  <c r="F413" i="46"/>
  <c r="F411" i="46"/>
  <c r="G411" i="46"/>
  <c r="F409" i="46"/>
  <c r="G409" i="46"/>
  <c r="G413" i="46"/>
  <c r="F407" i="46"/>
  <c r="F406" i="46"/>
  <c r="E374" i="46"/>
  <c r="E402" i="46" s="1"/>
  <c r="E373" i="46"/>
  <c r="E401" i="46" s="1"/>
  <c r="F374" i="46"/>
  <c r="F402" i="46" s="1"/>
  <c r="F373" i="46"/>
  <c r="F401" i="46" s="1"/>
  <c r="G373" i="46"/>
  <c r="G401" i="46" s="1"/>
  <c r="G374" i="46"/>
  <c r="M1124" i="46" l="1"/>
  <c r="M1125" i="46"/>
  <c r="M1126" i="46"/>
  <c r="L1125" i="46"/>
  <c r="L1124" i="46"/>
  <c r="L1126" i="46"/>
  <c r="G402" i="46"/>
  <c r="F420" i="46"/>
  <c r="G304" i="46"/>
  <c r="F304" i="46"/>
  <c r="E304" i="46"/>
  <c r="Y24" i="63" s="1"/>
  <c r="F386" i="46"/>
  <c r="F414" i="46" s="1"/>
  <c r="E386" i="46"/>
  <c r="E414" i="46" s="1"/>
  <c r="G387" i="46"/>
  <c r="G415" i="46" s="1"/>
  <c r="E387" i="46"/>
  <c r="E415" i="46" s="1"/>
  <c r="G386" i="46"/>
  <c r="F387" i="46"/>
  <c r="F415" i="46" s="1"/>
  <c r="L102" i="47" l="1"/>
  <c r="L1157" i="46"/>
  <c r="L1129" i="46"/>
  <c r="L1137" i="46"/>
  <c r="K265" i="38"/>
  <c r="L306" i="70"/>
  <c r="L1147" i="46"/>
  <c r="M1158" i="46"/>
  <c r="M1148" i="46"/>
  <c r="M108" i="47"/>
  <c r="M1138" i="46"/>
  <c r="M1130" i="46"/>
  <c r="M308" i="70"/>
  <c r="L308" i="70"/>
  <c r="L1130" i="46"/>
  <c r="L1148" i="46"/>
  <c r="L1158" i="46"/>
  <c r="L108" i="47"/>
  <c r="L1138" i="46"/>
  <c r="K399" i="38"/>
  <c r="M102" i="47"/>
  <c r="M1147" i="46"/>
  <c r="M1157" i="46"/>
  <c r="M1137" i="46"/>
  <c r="M1129" i="46"/>
  <c r="M306" i="70"/>
  <c r="K1126" i="46"/>
  <c r="K1125" i="46"/>
  <c r="K1124" i="46"/>
  <c r="L1146" i="46"/>
  <c r="L1128" i="46"/>
  <c r="L1136" i="46"/>
  <c r="L304" i="70"/>
  <c r="L96" i="47"/>
  <c r="L1156" i="46"/>
  <c r="M1156" i="46"/>
  <c r="M1146" i="46"/>
  <c r="M96" i="47"/>
  <c r="M304" i="70"/>
  <c r="M1128" i="46"/>
  <c r="M1136" i="46"/>
  <c r="G420" i="46"/>
  <c r="G414" i="46"/>
  <c r="F418" i="46"/>
  <c r="F421" i="46"/>
  <c r="L1132" i="46" l="1"/>
  <c r="K272" i="38" s="1"/>
  <c r="M1132" i="46"/>
  <c r="K406" i="38" s="1"/>
  <c r="M1139" i="46"/>
  <c r="M1159" i="46"/>
  <c r="M1149" i="46"/>
  <c r="M97" i="47"/>
  <c r="M99" i="47" s="1"/>
  <c r="M305" i="70"/>
  <c r="L109" i="47"/>
  <c r="L111" i="47" s="1"/>
  <c r="L1161" i="46"/>
  <c r="L1141" i="46"/>
  <c r="L1151" i="46"/>
  <c r="L309" i="70"/>
  <c r="K304" i="70"/>
  <c r="K1128" i="46"/>
  <c r="K1136" i="46"/>
  <c r="K96" i="47"/>
  <c r="K1146" i="46"/>
  <c r="AD11" i="62"/>
  <c r="K1156" i="46"/>
  <c r="K110" i="38"/>
  <c r="L1160" i="46"/>
  <c r="L103" i="47"/>
  <c r="L105" i="47" s="1"/>
  <c r="L1150" i="46"/>
  <c r="K266" i="38"/>
  <c r="L1140" i="46"/>
  <c r="L307" i="70"/>
  <c r="K306" i="70"/>
  <c r="K1129" i="46"/>
  <c r="K112" i="38"/>
  <c r="K259" i="71" s="1"/>
  <c r="K1147" i="46"/>
  <c r="K1157" i="46"/>
  <c r="AD12" i="62"/>
  <c r="K1137" i="46"/>
  <c r="K102" i="47"/>
  <c r="K188" i="38"/>
  <c r="K301" i="71" s="1"/>
  <c r="K400" i="38"/>
  <c r="M1140" i="46"/>
  <c r="M1150" i="46"/>
  <c r="M1160" i="46"/>
  <c r="M103" i="47"/>
  <c r="M105" i="47" s="1"/>
  <c r="M307" i="70"/>
  <c r="L305" i="70"/>
  <c r="L1139" i="46"/>
  <c r="L1159" i="46"/>
  <c r="L1149" i="46"/>
  <c r="L97" i="47"/>
  <c r="L99" i="47" s="1"/>
  <c r="K308" i="70"/>
  <c r="K1138" i="46"/>
  <c r="K108" i="47"/>
  <c r="K114" i="38"/>
  <c r="K261" i="71" s="1"/>
  <c r="K1130" i="46"/>
  <c r="K1148" i="46"/>
  <c r="AD13" i="62"/>
  <c r="K1158" i="46"/>
  <c r="M1151" i="46"/>
  <c r="M309" i="70"/>
  <c r="M1161" i="46"/>
  <c r="M109" i="47"/>
  <c r="M1141" i="46"/>
  <c r="F880" i="46"/>
  <c r="F883" i="46"/>
  <c r="F882" i="46"/>
  <c r="F422" i="46"/>
  <c r="F881" i="46"/>
  <c r="F419" i="46"/>
  <c r="F879" i="46"/>
  <c r="F878" i="46"/>
  <c r="F423" i="46"/>
  <c r="F424" i="46" s="1"/>
  <c r="G421" i="46"/>
  <c r="G418" i="46"/>
  <c r="L1153" i="46" l="1"/>
  <c r="L1526" i="46" s="1"/>
  <c r="L1604" i="46" s="1"/>
  <c r="L1143" i="46"/>
  <c r="L1278" i="46" s="1"/>
  <c r="M1163" i="46"/>
  <c r="M1676" i="46" s="1"/>
  <c r="M1143" i="46"/>
  <c r="M1280" i="46" s="1"/>
  <c r="M1423" i="46" s="1"/>
  <c r="M1153" i="46"/>
  <c r="M1526" i="46" s="1"/>
  <c r="L239" i="70"/>
  <c r="L116" i="47"/>
  <c r="K109" i="47"/>
  <c r="O109" i="47" s="1"/>
  <c r="AD16" i="62"/>
  <c r="K115" i="38"/>
  <c r="K262" i="71" s="1"/>
  <c r="K1151" i="46"/>
  <c r="K1141" i="46"/>
  <c r="K309" i="70"/>
  <c r="K1161" i="46"/>
  <c r="L1163" i="46"/>
  <c r="AD15" i="62"/>
  <c r="K1140" i="46"/>
  <c r="K103" i="47"/>
  <c r="O103" i="47" s="1"/>
  <c r="K113" i="38"/>
  <c r="K260" i="71" s="1"/>
  <c r="K1150" i="46"/>
  <c r="K307" i="70"/>
  <c r="K1160" i="46"/>
  <c r="K189" i="38"/>
  <c r="K302" i="71" s="1"/>
  <c r="L238" i="70"/>
  <c r="L142" i="47"/>
  <c r="L115" i="47"/>
  <c r="K257" i="71"/>
  <c r="O96" i="47"/>
  <c r="O108" i="47"/>
  <c r="L237" i="70"/>
  <c r="L114" i="47"/>
  <c r="M238" i="70"/>
  <c r="M115" i="47"/>
  <c r="M142" i="47"/>
  <c r="O102" i="47"/>
  <c r="M111" i="47"/>
  <c r="M237" i="70"/>
  <c r="M114" i="47"/>
  <c r="K1132" i="46"/>
  <c r="K111" i="38"/>
  <c r="K258" i="71" s="1"/>
  <c r="K97" i="47"/>
  <c r="O97" i="47" s="1"/>
  <c r="K1159" i="46"/>
  <c r="K305" i="70"/>
  <c r="AD14" i="62"/>
  <c r="K1139" i="46"/>
  <c r="K1149" i="46"/>
  <c r="F885" i="46"/>
  <c r="F54" i="47" s="1"/>
  <c r="F148" i="47" s="1"/>
  <c r="E363" i="38" s="1"/>
  <c r="G419" i="46"/>
  <c r="G880" i="46"/>
  <c r="G422" i="46"/>
  <c r="G881" i="46"/>
  <c r="G882" i="46"/>
  <c r="G879" i="46"/>
  <c r="G883" i="46"/>
  <c r="G878" i="46"/>
  <c r="G423" i="46"/>
  <c r="G424" i="46" s="1"/>
  <c r="L1522" i="46" l="1"/>
  <c r="L1530" i="46"/>
  <c r="L1528" i="46"/>
  <c r="L1521" i="46"/>
  <c r="L1525" i="46"/>
  <c r="L1603" i="46" s="1"/>
  <c r="L1618" i="46" s="1"/>
  <c r="L1523" i="46"/>
  <c r="L1531" i="46"/>
  <c r="L1529" i="46"/>
  <c r="L1527" i="46"/>
  <c r="L1532" i="46"/>
  <c r="L1520" i="46"/>
  <c r="L1524" i="46"/>
  <c r="M1520" i="46"/>
  <c r="M1686" i="46"/>
  <c r="L1261" i="46"/>
  <c r="L1268" i="46"/>
  <c r="M1278" i="46"/>
  <c r="M1523" i="46"/>
  <c r="K111" i="47"/>
  <c r="K116" i="47" s="1"/>
  <c r="M1532" i="46"/>
  <c r="M1680" i="46"/>
  <c r="M1266" i="46"/>
  <c r="M1274" i="46"/>
  <c r="M1257" i="46"/>
  <c r="M1265" i="46"/>
  <c r="M1258" i="46"/>
  <c r="L1271" i="46"/>
  <c r="L1277" i="46"/>
  <c r="L1267" i="46"/>
  <c r="L1273" i="46"/>
  <c r="L1388" i="46" s="1"/>
  <c r="L1416" i="46" s="1"/>
  <c r="L1444" i="46" s="1"/>
  <c r="L1276" i="46"/>
  <c r="M1276" i="46"/>
  <c r="M1281" i="46"/>
  <c r="M1264" i="46"/>
  <c r="M1262" i="46"/>
  <c r="M1270" i="46"/>
  <c r="M1275" i="46"/>
  <c r="M1271" i="46"/>
  <c r="M1259" i="46"/>
  <c r="M1269" i="46"/>
  <c r="M1273" i="46"/>
  <c r="M1272" i="46"/>
  <c r="M1279" i="46"/>
  <c r="M1260" i="46"/>
  <c r="M1267" i="46"/>
  <c r="M1277" i="46"/>
  <c r="M1263" i="46"/>
  <c r="M1268" i="46"/>
  <c r="M1261" i="46"/>
  <c r="M1256" i="46"/>
  <c r="M1681" i="46"/>
  <c r="M1759" i="46" s="1"/>
  <c r="M1774" i="46" s="1"/>
  <c r="M1685" i="46"/>
  <c r="M1763" i="46" s="1"/>
  <c r="M1778" i="46" s="1"/>
  <c r="M1679" i="46"/>
  <c r="M1757" i="46" s="1"/>
  <c r="M1772" i="46" s="1"/>
  <c r="M1688" i="46"/>
  <c r="M1684" i="46"/>
  <c r="M1687" i="46"/>
  <c r="M1682" i="46"/>
  <c r="M1683" i="46"/>
  <c r="M1678" i="46"/>
  <c r="M1756" i="46" s="1"/>
  <c r="M1771" i="46" s="1"/>
  <c r="M1677" i="46"/>
  <c r="M1531" i="46"/>
  <c r="M1525" i="46"/>
  <c r="M1524" i="46"/>
  <c r="M1522" i="46"/>
  <c r="M1527" i="46"/>
  <c r="M1530" i="46"/>
  <c r="M1529" i="46"/>
  <c r="M1521" i="46"/>
  <c r="M1815" i="46" s="1"/>
  <c r="M1528" i="46"/>
  <c r="L118" i="47"/>
  <c r="L248" i="31" s="1"/>
  <c r="L249" i="31" s="1"/>
  <c r="L1262" i="46"/>
  <c r="L1258" i="46"/>
  <c r="L1266" i="46"/>
  <c r="L1257" i="46"/>
  <c r="L1274" i="46"/>
  <c r="L1269" i="46"/>
  <c r="L1259" i="46"/>
  <c r="L1265" i="46"/>
  <c r="L1270" i="46"/>
  <c r="L1263" i="46"/>
  <c r="L1256" i="46"/>
  <c r="L1260" i="46"/>
  <c r="L1279" i="46"/>
  <c r="L1280" i="46"/>
  <c r="L1423" i="46" s="1"/>
  <c r="L1871" i="46" s="1"/>
  <c r="L1905" i="46" s="1"/>
  <c r="L1264" i="46"/>
  <c r="L1275" i="46"/>
  <c r="L1272" i="46"/>
  <c r="L1281" i="46"/>
  <c r="K99" i="47"/>
  <c r="K102" i="38" s="1"/>
  <c r="K253" i="71" s="1"/>
  <c r="K1153" i="46"/>
  <c r="K1526" i="46" s="1"/>
  <c r="M1451" i="46"/>
  <c r="M1871" i="46"/>
  <c r="M1905" i="46" s="1"/>
  <c r="M1863" i="46"/>
  <c r="M1897" i="46" s="1"/>
  <c r="L1619" i="46"/>
  <c r="L1866" i="46"/>
  <c r="L1900" i="46" s="1"/>
  <c r="M33" i="70"/>
  <c r="K390" i="38"/>
  <c r="K105" i="47"/>
  <c r="K116" i="38"/>
  <c r="K263" i="71" s="1"/>
  <c r="K1143" i="46"/>
  <c r="L1676" i="46"/>
  <c r="L1687" i="46"/>
  <c r="L1680" i="46"/>
  <c r="L1685" i="46"/>
  <c r="L1763" i="46" s="1"/>
  <c r="L1688" i="46"/>
  <c r="L1684" i="46"/>
  <c r="L1747" i="46" s="1"/>
  <c r="L1762" i="46" s="1"/>
  <c r="L1681" i="46"/>
  <c r="L1759" i="46" s="1"/>
  <c r="L1774" i="46" s="1"/>
  <c r="L1679" i="46"/>
  <c r="L1757" i="46" s="1"/>
  <c r="L1682" i="46"/>
  <c r="L1678" i="46"/>
  <c r="L1686" i="46"/>
  <c r="L1677" i="46"/>
  <c r="L1755" i="46" s="1"/>
  <c r="L1683" i="46"/>
  <c r="L1746" i="46" s="1"/>
  <c r="L1761" i="46" s="1"/>
  <c r="AB17" i="62"/>
  <c r="AD17" i="62"/>
  <c r="K1163" i="46"/>
  <c r="M116" i="47"/>
  <c r="M118" i="47" s="1"/>
  <c r="M239" i="70"/>
  <c r="K256" i="38"/>
  <c r="L33" i="70"/>
  <c r="G885" i="46"/>
  <c r="G54" i="47" s="1"/>
  <c r="L1180" i="46" l="1"/>
  <c r="L1183" i="46" s="1"/>
  <c r="L1184" i="46" s="1"/>
  <c r="L342" i="70" s="1"/>
  <c r="L1534" i="46"/>
  <c r="K104" i="38"/>
  <c r="K255" i="71" s="1"/>
  <c r="M1865" i="46"/>
  <c r="M1899" i="46" s="1"/>
  <c r="M1862" i="46"/>
  <c r="M1896" i="46" s="1"/>
  <c r="O111" i="47"/>
  <c r="U11" i="60"/>
  <c r="K115" i="71" s="1"/>
  <c r="K239" i="70"/>
  <c r="K1530" i="46"/>
  <c r="L1864" i="46"/>
  <c r="L1898" i="46" s="1"/>
  <c r="M1825" i="46"/>
  <c r="M1283" i="46"/>
  <c r="O99" i="47"/>
  <c r="M1869" i="46"/>
  <c r="M1903" i="46" s="1"/>
  <c r="K1528" i="46"/>
  <c r="L1825" i="46"/>
  <c r="K164" i="38"/>
  <c r="K287" i="71" s="1"/>
  <c r="M1818" i="46"/>
  <c r="M1821" i="46"/>
  <c r="M1171" i="46"/>
  <c r="M1820" i="46"/>
  <c r="M1783" i="46"/>
  <c r="M1954" i="46" s="1"/>
  <c r="M1814" i="46"/>
  <c r="M1824" i="46"/>
  <c r="M1819" i="46"/>
  <c r="M1690" i="46"/>
  <c r="M1817" i="46"/>
  <c r="M1816" i="46"/>
  <c r="M1822" i="46"/>
  <c r="M1170" i="46"/>
  <c r="L240" i="70"/>
  <c r="L1818" i="46"/>
  <c r="L1816" i="46"/>
  <c r="L1814" i="46"/>
  <c r="K1531" i="46"/>
  <c r="U9" i="60"/>
  <c r="K113" i="71" s="1"/>
  <c r="K114" i="47"/>
  <c r="K237" i="70"/>
  <c r="K1525" i="46"/>
  <c r="K1524" i="46"/>
  <c r="M1190" i="46"/>
  <c r="M1193" i="46" s="1"/>
  <c r="M1194" i="46" s="1"/>
  <c r="M343" i="70" s="1"/>
  <c r="L1171" i="46"/>
  <c r="K1527" i="46"/>
  <c r="L1821" i="46"/>
  <c r="M1823" i="46"/>
  <c r="K1522" i="46"/>
  <c r="K1529" i="46"/>
  <c r="K1523" i="46"/>
  <c r="K1520" i="46"/>
  <c r="K1532" i="46"/>
  <c r="L1817" i="46"/>
  <c r="L1824" i="46"/>
  <c r="L1170" i="46"/>
  <c r="K1521" i="46"/>
  <c r="L1283" i="46"/>
  <c r="L1865" i="46"/>
  <c r="L1899" i="46" s="1"/>
  <c r="L1820" i="46"/>
  <c r="M1534" i="46"/>
  <c r="L1627" i="46"/>
  <c r="L1940" i="46" s="1"/>
  <c r="M1180" i="46"/>
  <c r="M1183" i="46" s="1"/>
  <c r="M1184" i="46" s="1"/>
  <c r="M342" i="70" s="1"/>
  <c r="L1451" i="46"/>
  <c r="L1454" i="46" s="1"/>
  <c r="L1823" i="46"/>
  <c r="L1776" i="46"/>
  <c r="L1867" i="46"/>
  <c r="L1901" i="46" s="1"/>
  <c r="L1777" i="46"/>
  <c r="L1868" i="46"/>
  <c r="L1902" i="46" s="1"/>
  <c r="L1770" i="46"/>
  <c r="L1861" i="46"/>
  <c r="L1895" i="46" s="1"/>
  <c r="L1772" i="46"/>
  <c r="L1863" i="46"/>
  <c r="L1897" i="46" s="1"/>
  <c r="L1778" i="46"/>
  <c r="L1869" i="46"/>
  <c r="L1903" i="46" s="1"/>
  <c r="L1822" i="46"/>
  <c r="M1457" i="46"/>
  <c r="M1454" i="46"/>
  <c r="M240" i="70"/>
  <c r="M248" i="31"/>
  <c r="M249" i="31" s="1"/>
  <c r="K1274" i="46"/>
  <c r="K1258" i="46"/>
  <c r="K1275" i="46"/>
  <c r="K1266" i="46"/>
  <c r="K1281" i="46"/>
  <c r="K1265" i="46"/>
  <c r="K1277" i="46"/>
  <c r="K1264" i="46"/>
  <c r="K1260" i="46"/>
  <c r="K1263" i="46"/>
  <c r="K1256" i="46"/>
  <c r="K1268" i="46"/>
  <c r="K1262" i="46"/>
  <c r="K162" i="38"/>
  <c r="K1261" i="46"/>
  <c r="K1279" i="46"/>
  <c r="K1267" i="46"/>
  <c r="K1272" i="46"/>
  <c r="K1280" i="46"/>
  <c r="K1276" i="46"/>
  <c r="K1273" i="46"/>
  <c r="K1278" i="46"/>
  <c r="K1271" i="46"/>
  <c r="K1257" i="46"/>
  <c r="K1270" i="46"/>
  <c r="K1259" i="46"/>
  <c r="K1269" i="46"/>
  <c r="L1190" i="46"/>
  <c r="L1193" i="46" s="1"/>
  <c r="L1194" i="46" s="1"/>
  <c r="L343" i="70" s="1"/>
  <c r="L1690" i="46"/>
  <c r="O116" i="47"/>
  <c r="K1683" i="46"/>
  <c r="K1687" i="46"/>
  <c r="K1677" i="46"/>
  <c r="K1679" i="46"/>
  <c r="K1676" i="46"/>
  <c r="K1681" i="46"/>
  <c r="K1682" i="46"/>
  <c r="K1685" i="46"/>
  <c r="K1680" i="46"/>
  <c r="K1678" i="46"/>
  <c r="K1684" i="46"/>
  <c r="K1686" i="46"/>
  <c r="K166" i="38"/>
  <c r="K289" i="71" s="1"/>
  <c r="K1688" i="46"/>
  <c r="K142" i="47"/>
  <c r="K103" i="38"/>
  <c r="K254" i="71" s="1"/>
  <c r="K115" i="47"/>
  <c r="O115" i="47" s="1"/>
  <c r="K238" i="70"/>
  <c r="O105" i="47"/>
  <c r="U10" i="60"/>
  <c r="K114" i="71" s="1"/>
  <c r="L1815" i="46"/>
  <c r="L1819" i="46"/>
  <c r="G148" i="47"/>
  <c r="E497" i="38" s="1"/>
  <c r="K373" i="46"/>
  <c r="L374" i="46"/>
  <c r="L373" i="46"/>
  <c r="L401" i="46" s="1"/>
  <c r="M373" i="46"/>
  <c r="M374" i="46"/>
  <c r="K374" i="46"/>
  <c r="K402" i="46" s="1"/>
  <c r="M1173" i="46" l="1"/>
  <c r="M1174" i="46" s="1"/>
  <c r="M341" i="70" s="1"/>
  <c r="L1942" i="46"/>
  <c r="L1939" i="46"/>
  <c r="M1907" i="46"/>
  <c r="M1873" i="46"/>
  <c r="M1874" i="46" s="1"/>
  <c r="M1949" i="46"/>
  <c r="M1951" i="46"/>
  <c r="L1944" i="46"/>
  <c r="L1943" i="46"/>
  <c r="L1941" i="46"/>
  <c r="M1953" i="46"/>
  <c r="M1950" i="46"/>
  <c r="L1173" i="46"/>
  <c r="L1174" i="46" s="1"/>
  <c r="L1196" i="46" s="1"/>
  <c r="L261" i="31" s="1"/>
  <c r="K1180" i="46"/>
  <c r="K1183" i="46" s="1"/>
  <c r="K118" i="47"/>
  <c r="K240" i="70" s="1"/>
  <c r="M1952" i="46"/>
  <c r="O114" i="47"/>
  <c r="K1534" i="46"/>
  <c r="M1827" i="46"/>
  <c r="L1907" i="46"/>
  <c r="L1457" i="46"/>
  <c r="L1459" i="46" s="1"/>
  <c r="L1460" i="46" s="1"/>
  <c r="L1873" i="46"/>
  <c r="L1874" i="46" s="1"/>
  <c r="L1827" i="46"/>
  <c r="L1783" i="46"/>
  <c r="L1954" i="46" s="1"/>
  <c r="K1825" i="46"/>
  <c r="AT21" i="64" s="1"/>
  <c r="K1820" i="46"/>
  <c r="AT16" i="64" s="1"/>
  <c r="M1932" i="46"/>
  <c r="M1930" i="46"/>
  <c r="M1929" i="46"/>
  <c r="M1934" i="46"/>
  <c r="M1931" i="46"/>
  <c r="M1455" i="46"/>
  <c r="M1933" i="46"/>
  <c r="M1458" i="46"/>
  <c r="M1459" i="46"/>
  <c r="M1460" i="46" s="1"/>
  <c r="L1932" i="46"/>
  <c r="L1930" i="46"/>
  <c r="L1929" i="46"/>
  <c r="L1933" i="46"/>
  <c r="L1458" i="46"/>
  <c r="L1934" i="46"/>
  <c r="L1455" i="46"/>
  <c r="L1931" i="46"/>
  <c r="W10" i="60"/>
  <c r="K4" i="71" s="1"/>
  <c r="K179" i="38"/>
  <c r="K296" i="71" s="1"/>
  <c r="K33" i="70"/>
  <c r="O142" i="47"/>
  <c r="K1190" i="46"/>
  <c r="K1193" i="46" s="1"/>
  <c r="K1690" i="46"/>
  <c r="K1171" i="46"/>
  <c r="K1822" i="46"/>
  <c r="AT18" i="64" s="1"/>
  <c r="K1824" i="46"/>
  <c r="AT20" i="64" s="1"/>
  <c r="K1817" i="46"/>
  <c r="AT13" i="64" s="1"/>
  <c r="K1819" i="46"/>
  <c r="AT15" i="64" s="1"/>
  <c r="K1283" i="46"/>
  <c r="K1814" i="46"/>
  <c r="K1170" i="46"/>
  <c r="K1815" i="46"/>
  <c r="AT11" i="64" s="1"/>
  <c r="K1818" i="46"/>
  <c r="AT14" i="64" s="1"/>
  <c r="K285" i="71"/>
  <c r="K1821" i="46"/>
  <c r="AT17" i="64" s="1"/>
  <c r="K1823" i="46"/>
  <c r="AT19" i="64" s="1"/>
  <c r="K1816" i="46"/>
  <c r="AT12" i="64" s="1"/>
  <c r="L402" i="46"/>
  <c r="K401" i="46"/>
  <c r="M401" i="46"/>
  <c r="M402" i="46"/>
  <c r="F529" i="46"/>
  <c r="E564" i="46"/>
  <c r="E563" i="46"/>
  <c r="E578" i="46" s="1"/>
  <c r="G529" i="46"/>
  <c r="E565" i="46"/>
  <c r="E580" i="46" s="1"/>
  <c r="E529" i="46"/>
  <c r="Y25" i="63" s="1"/>
  <c r="E562" i="46"/>
  <c r="E577" i="46" s="1"/>
  <c r="E566" i="46"/>
  <c r="E581" i="46" s="1"/>
  <c r="G572" i="46"/>
  <c r="E570" i="46"/>
  <c r="E585" i="46" s="1"/>
  <c r="E569" i="46"/>
  <c r="E584" i="46" s="1"/>
  <c r="F562" i="46"/>
  <c r="F577" i="46" s="1"/>
  <c r="F570" i="46"/>
  <c r="F585" i="46" s="1"/>
  <c r="E579" i="46"/>
  <c r="G568" i="46"/>
  <c r="G583" i="46" s="1"/>
  <c r="G566" i="46"/>
  <c r="G581" i="46" s="1"/>
  <c r="F573" i="46"/>
  <c r="F588" i="46" s="1"/>
  <c r="E573" i="46"/>
  <c r="G562" i="46"/>
  <c r="F567" i="46"/>
  <c r="F582" i="46" s="1"/>
  <c r="G567" i="46"/>
  <c r="G582" i="46" s="1"/>
  <c r="F572" i="46"/>
  <c r="F587" i="46" s="1"/>
  <c r="G563" i="46"/>
  <c r="G578" i="46" s="1"/>
  <c r="G573" i="46"/>
  <c r="G588" i="46" s="1"/>
  <c r="E568" i="46"/>
  <c r="E583" i="46" s="1"/>
  <c r="F564" i="46"/>
  <c r="G565" i="46"/>
  <c r="G580" i="46" s="1"/>
  <c r="F568" i="46"/>
  <c r="F583" i="46" s="1"/>
  <c r="G569" i="46"/>
  <c r="G584" i="46" s="1"/>
  <c r="F565" i="46"/>
  <c r="F580" i="46" s="1"/>
  <c r="G564" i="46"/>
  <c r="G579" i="46" s="1"/>
  <c r="F556" i="46"/>
  <c r="F571" i="46" s="1"/>
  <c r="F586" i="46" s="1"/>
  <c r="F566" i="46"/>
  <c r="F581" i="46" s="1"/>
  <c r="G570" i="46"/>
  <c r="G585" i="46" s="1"/>
  <c r="F569" i="46"/>
  <c r="F584" i="46" s="1"/>
  <c r="E567" i="46"/>
  <c r="E582" i="46" s="1"/>
  <c r="G556" i="46"/>
  <c r="G571" i="46" s="1"/>
  <c r="G586" i="46" s="1"/>
  <c r="E572" i="46"/>
  <c r="E587" i="46" s="1"/>
  <c r="F563" i="46"/>
  <c r="F578" i="46" s="1"/>
  <c r="M1196" i="46" l="1"/>
  <c r="M261" i="31" s="1"/>
  <c r="U12" i="60"/>
  <c r="K116" i="71" s="1"/>
  <c r="K248" i="31"/>
  <c r="O248" i="31" s="1"/>
  <c r="O118" i="47"/>
  <c r="M1956" i="46"/>
  <c r="M123" i="47" s="1"/>
  <c r="L1946" i="46"/>
  <c r="L122" i="47" s="1"/>
  <c r="L341" i="70"/>
  <c r="K1173" i="46"/>
  <c r="L1952" i="46"/>
  <c r="L1953" i="46"/>
  <c r="L1950" i="46"/>
  <c r="L1949" i="46"/>
  <c r="L1951" i="46"/>
  <c r="M1936" i="46"/>
  <c r="M121" i="47" s="1"/>
  <c r="L1936" i="46"/>
  <c r="L121" i="47" s="1"/>
  <c r="K1827" i="46"/>
  <c r="AT10" i="64"/>
  <c r="G587" i="46"/>
  <c r="E588" i="46"/>
  <c r="F579" i="46"/>
  <c r="G577" i="46"/>
  <c r="K249" i="31" l="1"/>
  <c r="K68" i="1" s="1"/>
  <c r="M125" i="47"/>
  <c r="M241" i="70" s="1"/>
  <c r="L1956" i="46"/>
  <c r="L123" i="47" s="1"/>
  <c r="L125" i="47" s="1"/>
  <c r="G591" i="46"/>
  <c r="F591" i="46"/>
  <c r="K105" i="38" l="1"/>
  <c r="K256" i="71" s="1"/>
  <c r="O249" i="31"/>
  <c r="M126" i="47"/>
  <c r="M134" i="47" s="1"/>
  <c r="M245" i="70"/>
  <c r="L126" i="47"/>
  <c r="L134" i="47" s="1"/>
  <c r="L245" i="70"/>
  <c r="L241" i="70"/>
  <c r="U5" i="62"/>
  <c r="O5" i="66"/>
  <c r="AL5" i="64"/>
  <c r="F890" i="46"/>
  <c r="F892" i="46"/>
  <c r="F891" i="46"/>
  <c r="F889" i="46"/>
  <c r="F893" i="46"/>
  <c r="F888" i="46"/>
  <c r="G889" i="46"/>
  <c r="G890" i="46"/>
  <c r="G892" i="46"/>
  <c r="G893" i="46"/>
  <c r="G891" i="46"/>
  <c r="G888" i="46"/>
  <c r="M127" i="47" l="1"/>
  <c r="M242" i="70" s="1"/>
  <c r="L127" i="47"/>
  <c r="L242" i="70" s="1"/>
  <c r="M135" i="47"/>
  <c r="M247" i="70" s="1"/>
  <c r="M246" i="70"/>
  <c r="L246" i="70"/>
  <c r="L135" i="47"/>
  <c r="G895" i="46"/>
  <c r="G55" i="47" s="1"/>
  <c r="G149" i="47" s="1"/>
  <c r="E498" i="38" s="1"/>
  <c r="F895" i="46"/>
  <c r="F55" i="47" s="1"/>
  <c r="L247" i="70" l="1"/>
  <c r="F149" i="47"/>
  <c r="E364" i="38" s="1"/>
  <c r="L566" i="46"/>
  <c r="L581" i="46" s="1"/>
  <c r="L562" i="46"/>
  <c r="L577" i="46" s="1"/>
  <c r="K563" i="46"/>
  <c r="K578" i="46" s="1"/>
  <c r="L564" i="46"/>
  <c r="L579" i="46" s="1"/>
  <c r="M562" i="46"/>
  <c r="M577" i="46" s="1"/>
  <c r="M563" i="46"/>
  <c r="M578" i="46" s="1"/>
  <c r="L565" i="46"/>
  <c r="L580" i="46" s="1"/>
  <c r="K562" i="46"/>
  <c r="K577" i="46" s="1"/>
  <c r="K566" i="46"/>
  <c r="K581" i="46" s="1"/>
  <c r="M564" i="46"/>
  <c r="M579" i="46" s="1"/>
  <c r="M566" i="46"/>
  <c r="M581" i="46" s="1"/>
  <c r="K565" i="46"/>
  <c r="K580" i="46" s="1"/>
  <c r="M565" i="46"/>
  <c r="M580" i="46" s="1"/>
  <c r="M567" i="46"/>
  <c r="M582" i="46" s="1"/>
  <c r="L569" i="46"/>
  <c r="L584" i="46" s="1"/>
  <c r="L572" i="46"/>
  <c r="L587" i="46" s="1"/>
  <c r="L567" i="46"/>
  <c r="L582" i="46" s="1"/>
  <c r="L570" i="46"/>
  <c r="L585" i="46" s="1"/>
  <c r="M568" i="46"/>
  <c r="K569" i="46"/>
  <c r="K584" i="46" s="1"/>
  <c r="K573" i="46"/>
  <c r="K588" i="46" s="1"/>
  <c r="L563" i="46"/>
  <c r="L578" i="46" s="1"/>
  <c r="K568" i="46"/>
  <c r="K583" i="46" s="1"/>
  <c r="K564" i="46"/>
  <c r="K579" i="46" s="1"/>
  <c r="L568" i="46"/>
  <c r="L583" i="46" s="1"/>
  <c r="K557" i="46"/>
  <c r="K572" i="46" s="1"/>
  <c r="K587" i="46" s="1"/>
  <c r="M572" i="46"/>
  <c r="M573" i="46"/>
  <c r="M588" i="46" s="1"/>
  <c r="K570" i="46"/>
  <c r="K585" i="46" s="1"/>
  <c r="M570" i="46"/>
  <c r="K567" i="46"/>
  <c r="K582" i="46" s="1"/>
  <c r="L573" i="46"/>
  <c r="L588" i="46" s="1"/>
  <c r="M569" i="46"/>
  <c r="M584" i="46" l="1"/>
  <c r="M585" i="46"/>
  <c r="M587" i="46"/>
  <c r="M583" i="46"/>
  <c r="G801" i="46" l="1"/>
  <c r="G710" i="46"/>
  <c r="G725" i="46" s="1"/>
  <c r="G817" i="46" s="1"/>
  <c r="G217" i="31" s="1"/>
  <c r="M217" i="32" s="1"/>
  <c r="F711" i="46"/>
  <c r="F726" i="46" s="1"/>
  <c r="F818" i="46" s="1"/>
  <c r="F218" i="31" s="1"/>
  <c r="L218" i="32" s="1"/>
  <c r="F802" i="46"/>
  <c r="E721" i="46"/>
  <c r="E736" i="46" s="1"/>
  <c r="E797" i="46"/>
  <c r="G797" i="46"/>
  <c r="G721" i="46"/>
  <c r="G813" i="46" s="1"/>
  <c r="G213" i="31" s="1"/>
  <c r="M213" i="32" s="1"/>
  <c r="F797" i="46"/>
  <c r="F721" i="46"/>
  <c r="F813" i="46" s="1"/>
  <c r="F213" i="31" s="1"/>
  <c r="L213" i="32" s="1"/>
  <c r="E720" i="46"/>
  <c r="E735" i="46" s="1"/>
  <c r="E796" i="46"/>
  <c r="G708" i="46"/>
  <c r="G723" i="46" s="1"/>
  <c r="G815" i="46" s="1"/>
  <c r="G215" i="31" s="1"/>
  <c r="M215" i="32" s="1"/>
  <c r="G799" i="46"/>
  <c r="F719" i="46"/>
  <c r="F811" i="46" s="1"/>
  <c r="F211" i="31" s="1"/>
  <c r="L211" i="32" s="1"/>
  <c r="F795" i="46"/>
  <c r="F800" i="46"/>
  <c r="F709" i="46"/>
  <c r="F724" i="46" s="1"/>
  <c r="F816" i="46" s="1"/>
  <c r="F216" i="31" s="1"/>
  <c r="L216" i="32" s="1"/>
  <c r="F804" i="46"/>
  <c r="F728" i="46"/>
  <c r="F820" i="46" s="1"/>
  <c r="F220" i="31" s="1"/>
  <c r="L220" i="32" s="1"/>
  <c r="E805" i="46"/>
  <c r="E729" i="46"/>
  <c r="E821" i="46" s="1"/>
  <c r="E800" i="46"/>
  <c r="E719" i="46"/>
  <c r="E734" i="46" s="1"/>
  <c r="E795" i="46"/>
  <c r="G800" i="46"/>
  <c r="G709" i="46"/>
  <c r="G724" i="46" s="1"/>
  <c r="G816" i="46" s="1"/>
  <c r="G216" i="31" s="1"/>
  <c r="M216" i="32" s="1"/>
  <c r="G803" i="46"/>
  <c r="G727" i="46"/>
  <c r="G819" i="46" s="1"/>
  <c r="G219" i="31" s="1"/>
  <c r="M219" i="32" s="1"/>
  <c r="F708" i="46"/>
  <c r="F723" i="46" s="1"/>
  <c r="F815" i="46" s="1"/>
  <c r="F215" i="31" s="1"/>
  <c r="L215" i="32" s="1"/>
  <c r="F799" i="46"/>
  <c r="F801" i="46"/>
  <c r="F710" i="46"/>
  <c r="F725" i="46" s="1"/>
  <c r="F817" i="46" s="1"/>
  <c r="F217" i="31" s="1"/>
  <c r="L217" i="32" s="1"/>
  <c r="E801" i="46"/>
  <c r="G795" i="46"/>
  <c r="G719" i="46"/>
  <c r="G811" i="46" s="1"/>
  <c r="G211" i="31" s="1"/>
  <c r="M211" i="32" s="1"/>
  <c r="F720" i="46"/>
  <c r="F812" i="46" s="1"/>
  <c r="F212" i="31" s="1"/>
  <c r="L212" i="32" s="1"/>
  <c r="F796" i="46"/>
  <c r="E804" i="46"/>
  <c r="E728" i="46"/>
  <c r="E820" i="46" s="1"/>
  <c r="E722" i="46"/>
  <c r="E737" i="46" s="1"/>
  <c r="E798" i="46"/>
  <c r="G802" i="46"/>
  <c r="G711" i="46"/>
  <c r="G726" i="46" s="1"/>
  <c r="G818" i="46" s="1"/>
  <c r="G218" i="31" s="1"/>
  <c r="M218" i="32" s="1"/>
  <c r="G720" i="46"/>
  <c r="G812" i="46" s="1"/>
  <c r="G212" i="31" s="1"/>
  <c r="M212" i="32" s="1"/>
  <c r="G796" i="46"/>
  <c r="G729" i="46"/>
  <c r="G821" i="46" s="1"/>
  <c r="G221" i="31" s="1"/>
  <c r="M221" i="32" s="1"/>
  <c r="G805" i="46"/>
  <c r="G722" i="46"/>
  <c r="G814" i="46" s="1"/>
  <c r="G214" i="31" s="1"/>
  <c r="M214" i="32" s="1"/>
  <c r="G798" i="46"/>
  <c r="G728" i="46"/>
  <c r="G820" i="46" s="1"/>
  <c r="G220" i="31" s="1"/>
  <c r="M220" i="32" s="1"/>
  <c r="G804" i="46"/>
  <c r="F722" i="46"/>
  <c r="F814" i="46" s="1"/>
  <c r="F214" i="31" s="1"/>
  <c r="L214" i="32" s="1"/>
  <c r="F798" i="46"/>
  <c r="F727" i="46"/>
  <c r="F819" i="46" s="1"/>
  <c r="F219" i="31" s="1"/>
  <c r="L219" i="32" s="1"/>
  <c r="F803" i="46"/>
  <c r="F729" i="46"/>
  <c r="F821" i="46" s="1"/>
  <c r="F221" i="31" s="1"/>
  <c r="L221" i="32" s="1"/>
  <c r="F805" i="46"/>
  <c r="E727" i="46"/>
  <c r="E742" i="46" s="1"/>
  <c r="E803" i="46"/>
  <c r="E802" i="46"/>
  <c r="E799" i="46"/>
  <c r="G739" i="46" l="1"/>
  <c r="G866" i="46" s="1"/>
  <c r="G744" i="46"/>
  <c r="G871" i="46" s="1"/>
  <c r="F742" i="46"/>
  <c r="F869" i="46" s="1"/>
  <c r="F735" i="46"/>
  <c r="F862" i="46" s="1"/>
  <c r="F744" i="46"/>
  <c r="F871" i="46" s="1"/>
  <c r="G735" i="46"/>
  <c r="G862" i="46" s="1"/>
  <c r="G741" i="46"/>
  <c r="G868" i="46" s="1"/>
  <c r="E229" i="70"/>
  <c r="E185" i="31"/>
  <c r="E137" i="31"/>
  <c r="U18" i="63"/>
  <c r="E109" i="71" s="1"/>
  <c r="E854" i="46"/>
  <c r="E231" i="70"/>
  <c r="E139" i="31"/>
  <c r="E141" i="46" s="1"/>
  <c r="Q141" i="46" s="1"/>
  <c r="U20" i="63"/>
  <c r="E111" i="71" s="1"/>
  <c r="F846" i="46"/>
  <c r="F223" i="70"/>
  <c r="F131" i="31"/>
  <c r="F231" i="70"/>
  <c r="F854" i="46"/>
  <c r="F139" i="31"/>
  <c r="F222" i="70"/>
  <c r="F845" i="46"/>
  <c r="F130" i="31"/>
  <c r="G847" i="46"/>
  <c r="G224" i="70"/>
  <c r="G132" i="31"/>
  <c r="F685" i="46"/>
  <c r="F794" i="46"/>
  <c r="F718" i="46"/>
  <c r="F810" i="46" s="1"/>
  <c r="G845" i="46"/>
  <c r="G222" i="70"/>
  <c r="G130" i="31"/>
  <c r="W21" i="63"/>
  <c r="E221" i="31"/>
  <c r="F847" i="46"/>
  <c r="F224" i="70"/>
  <c r="F132" i="31"/>
  <c r="E226" i="70"/>
  <c r="U15" i="63"/>
  <c r="E106" i="71" s="1"/>
  <c r="E182" i="31"/>
  <c r="E134" i="31"/>
  <c r="E230" i="70"/>
  <c r="U19" i="63"/>
  <c r="E110" i="71" s="1"/>
  <c r="E186" i="31"/>
  <c r="E138" i="31"/>
  <c r="E140" i="46" s="1"/>
  <c r="F855" i="46"/>
  <c r="F232" i="70"/>
  <c r="F140" i="31"/>
  <c r="F853" i="46"/>
  <c r="F230" i="70"/>
  <c r="F138" i="31"/>
  <c r="F737" i="46"/>
  <c r="F864" i="46" s="1"/>
  <c r="G743" i="46"/>
  <c r="G870" i="46" s="1"/>
  <c r="G232" i="70"/>
  <c r="G855" i="46"/>
  <c r="G140" i="31"/>
  <c r="E743" i="46"/>
  <c r="E870" i="46" s="1"/>
  <c r="AC20" i="63" s="1"/>
  <c r="G734" i="46"/>
  <c r="G861" i="46" s="1"/>
  <c r="F740" i="46"/>
  <c r="F867" i="46" s="1"/>
  <c r="G742" i="46"/>
  <c r="G869" i="46" s="1"/>
  <c r="E744" i="46"/>
  <c r="E871" i="46" s="1"/>
  <c r="AC21" i="63" s="1"/>
  <c r="E718" i="46"/>
  <c r="E733" i="46" s="1"/>
  <c r="E685" i="46"/>
  <c r="Y26" i="63" s="1"/>
  <c r="E794" i="46"/>
  <c r="F743" i="46"/>
  <c r="F870" i="46" s="1"/>
  <c r="F850" i="46"/>
  <c r="F227" i="70"/>
  <c r="F135" i="31"/>
  <c r="F734" i="46"/>
  <c r="F861" i="46" s="1"/>
  <c r="G738" i="46"/>
  <c r="G865" i="46" s="1"/>
  <c r="F736" i="46"/>
  <c r="F863" i="46" s="1"/>
  <c r="G736" i="46"/>
  <c r="G863" i="46" s="1"/>
  <c r="E224" i="70"/>
  <c r="E132" i="31"/>
  <c r="E180" i="31"/>
  <c r="U13" i="63"/>
  <c r="E104" i="71" s="1"/>
  <c r="F741" i="46"/>
  <c r="F868" i="46" s="1"/>
  <c r="G851" i="46"/>
  <c r="G228" i="70"/>
  <c r="G136" i="31"/>
  <c r="F848" i="46"/>
  <c r="F225" i="70"/>
  <c r="F133" i="31"/>
  <c r="G854" i="46"/>
  <c r="G139" i="31"/>
  <c r="G231" i="70"/>
  <c r="G227" i="70"/>
  <c r="G850" i="46"/>
  <c r="G135" i="31"/>
  <c r="E222" i="70"/>
  <c r="U11" i="63"/>
  <c r="E102" i="71" s="1"/>
  <c r="E178" i="31"/>
  <c r="E130" i="31"/>
  <c r="U16" i="63"/>
  <c r="E107" i="71" s="1"/>
  <c r="E227" i="70"/>
  <c r="E135" i="31"/>
  <c r="E183" i="31"/>
  <c r="G226" i="70"/>
  <c r="G849" i="46"/>
  <c r="G134" i="31"/>
  <c r="G151" i="46" s="1"/>
  <c r="F852" i="46"/>
  <c r="F229" i="70"/>
  <c r="F137" i="31"/>
  <c r="G737" i="46"/>
  <c r="G864" i="46" s="1"/>
  <c r="G223" i="70"/>
  <c r="G846" i="46"/>
  <c r="G131" i="31"/>
  <c r="G229" i="70"/>
  <c r="G852" i="46"/>
  <c r="G137" i="31"/>
  <c r="E228" i="70"/>
  <c r="E184" i="31"/>
  <c r="U17" i="63"/>
  <c r="E108" i="71" s="1"/>
  <c r="E136" i="31"/>
  <c r="F851" i="46"/>
  <c r="F228" i="70"/>
  <c r="F136" i="31"/>
  <c r="F738" i="46"/>
  <c r="F865" i="46" s="1"/>
  <c r="G230" i="70"/>
  <c r="G853" i="46"/>
  <c r="G138" i="31"/>
  <c r="G848" i="46"/>
  <c r="G225" i="70"/>
  <c r="G133" i="31"/>
  <c r="E225" i="70"/>
  <c r="U14" i="63"/>
  <c r="E105" i="71" s="1"/>
  <c r="E133" i="31"/>
  <c r="E181" i="31"/>
  <c r="W20" i="63"/>
  <c r="E220" i="31"/>
  <c r="F226" i="70"/>
  <c r="F849" i="46"/>
  <c r="F134" i="31"/>
  <c r="F151" i="46" s="1"/>
  <c r="E855" i="46"/>
  <c r="E232" i="70"/>
  <c r="E140" i="31"/>
  <c r="E151" i="46" s="1"/>
  <c r="Q151" i="46" s="1"/>
  <c r="U21" i="63"/>
  <c r="E112" i="71" s="1"/>
  <c r="F739" i="46"/>
  <c r="F866" i="46" s="1"/>
  <c r="E223" i="70"/>
  <c r="U12" i="63"/>
  <c r="E103" i="71" s="1"/>
  <c r="E179" i="31"/>
  <c r="E131" i="31"/>
  <c r="G718" i="46"/>
  <c r="G810" i="46" s="1"/>
  <c r="G685" i="46"/>
  <c r="G794" i="46"/>
  <c r="G740" i="46"/>
  <c r="G867" i="46" s="1"/>
  <c r="E150" i="46" l="1"/>
  <c r="E153" i="46" s="1"/>
  <c r="E143" i="46"/>
  <c r="Q143" i="46" s="1"/>
  <c r="Q140" i="46"/>
  <c r="E131" i="46"/>
  <c r="Q131" i="46" s="1"/>
  <c r="F733" i="46"/>
  <c r="F860" i="46" s="1"/>
  <c r="F873" i="46" s="1"/>
  <c r="F150" i="46"/>
  <c r="F153" i="46" s="1"/>
  <c r="F168" i="31"/>
  <c r="L168" i="32" s="1"/>
  <c r="L134" i="32"/>
  <c r="L613" i="46" s="1"/>
  <c r="L676" i="46" s="1"/>
  <c r="L755" i="46" s="1"/>
  <c r="E167" i="31"/>
  <c r="K133" i="32"/>
  <c r="I133" i="31"/>
  <c r="F167" i="31"/>
  <c r="L167" i="32" s="1"/>
  <c r="L133" i="32"/>
  <c r="L180" i="46" s="1"/>
  <c r="G210" i="31"/>
  <c r="M210" i="32" s="1"/>
  <c r="G823" i="46"/>
  <c r="E174" i="31"/>
  <c r="K140" i="32"/>
  <c r="I140" i="31"/>
  <c r="I220" i="31"/>
  <c r="K220" i="32"/>
  <c r="O220" i="32" s="1"/>
  <c r="G172" i="31"/>
  <c r="M172" i="32" s="1"/>
  <c r="G140" i="46"/>
  <c r="G143" i="46" s="1"/>
  <c r="M138" i="32"/>
  <c r="M461" i="46" s="1"/>
  <c r="F170" i="31"/>
  <c r="L170" i="32" s="1"/>
  <c r="L136" i="32"/>
  <c r="L615" i="46" s="1"/>
  <c r="L678" i="46" s="1"/>
  <c r="L757" i="46" s="1"/>
  <c r="G165" i="31"/>
  <c r="M165" i="32" s="1"/>
  <c r="M131" i="32"/>
  <c r="M165" i="46" s="1"/>
  <c r="G150" i="46"/>
  <c r="G153" i="46" s="1"/>
  <c r="M134" i="32"/>
  <c r="M613" i="46" s="1"/>
  <c r="M676" i="46" s="1"/>
  <c r="M755" i="46" s="1"/>
  <c r="G168" i="31"/>
  <c r="M168" i="32" s="1"/>
  <c r="I130" i="31"/>
  <c r="K130" i="32"/>
  <c r="E164" i="31"/>
  <c r="F210" i="31"/>
  <c r="L210" i="32" s="1"/>
  <c r="F823" i="46"/>
  <c r="G221" i="70"/>
  <c r="G807" i="46"/>
  <c r="G844" i="46"/>
  <c r="G857" i="46" s="1"/>
  <c r="G129" i="31"/>
  <c r="I184" i="31"/>
  <c r="E695" i="46"/>
  <c r="E834" i="46" s="1"/>
  <c r="K184" i="32"/>
  <c r="E710" i="46"/>
  <c r="E725" i="46" s="1"/>
  <c r="I178" i="31"/>
  <c r="K178" i="32"/>
  <c r="E308" i="46"/>
  <c r="E828" i="46" s="1"/>
  <c r="E336" i="46"/>
  <c r="E364" i="46" s="1"/>
  <c r="G169" i="31"/>
  <c r="M169" i="32" s="1"/>
  <c r="M135" i="32"/>
  <c r="M614" i="46" s="1"/>
  <c r="M677" i="46" s="1"/>
  <c r="M756" i="46" s="1"/>
  <c r="G173" i="31"/>
  <c r="M173" i="32" s="1"/>
  <c r="M139" i="32"/>
  <c r="I180" i="31"/>
  <c r="E323" i="46"/>
  <c r="E830" i="46" s="1"/>
  <c r="E351" i="46"/>
  <c r="E379" i="46" s="1"/>
  <c r="K180" i="32"/>
  <c r="F169" i="31"/>
  <c r="L169" i="32" s="1"/>
  <c r="L135" i="32"/>
  <c r="L614" i="46" s="1"/>
  <c r="L677" i="46" s="1"/>
  <c r="L756" i="46" s="1"/>
  <c r="E221" i="70"/>
  <c r="E807" i="46"/>
  <c r="U10" i="63"/>
  <c r="E101" i="71" s="1"/>
  <c r="E177" i="31"/>
  <c r="E129" i="31"/>
  <c r="E172" i="31"/>
  <c r="K138" i="32"/>
  <c r="I138" i="31"/>
  <c r="F221" i="70"/>
  <c r="F807" i="46"/>
  <c r="F844" i="46"/>
  <c r="F857" i="46" s="1"/>
  <c r="F129" i="31"/>
  <c r="L139" i="32"/>
  <c r="F173" i="31"/>
  <c r="L173" i="32" s="1"/>
  <c r="L131" i="32"/>
  <c r="L165" i="46" s="1"/>
  <c r="F165" i="31"/>
  <c r="L165" i="32" s="1"/>
  <c r="K139" i="32"/>
  <c r="E173" i="31"/>
  <c r="I139" i="31"/>
  <c r="I136" i="31"/>
  <c r="E170" i="31"/>
  <c r="K136" i="32"/>
  <c r="E694" i="46"/>
  <c r="E833" i="46" s="1"/>
  <c r="I183" i="31"/>
  <c r="K183" i="32"/>
  <c r="E709" i="46"/>
  <c r="E724" i="46" s="1"/>
  <c r="F172" i="31"/>
  <c r="L172" i="32" s="1"/>
  <c r="L138" i="32"/>
  <c r="L461" i="46" s="1"/>
  <c r="F140" i="46"/>
  <c r="F143" i="46" s="1"/>
  <c r="K182" i="32"/>
  <c r="I182" i="31"/>
  <c r="E693" i="46"/>
  <c r="E832" i="46" s="1"/>
  <c r="E708" i="46"/>
  <c r="E723" i="46" s="1"/>
  <c r="F131" i="46"/>
  <c r="L132" i="32"/>
  <c r="L179" i="46" s="1"/>
  <c r="F166" i="31"/>
  <c r="L166" i="32" s="1"/>
  <c r="G131" i="46"/>
  <c r="M132" i="32"/>
  <c r="M179" i="46" s="1"/>
  <c r="G166" i="31"/>
  <c r="M166" i="32" s="1"/>
  <c r="I137" i="31"/>
  <c r="E171" i="31"/>
  <c r="K137" i="32"/>
  <c r="F171" i="31"/>
  <c r="L171" i="32" s="1"/>
  <c r="L137" i="32"/>
  <c r="L616" i="46" s="1"/>
  <c r="L679" i="46" s="1"/>
  <c r="L758" i="46" s="1"/>
  <c r="I135" i="31"/>
  <c r="K135" i="32"/>
  <c r="E169" i="31"/>
  <c r="G164" i="31"/>
  <c r="M164" i="32" s="1"/>
  <c r="M130" i="32"/>
  <c r="M164" i="46" s="1"/>
  <c r="I185" i="31"/>
  <c r="K185" i="32"/>
  <c r="E711" i="46"/>
  <c r="E726" i="46" s="1"/>
  <c r="E696" i="46"/>
  <c r="E835" i="46" s="1"/>
  <c r="E165" i="31"/>
  <c r="I131" i="31"/>
  <c r="K131" i="32"/>
  <c r="G167" i="31"/>
  <c r="M167" i="32" s="1"/>
  <c r="M133" i="32"/>
  <c r="M180" i="46" s="1"/>
  <c r="G171" i="31"/>
  <c r="M171" i="32" s="1"/>
  <c r="M137" i="32"/>
  <c r="M616" i="46" s="1"/>
  <c r="M679" i="46" s="1"/>
  <c r="M758" i="46" s="1"/>
  <c r="G733" i="46"/>
  <c r="I179" i="31"/>
  <c r="K179" i="32"/>
  <c r="E309" i="46"/>
  <c r="E829" i="46" s="1"/>
  <c r="E337" i="46"/>
  <c r="E365" i="46" s="1"/>
  <c r="I181" i="31"/>
  <c r="E324" i="46"/>
  <c r="E831" i="46" s="1"/>
  <c r="E352" i="46"/>
  <c r="E380" i="46" s="1"/>
  <c r="K181" i="32"/>
  <c r="G170" i="31"/>
  <c r="M170" i="32" s="1"/>
  <c r="M136" i="32"/>
  <c r="M615" i="46" s="1"/>
  <c r="M678" i="46" s="1"/>
  <c r="M757" i="46" s="1"/>
  <c r="I132" i="31"/>
  <c r="K132" i="32"/>
  <c r="E166" i="31"/>
  <c r="M140" i="32"/>
  <c r="G174" i="31"/>
  <c r="M174" i="32" s="1"/>
  <c r="F174" i="31"/>
  <c r="L174" i="32" s="1"/>
  <c r="L140" i="32"/>
  <c r="I186" i="31"/>
  <c r="K186" i="32"/>
  <c r="E541" i="46"/>
  <c r="E836" i="46" s="1"/>
  <c r="E556" i="46"/>
  <c r="E571" i="46" s="1"/>
  <c r="I134" i="31"/>
  <c r="E168" i="31"/>
  <c r="K134" i="32"/>
  <c r="K613" i="46" s="1"/>
  <c r="K221" i="32"/>
  <c r="O221" i="32" s="1"/>
  <c r="I221" i="31"/>
  <c r="L130" i="32"/>
  <c r="L164" i="46" s="1"/>
  <c r="F164" i="31"/>
  <c r="L164" i="32" s="1"/>
  <c r="Q153" i="46" l="1"/>
  <c r="Q150" i="46"/>
  <c r="O139" i="32"/>
  <c r="F747" i="46"/>
  <c r="F903" i="46" s="1"/>
  <c r="M772" i="46"/>
  <c r="M696" i="46"/>
  <c r="M835" i="46" s="1"/>
  <c r="O131" i="32"/>
  <c r="K165" i="46"/>
  <c r="L772" i="46"/>
  <c r="L696" i="46"/>
  <c r="L835" i="46" s="1"/>
  <c r="Y18" i="63"/>
  <c r="I171" i="31"/>
  <c r="K171" i="32"/>
  <c r="O171" i="32" s="1"/>
  <c r="L767" i="46"/>
  <c r="L293" i="46"/>
  <c r="L441" i="46" s="1"/>
  <c r="L323" i="46"/>
  <c r="L830" i="46" s="1"/>
  <c r="O138" i="32"/>
  <c r="K461" i="46"/>
  <c r="O130" i="32"/>
  <c r="K164" i="46"/>
  <c r="M766" i="46"/>
  <c r="M309" i="46"/>
  <c r="M829" i="46" s="1"/>
  <c r="M279" i="46"/>
  <c r="M428" i="46" s="1"/>
  <c r="O140" i="32"/>
  <c r="I167" i="31"/>
  <c r="K167" i="32"/>
  <c r="O167" i="32" s="1"/>
  <c r="Y14" i="63"/>
  <c r="E819" i="46"/>
  <c r="E586" i="46"/>
  <c r="Y13" i="63"/>
  <c r="I166" i="31"/>
  <c r="K166" i="32"/>
  <c r="O166" i="32" s="1"/>
  <c r="M771" i="46"/>
  <c r="M695" i="46"/>
  <c r="M834" i="46" s="1"/>
  <c r="O179" i="32"/>
  <c r="I169" i="31"/>
  <c r="Y16" i="63"/>
  <c r="K169" i="32"/>
  <c r="O169" i="32" s="1"/>
  <c r="F874" i="46"/>
  <c r="O182" i="32"/>
  <c r="I172" i="31"/>
  <c r="Y19" i="63"/>
  <c r="K172" i="32"/>
  <c r="O172" i="32" s="1"/>
  <c r="F824" i="46"/>
  <c r="I174" i="31"/>
  <c r="Y21" i="63"/>
  <c r="K174" i="32"/>
  <c r="O174" i="32" s="1"/>
  <c r="L765" i="46"/>
  <c r="L308" i="46"/>
  <c r="L828" i="46" s="1"/>
  <c r="L278" i="46"/>
  <c r="L427" i="46" s="1"/>
  <c r="O134" i="32"/>
  <c r="K676" i="46"/>
  <c r="K755" i="46" s="1"/>
  <c r="O132" i="32"/>
  <c r="K179" i="46"/>
  <c r="M324" i="46"/>
  <c r="M831" i="46" s="1"/>
  <c r="M294" i="46"/>
  <c r="M442" i="46" s="1"/>
  <c r="M768" i="46"/>
  <c r="I165" i="31"/>
  <c r="Y12" i="63"/>
  <c r="K165" i="32"/>
  <c r="O165" i="32" s="1"/>
  <c r="O135" i="32"/>
  <c r="K614" i="46"/>
  <c r="K677" i="46" s="1"/>
  <c r="K756" i="46" s="1"/>
  <c r="E815" i="46"/>
  <c r="E738" i="46"/>
  <c r="E373" i="38"/>
  <c r="F163" i="31"/>
  <c r="L163" i="32" s="1"/>
  <c r="F130" i="46"/>
  <c r="F133" i="46" s="1"/>
  <c r="L129" i="32"/>
  <c r="L163" i="46" s="1"/>
  <c r="I129" i="31"/>
  <c r="K129" i="32"/>
  <c r="E163" i="31"/>
  <c r="E130" i="46"/>
  <c r="O180" i="32"/>
  <c r="E392" i="46"/>
  <c r="E811" i="46"/>
  <c r="E817" i="46"/>
  <c r="E740" i="46"/>
  <c r="E867" i="46" s="1"/>
  <c r="AC17" i="63" s="1"/>
  <c r="G163" i="31"/>
  <c r="M163" i="32" s="1"/>
  <c r="G130" i="46"/>
  <c r="G133" i="46" s="1"/>
  <c r="M129" i="32"/>
  <c r="M163" i="46" s="1"/>
  <c r="L771" i="46"/>
  <c r="L695" i="46"/>
  <c r="L834" i="46" s="1"/>
  <c r="G824" i="46"/>
  <c r="E814" i="46"/>
  <c r="E408" i="46"/>
  <c r="E864" i="46" s="1"/>
  <c r="AC14" i="63" s="1"/>
  <c r="E818" i="46"/>
  <c r="E741" i="46"/>
  <c r="E868" i="46" s="1"/>
  <c r="AC18" i="63" s="1"/>
  <c r="O183" i="32"/>
  <c r="I170" i="31"/>
  <c r="Y17" i="63"/>
  <c r="K170" i="32"/>
  <c r="O170" i="32" s="1"/>
  <c r="Y20" i="63"/>
  <c r="I173" i="31"/>
  <c r="K173" i="32"/>
  <c r="O173" i="32" s="1"/>
  <c r="L770" i="46"/>
  <c r="L694" i="46"/>
  <c r="L833" i="46" s="1"/>
  <c r="M770" i="46"/>
  <c r="M694" i="46"/>
  <c r="M833" i="46" s="1"/>
  <c r="O178" i="32"/>
  <c r="E509" i="38"/>
  <c r="M773" i="46"/>
  <c r="M541" i="46"/>
  <c r="M836" i="46" s="1"/>
  <c r="M524" i="46"/>
  <c r="M603" i="46" s="1"/>
  <c r="M466" i="46"/>
  <c r="M478" i="46" s="1"/>
  <c r="L768" i="46"/>
  <c r="L294" i="46"/>
  <c r="L442" i="46" s="1"/>
  <c r="L324" i="46"/>
  <c r="L831" i="46" s="1"/>
  <c r="E89" i="38"/>
  <c r="E246" i="71" s="1"/>
  <c r="O185" i="32"/>
  <c r="E507" i="38"/>
  <c r="L693" i="46"/>
  <c r="L832" i="46" s="1"/>
  <c r="L769" i="46"/>
  <c r="L622" i="46"/>
  <c r="Y15" i="63"/>
  <c r="I168" i="31"/>
  <c r="K168" i="32"/>
  <c r="O168" i="32" s="1"/>
  <c r="O186" i="32"/>
  <c r="O181" i="32"/>
  <c r="E393" i="46"/>
  <c r="E862" i="46" s="1"/>
  <c r="AC12" i="63" s="1"/>
  <c r="E812" i="46"/>
  <c r="G747" i="46"/>
  <c r="G860" i="46"/>
  <c r="G873" i="46" s="1"/>
  <c r="G874" i="46" s="1"/>
  <c r="M278" i="46"/>
  <c r="M427" i="46" s="1"/>
  <c r="M765" i="46"/>
  <c r="M308" i="46"/>
  <c r="M828" i="46" s="1"/>
  <c r="O137" i="32"/>
  <c r="K616" i="46"/>
  <c r="K679" i="46" s="1"/>
  <c r="K758" i="46" s="1"/>
  <c r="M323" i="46"/>
  <c r="M830" i="46" s="1"/>
  <c r="M767" i="46"/>
  <c r="M293" i="46"/>
  <c r="M441" i="46" s="1"/>
  <c r="L541" i="46"/>
  <c r="L836" i="46" s="1"/>
  <c r="L773" i="46"/>
  <c r="L466" i="46"/>
  <c r="L478" i="46" s="1"/>
  <c r="L524" i="46"/>
  <c r="L603" i="46" s="1"/>
  <c r="E816" i="46"/>
  <c r="E739" i="46"/>
  <c r="E866" i="46" s="1"/>
  <c r="AC16" i="63" s="1"/>
  <c r="O136" i="32"/>
  <c r="K615" i="46"/>
  <c r="K678" i="46" s="1"/>
  <c r="K757" i="46" s="1"/>
  <c r="L766" i="46"/>
  <c r="L309" i="46"/>
  <c r="L829" i="46" s="1"/>
  <c r="L279" i="46"/>
  <c r="L428" i="46" s="1"/>
  <c r="E87" i="38"/>
  <c r="E244" i="71" s="1"/>
  <c r="K177" i="32"/>
  <c r="I177" i="31"/>
  <c r="E335" i="46"/>
  <c r="E363" i="46" s="1"/>
  <c r="E307" i="46"/>
  <c r="E827" i="46" s="1"/>
  <c r="E840" i="46" s="1"/>
  <c r="E841" i="46" s="1"/>
  <c r="E193" i="31" s="1"/>
  <c r="E813" i="46"/>
  <c r="E407" i="46"/>
  <c r="O184" i="32"/>
  <c r="Y11" i="63"/>
  <c r="I164" i="31"/>
  <c r="K164" i="32"/>
  <c r="O164" i="32" s="1"/>
  <c r="M769" i="46"/>
  <c r="M693" i="46"/>
  <c r="M832" i="46" s="1"/>
  <c r="M622" i="46"/>
  <c r="M630" i="46" s="1"/>
  <c r="O133" i="32"/>
  <c r="K180" i="46"/>
  <c r="E375" i="38"/>
  <c r="E133" i="46" l="1"/>
  <c r="Q133" i="46" s="1"/>
  <c r="Q130" i="46"/>
  <c r="M337" i="46"/>
  <c r="M365" i="46" s="1"/>
  <c r="M393" i="46" s="1"/>
  <c r="L351" i="46"/>
  <c r="L379" i="46" s="1"/>
  <c r="L407" i="46" s="1"/>
  <c r="L337" i="46"/>
  <c r="L365" i="46" s="1"/>
  <c r="L393" i="46" s="1"/>
  <c r="L352" i="46"/>
  <c r="L380" i="46" s="1"/>
  <c r="L408" i="46" s="1"/>
  <c r="L556" i="46"/>
  <c r="L571" i="46" s="1"/>
  <c r="L586" i="46" s="1"/>
  <c r="M336" i="46"/>
  <c r="M364" i="46" s="1"/>
  <c r="M392" i="46" s="1"/>
  <c r="F902" i="46"/>
  <c r="F901" i="46"/>
  <c r="F898" i="46"/>
  <c r="F899" i="46"/>
  <c r="F900" i="46"/>
  <c r="W13" i="63"/>
  <c r="E213" i="31"/>
  <c r="E847" i="46"/>
  <c r="O177" i="32"/>
  <c r="L637" i="46"/>
  <c r="L627" i="46"/>
  <c r="L635" i="46"/>
  <c r="L625" i="46"/>
  <c r="L626" i="46"/>
  <c r="L636" i="46"/>
  <c r="L628" i="46"/>
  <c r="L634" i="46"/>
  <c r="L629" i="46"/>
  <c r="E861" i="46"/>
  <c r="AC11" i="63" s="1"/>
  <c r="Y10" i="63"/>
  <c r="K163" i="32"/>
  <c r="O163" i="32" s="1"/>
  <c r="I163" i="31"/>
  <c r="E869" i="46"/>
  <c r="AC19" i="63" s="1"/>
  <c r="E591" i="46"/>
  <c r="K768" i="46"/>
  <c r="AR14" i="63" s="1"/>
  <c r="K294" i="46"/>
  <c r="K442" i="46" s="1"/>
  <c r="M637" i="46"/>
  <c r="M627" i="46"/>
  <c r="M628" i="46"/>
  <c r="M626" i="46"/>
  <c r="M635" i="46"/>
  <c r="M636" i="46"/>
  <c r="M634" i="46"/>
  <c r="M629" i="46"/>
  <c r="M625" i="46"/>
  <c r="K771" i="46"/>
  <c r="AR17" i="63" s="1"/>
  <c r="E216" i="31"/>
  <c r="W16" i="63"/>
  <c r="E850" i="46"/>
  <c r="K163" i="46"/>
  <c r="O129" i="32"/>
  <c r="E865" i="46"/>
  <c r="AC15" i="63" s="1"/>
  <c r="E747" i="46"/>
  <c r="K770" i="46"/>
  <c r="AR16" i="63" s="1"/>
  <c r="M632" i="46"/>
  <c r="E219" i="31"/>
  <c r="W19" i="63"/>
  <c r="E853" i="46"/>
  <c r="K773" i="46"/>
  <c r="AR19" i="63" s="1"/>
  <c r="K524" i="46"/>
  <c r="K603" i="46" s="1"/>
  <c r="K466" i="46"/>
  <c r="M633" i="46"/>
  <c r="E389" i="46"/>
  <c r="E810" i="46"/>
  <c r="E391" i="46"/>
  <c r="L796" i="46"/>
  <c r="M797" i="46"/>
  <c r="K772" i="46"/>
  <c r="AR18" i="63" s="1"/>
  <c r="G900" i="46"/>
  <c r="G899" i="46"/>
  <c r="G903" i="46"/>
  <c r="G902" i="46"/>
  <c r="G901" i="46"/>
  <c r="G898" i="46"/>
  <c r="L630" i="46"/>
  <c r="M631" i="46"/>
  <c r="L631" i="46"/>
  <c r="M764" i="46"/>
  <c r="M190" i="46"/>
  <c r="M193" i="46" s="1"/>
  <c r="M307" i="46"/>
  <c r="M827" i="46" s="1"/>
  <c r="M840" i="46" s="1"/>
  <c r="M277" i="46"/>
  <c r="M426" i="46" s="1"/>
  <c r="W17" i="63"/>
  <c r="E217" i="31"/>
  <c r="E851" i="46"/>
  <c r="W15" i="63"/>
  <c r="E215" i="31"/>
  <c r="E849" i="46"/>
  <c r="L633" i="46"/>
  <c r="K279" i="46"/>
  <c r="K428" i="46" s="1"/>
  <c r="K766" i="46"/>
  <c r="AR12" i="63" s="1"/>
  <c r="M799" i="46"/>
  <c r="L477" i="46"/>
  <c r="L472" i="46"/>
  <c r="L471" i="46"/>
  <c r="L475" i="46"/>
  <c r="L476" i="46"/>
  <c r="L473" i="46"/>
  <c r="L474" i="46"/>
  <c r="L470" i="46"/>
  <c r="L481" i="46"/>
  <c r="L479" i="46"/>
  <c r="L469" i="46"/>
  <c r="L480" i="46"/>
  <c r="E371" i="38"/>
  <c r="M796" i="46"/>
  <c r="L797" i="46"/>
  <c r="I193" i="31"/>
  <c r="E997" i="46"/>
  <c r="K193" i="32"/>
  <c r="O193" i="32" s="1"/>
  <c r="E968" i="46"/>
  <c r="W14" i="63"/>
  <c r="E214" i="31"/>
  <c r="E848" i="46"/>
  <c r="K769" i="46"/>
  <c r="AR15" i="63" s="1"/>
  <c r="K622" i="46"/>
  <c r="K632" i="46" s="1"/>
  <c r="M708" i="46"/>
  <c r="M723" i="46" s="1"/>
  <c r="M815" i="46" s="1"/>
  <c r="M215" i="31" s="1"/>
  <c r="E421" i="46"/>
  <c r="E863" i="46"/>
  <c r="AC13" i="63" s="1"/>
  <c r="M351" i="46"/>
  <c r="M379" i="46" s="1"/>
  <c r="W12" i="63"/>
  <c r="E212" i="31"/>
  <c r="E846" i="46"/>
  <c r="M474" i="46"/>
  <c r="M477" i="46"/>
  <c r="M470" i="46"/>
  <c r="M475" i="46"/>
  <c r="M472" i="46"/>
  <c r="M471" i="46"/>
  <c r="M480" i="46"/>
  <c r="M476" i="46"/>
  <c r="M481" i="46"/>
  <c r="M479" i="46"/>
  <c r="M473" i="46"/>
  <c r="M469" i="46"/>
  <c r="M556" i="46"/>
  <c r="M571" i="46" s="1"/>
  <c r="M586" i="46" s="1"/>
  <c r="W18" i="63"/>
  <c r="E218" i="31"/>
  <c r="E852" i="46"/>
  <c r="L632" i="46"/>
  <c r="E505" i="38"/>
  <c r="E211" i="31"/>
  <c r="W11" i="63"/>
  <c r="E845" i="46"/>
  <c r="L764" i="46"/>
  <c r="L190" i="46"/>
  <c r="L277" i="46"/>
  <c r="L426" i="46" s="1"/>
  <c r="L307" i="46"/>
  <c r="L827" i="46" s="1"/>
  <c r="L840" i="46" s="1"/>
  <c r="M352" i="46"/>
  <c r="M380" i="46" s="1"/>
  <c r="M408" i="46" s="1"/>
  <c r="K767" i="46"/>
  <c r="AR13" i="63" s="1"/>
  <c r="K293" i="46"/>
  <c r="K441" i="46" s="1"/>
  <c r="L336" i="46"/>
  <c r="L364" i="46" s="1"/>
  <c r="K765" i="46"/>
  <c r="AR11" i="63" s="1"/>
  <c r="K278" i="46"/>
  <c r="K427" i="46" s="1"/>
  <c r="E85" i="38" l="1"/>
  <c r="E242" i="71" s="1"/>
  <c r="L335" i="46"/>
  <c r="L363" i="46" s="1"/>
  <c r="L391" i="46" s="1"/>
  <c r="L841" i="46"/>
  <c r="L193" i="31" s="1"/>
  <c r="F905" i="46"/>
  <c r="F56" i="47" s="1"/>
  <c r="F150" i="47" s="1"/>
  <c r="E365" i="38" s="1"/>
  <c r="K801" i="46"/>
  <c r="L799" i="46"/>
  <c r="L708" i="46"/>
  <c r="L723" i="46" s="1"/>
  <c r="L815" i="46" s="1"/>
  <c r="L215" i="31" s="1"/>
  <c r="K470" i="46"/>
  <c r="K479" i="46"/>
  <c r="K481" i="46"/>
  <c r="K477" i="46"/>
  <c r="K471" i="46"/>
  <c r="K475" i="46"/>
  <c r="K480" i="46"/>
  <c r="K473" i="46"/>
  <c r="K469" i="46"/>
  <c r="K474" i="46"/>
  <c r="K472" i="46"/>
  <c r="K476" i="46"/>
  <c r="M801" i="46"/>
  <c r="M710" i="46"/>
  <c r="M725" i="46" s="1"/>
  <c r="M817" i="46" s="1"/>
  <c r="M217" i="31" s="1"/>
  <c r="K631" i="46"/>
  <c r="M719" i="46"/>
  <c r="M811" i="46" s="1"/>
  <c r="M211" i="31" s="1"/>
  <c r="E891" i="46"/>
  <c r="E889" i="46"/>
  <c r="E893" i="46"/>
  <c r="E892" i="46"/>
  <c r="E890" i="46"/>
  <c r="E888" i="46"/>
  <c r="L722" i="46"/>
  <c r="L814" i="46" s="1"/>
  <c r="L214" i="31" s="1"/>
  <c r="L719" i="46"/>
  <c r="L734" i="46" s="1"/>
  <c r="K213" i="32"/>
  <c r="O213" i="32" s="1"/>
  <c r="I213" i="31"/>
  <c r="M223" i="70"/>
  <c r="M131" i="31"/>
  <c r="M165" i="31" s="1"/>
  <c r="M841" i="46"/>
  <c r="M193" i="31" s="1"/>
  <c r="G905" i="46"/>
  <c r="G56" i="47" s="1"/>
  <c r="L223" i="70"/>
  <c r="L131" i="31"/>
  <c r="L165" i="31" s="1"/>
  <c r="M727" i="46"/>
  <c r="M742" i="46" s="1"/>
  <c r="L801" i="46"/>
  <c r="L710" i="46"/>
  <c r="L725" i="46" s="1"/>
  <c r="L817" i="46" s="1"/>
  <c r="L217" i="31" s="1"/>
  <c r="E45" i="38"/>
  <c r="L421" i="46"/>
  <c r="L802" i="46"/>
  <c r="L711" i="46"/>
  <c r="L726" i="46" s="1"/>
  <c r="L818" i="46" s="1"/>
  <c r="L218" i="31" s="1"/>
  <c r="L800" i="46"/>
  <c r="L709" i="46"/>
  <c r="L724" i="46" s="1"/>
  <c r="L816" i="46" s="1"/>
  <c r="L216" i="31" s="1"/>
  <c r="E860" i="46"/>
  <c r="E420" i="46"/>
  <c r="E418" i="46"/>
  <c r="E423" i="46" s="1"/>
  <c r="L795" i="46"/>
  <c r="K764" i="46"/>
  <c r="AR10" i="63" s="1"/>
  <c r="K277" i="46"/>
  <c r="K426" i="46" s="1"/>
  <c r="K190" i="46"/>
  <c r="K193" i="46" s="1"/>
  <c r="K216" i="32"/>
  <c r="O216" i="32" s="1"/>
  <c r="I216" i="31"/>
  <c r="M729" i="46"/>
  <c r="M821" i="46" s="1"/>
  <c r="M221" i="31" s="1"/>
  <c r="M805" i="46"/>
  <c r="M720" i="46"/>
  <c r="M812" i="46" s="1"/>
  <c r="M212" i="31" s="1"/>
  <c r="M803" i="46"/>
  <c r="L721" i="46"/>
  <c r="L813" i="46" s="1"/>
  <c r="L213" i="31" s="1"/>
  <c r="L728" i="46"/>
  <c r="L820" i="46" s="1"/>
  <c r="L220" i="31" s="1"/>
  <c r="L804" i="46"/>
  <c r="L205" i="46"/>
  <c r="L207" i="46"/>
  <c r="L202" i="46"/>
  <c r="L214" i="46"/>
  <c r="L213" i="46"/>
  <c r="L215" i="46"/>
  <c r="L216" i="46"/>
  <c r="L200" i="46"/>
  <c r="L208" i="46"/>
  <c r="L211" i="46"/>
  <c r="L196" i="46"/>
  <c r="L206" i="46"/>
  <c r="L197" i="46"/>
  <c r="L212" i="46"/>
  <c r="L217" i="46"/>
  <c r="L199" i="46"/>
  <c r="L198" i="46"/>
  <c r="L204" i="46"/>
  <c r="L218" i="46"/>
  <c r="L201" i="46"/>
  <c r="L203" i="46"/>
  <c r="L210" i="46"/>
  <c r="L195" i="46"/>
  <c r="L194" i="46"/>
  <c r="L209" i="46"/>
  <c r="I218" i="31"/>
  <c r="K218" i="32"/>
  <c r="O218" i="32" s="1"/>
  <c r="K629" i="46"/>
  <c r="K634" i="46"/>
  <c r="K626" i="46"/>
  <c r="K637" i="46"/>
  <c r="K628" i="46"/>
  <c r="K627" i="46"/>
  <c r="K625" i="46"/>
  <c r="K635" i="46"/>
  <c r="K636" i="46"/>
  <c r="I214" i="31"/>
  <c r="K214" i="32"/>
  <c r="O214" i="32" s="1"/>
  <c r="E57" i="38"/>
  <c r="E1001" i="46"/>
  <c r="M226" i="70"/>
  <c r="M849" i="46"/>
  <c r="M134" i="31"/>
  <c r="M151" i="46" s="1"/>
  <c r="M132" i="31"/>
  <c r="M224" i="70"/>
  <c r="M722" i="46"/>
  <c r="M814" i="46" s="1"/>
  <c r="M214" i="31" s="1"/>
  <c r="I212" i="31"/>
  <c r="K212" i="32"/>
  <c r="O212" i="32" s="1"/>
  <c r="K630" i="46"/>
  <c r="I215" i="31"/>
  <c r="K215" i="32"/>
  <c r="O215" i="32" s="1"/>
  <c r="I217" i="31"/>
  <c r="K217" i="32"/>
  <c r="O217" i="32" s="1"/>
  <c r="M335" i="46"/>
  <c r="M363" i="46" s="1"/>
  <c r="M391" i="46" s="1"/>
  <c r="M802" i="46"/>
  <c r="M711" i="46"/>
  <c r="M726" i="46" s="1"/>
  <c r="M818" i="46" s="1"/>
  <c r="M218" i="31" s="1"/>
  <c r="L392" i="46"/>
  <c r="M721" i="46"/>
  <c r="M736" i="46" s="1"/>
  <c r="L727" i="46"/>
  <c r="L819" i="46" s="1"/>
  <c r="L219" i="31" s="1"/>
  <c r="I211" i="31"/>
  <c r="K211" i="32"/>
  <c r="O211" i="32" s="1"/>
  <c r="L193" i="46"/>
  <c r="L224" i="70"/>
  <c r="L132" i="31"/>
  <c r="M738" i="46"/>
  <c r="M865" i="46" s="1"/>
  <c r="M214" i="46"/>
  <c r="M215" i="46"/>
  <c r="M207" i="46"/>
  <c r="M204" i="46"/>
  <c r="M199" i="46"/>
  <c r="M212" i="46"/>
  <c r="M218" i="46"/>
  <c r="M202" i="46"/>
  <c r="M217" i="46"/>
  <c r="M196" i="46"/>
  <c r="M213" i="46"/>
  <c r="M197" i="46"/>
  <c r="M206" i="46"/>
  <c r="M216" i="46"/>
  <c r="M205" i="46"/>
  <c r="M198" i="46"/>
  <c r="M201" i="46"/>
  <c r="M208" i="46"/>
  <c r="M203" i="46"/>
  <c r="M200" i="46"/>
  <c r="M211" i="46"/>
  <c r="M195" i="46"/>
  <c r="M209" i="46"/>
  <c r="M210" i="46"/>
  <c r="M194" i="46"/>
  <c r="M800" i="46"/>
  <c r="M709" i="46"/>
  <c r="M724" i="46" s="1"/>
  <c r="M816" i="46" s="1"/>
  <c r="M216" i="31" s="1"/>
  <c r="K633" i="46"/>
  <c r="M407" i="46"/>
  <c r="E823" i="46"/>
  <c r="E824" i="46" s="1"/>
  <c r="E210" i="31"/>
  <c r="W10" i="63"/>
  <c r="E844" i="46"/>
  <c r="E857" i="46" s="1"/>
  <c r="K478" i="46"/>
  <c r="I219" i="31"/>
  <c r="K219" i="32"/>
  <c r="O219" i="32" s="1"/>
  <c r="E901" i="46"/>
  <c r="E903" i="46"/>
  <c r="E902" i="46"/>
  <c r="E900" i="46"/>
  <c r="E899" i="46"/>
  <c r="E898" i="46"/>
  <c r="M728" i="46"/>
  <c r="M820" i="46" s="1"/>
  <c r="M220" i="31" s="1"/>
  <c r="M804" i="46"/>
  <c r="M798" i="46"/>
  <c r="L805" i="46"/>
  <c r="L729" i="46"/>
  <c r="L821" i="46" s="1"/>
  <c r="L221" i="31" s="1"/>
  <c r="L720" i="46"/>
  <c r="L812" i="46" s="1"/>
  <c r="L212" i="31" s="1"/>
  <c r="F58" i="47" l="1"/>
  <c r="F152" i="47" s="1"/>
  <c r="M819" i="46"/>
  <c r="M219" i="31" s="1"/>
  <c r="M735" i="46"/>
  <c r="M862" i="46" s="1"/>
  <c r="M813" i="46"/>
  <c r="M213" i="31" s="1"/>
  <c r="M737" i="46"/>
  <c r="M864" i="46" s="1"/>
  <c r="M744" i="46"/>
  <c r="M871" i="46" s="1"/>
  <c r="L741" i="46"/>
  <c r="L868" i="46" s="1"/>
  <c r="L735" i="46"/>
  <c r="L862" i="46" s="1"/>
  <c r="L743" i="46"/>
  <c r="L870" i="46" s="1"/>
  <c r="L811" i="46"/>
  <c r="L211" i="31" s="1"/>
  <c r="L737" i="46"/>
  <c r="L864" i="46" s="1"/>
  <c r="M734" i="46"/>
  <c r="M861" i="46" s="1"/>
  <c r="E895" i="46"/>
  <c r="E55" i="47" s="1"/>
  <c r="E149" i="47" s="1"/>
  <c r="E905" i="46"/>
  <c r="E56" i="47" s="1"/>
  <c r="I56" i="47" s="1"/>
  <c r="M739" i="46"/>
  <c r="M866" i="46" s="1"/>
  <c r="M420" i="46"/>
  <c r="L232" i="70"/>
  <c r="L855" i="46"/>
  <c r="L140" i="31"/>
  <c r="L174" i="31" s="1"/>
  <c r="E424" i="46"/>
  <c r="Y35" i="63" s="1"/>
  <c r="Y34" i="63"/>
  <c r="M166" i="31"/>
  <c r="M168" i="31"/>
  <c r="K804" i="46"/>
  <c r="K728" i="46"/>
  <c r="K820" i="46" s="1"/>
  <c r="L222" i="70"/>
  <c r="L130" i="31"/>
  <c r="L164" i="31" s="1"/>
  <c r="K800" i="46"/>
  <c r="K228" i="70"/>
  <c r="K136" i="31"/>
  <c r="AX17" i="63"/>
  <c r="K108" i="71" s="1"/>
  <c r="K184" i="31"/>
  <c r="L166" i="31"/>
  <c r="M852" i="46"/>
  <c r="M229" i="70"/>
  <c r="M137" i="31"/>
  <c r="M171" i="31" s="1"/>
  <c r="L231" i="70"/>
  <c r="L854" i="46"/>
  <c r="L139" i="31"/>
  <c r="L173" i="31" s="1"/>
  <c r="M230" i="70"/>
  <c r="M138" i="31"/>
  <c r="E882" i="46"/>
  <c r="E881" i="46"/>
  <c r="E879" i="46"/>
  <c r="E880" i="46"/>
  <c r="E883" i="46"/>
  <c r="E878" i="46"/>
  <c r="E419" i="46"/>
  <c r="L850" i="46"/>
  <c r="L135" i="31"/>
  <c r="L169" i="31" s="1"/>
  <c r="L227" i="70"/>
  <c r="L229" i="70"/>
  <c r="L852" i="46"/>
  <c r="L137" i="31"/>
  <c r="L171" i="31" s="1"/>
  <c r="L718" i="46"/>
  <c r="L810" i="46" s="1"/>
  <c r="M231" i="70"/>
  <c r="M854" i="46"/>
  <c r="M139" i="31"/>
  <c r="M173" i="31" s="1"/>
  <c r="M718" i="46"/>
  <c r="M733" i="46" s="1"/>
  <c r="L847" i="46"/>
  <c r="L420" i="46"/>
  <c r="M741" i="46"/>
  <c r="M868" i="46" s="1"/>
  <c r="K799" i="46"/>
  <c r="M847" i="46"/>
  <c r="K720" i="46"/>
  <c r="K735" i="46" s="1"/>
  <c r="K727" i="46"/>
  <c r="K742" i="46" s="1"/>
  <c r="K207" i="46"/>
  <c r="K211" i="46"/>
  <c r="K217" i="46"/>
  <c r="K212" i="46"/>
  <c r="K201" i="46"/>
  <c r="K199" i="46"/>
  <c r="K208" i="46"/>
  <c r="K205" i="46"/>
  <c r="K197" i="46"/>
  <c r="K218" i="46"/>
  <c r="K213" i="46"/>
  <c r="K198" i="46"/>
  <c r="K214" i="46"/>
  <c r="K215" i="46"/>
  <c r="K196" i="46"/>
  <c r="K203" i="46"/>
  <c r="K216" i="46"/>
  <c r="K204" i="46"/>
  <c r="K202" i="46"/>
  <c r="K200" i="46"/>
  <c r="K206" i="46"/>
  <c r="K195" i="46"/>
  <c r="K210" i="46"/>
  <c r="K209" i="46"/>
  <c r="K194" i="46"/>
  <c r="E422" i="46"/>
  <c r="Y33" i="63" s="1"/>
  <c r="L739" i="46"/>
  <c r="L866" i="46" s="1"/>
  <c r="K796" i="46"/>
  <c r="L851" i="46"/>
  <c r="L228" i="70"/>
  <c r="L136" i="31"/>
  <c r="L170" i="31" s="1"/>
  <c r="L846" i="46"/>
  <c r="M846" i="46"/>
  <c r="M740" i="46"/>
  <c r="M867" i="46" s="1"/>
  <c r="L226" i="70"/>
  <c r="L849" i="46"/>
  <c r="L134" i="31"/>
  <c r="L151" i="46" s="1"/>
  <c r="M850" i="46"/>
  <c r="M227" i="70"/>
  <c r="M135" i="31"/>
  <c r="M169" i="31" s="1"/>
  <c r="E229" i="71"/>
  <c r="G162" i="70"/>
  <c r="E162" i="70"/>
  <c r="F162" i="70"/>
  <c r="F154" i="70"/>
  <c r="E223" i="71"/>
  <c r="G154" i="70"/>
  <c r="E154" i="70"/>
  <c r="M848" i="46"/>
  <c r="M133" i="31"/>
  <c r="M167" i="31" s="1"/>
  <c r="M225" i="70"/>
  <c r="M421" i="46"/>
  <c r="M863" i="46"/>
  <c r="K719" i="46"/>
  <c r="K734" i="46" s="1"/>
  <c r="M232" i="70"/>
  <c r="M855" i="46"/>
  <c r="M140" i="31"/>
  <c r="M174" i="31" s="1"/>
  <c r="K802" i="46"/>
  <c r="L744" i="46"/>
  <c r="L871" i="46" s="1"/>
  <c r="M743" i="46"/>
  <c r="M870" i="46" s="1"/>
  <c r="I210" i="31"/>
  <c r="K210" i="32"/>
  <c r="O210" i="32" s="1"/>
  <c r="L794" i="46"/>
  <c r="L742" i="46"/>
  <c r="L869" i="46" s="1"/>
  <c r="L861" i="46"/>
  <c r="K795" i="46"/>
  <c r="M794" i="46"/>
  <c r="E60" i="38"/>
  <c r="E970" i="46"/>
  <c r="E48" i="31"/>
  <c r="K805" i="46"/>
  <c r="K729" i="46"/>
  <c r="K821" i="46" s="1"/>
  <c r="K721" i="46"/>
  <c r="K736" i="46" s="1"/>
  <c r="K722" i="46"/>
  <c r="K737" i="46" s="1"/>
  <c r="L736" i="46"/>
  <c r="L863" i="46" s="1"/>
  <c r="K794" i="46"/>
  <c r="AC10" i="63"/>
  <c r="E873" i="46"/>
  <c r="E874" i="46" s="1"/>
  <c r="L740" i="46"/>
  <c r="L867" i="46" s="1"/>
  <c r="M869" i="46"/>
  <c r="K803" i="46"/>
  <c r="G58" i="47"/>
  <c r="G150" i="47"/>
  <c r="E499" i="38" s="1"/>
  <c r="M228" i="70"/>
  <c r="M851" i="46"/>
  <c r="M136" i="31"/>
  <c r="M170" i="31" s="1"/>
  <c r="L738" i="46"/>
  <c r="L865" i="46" s="1"/>
  <c r="F68" i="70" l="1"/>
  <c r="F72" i="70"/>
  <c r="M853" i="46"/>
  <c r="L845" i="46"/>
  <c r="I55" i="47"/>
  <c r="E79" i="38"/>
  <c r="E239" i="71" s="1"/>
  <c r="E78" i="38"/>
  <c r="E238" i="71" s="1"/>
  <c r="M860" i="46"/>
  <c r="M873" i="46" s="1"/>
  <c r="K221" i="70"/>
  <c r="AX10" i="63"/>
  <c r="K101" i="71" s="1"/>
  <c r="K129" i="31"/>
  <c r="K177" i="31"/>
  <c r="AZ21" i="63"/>
  <c r="K221" i="31"/>
  <c r="O221" i="31" s="1"/>
  <c r="K222" i="70"/>
  <c r="K130" i="31"/>
  <c r="AX11" i="63"/>
  <c r="K102" i="71" s="1"/>
  <c r="K178" i="31"/>
  <c r="K223" i="70"/>
  <c r="K131" i="31"/>
  <c r="AX12" i="63"/>
  <c r="K103" i="71" s="1"/>
  <c r="K179" i="31"/>
  <c r="K226" i="70"/>
  <c r="AX15" i="63"/>
  <c r="K106" i="71" s="1"/>
  <c r="K134" i="31"/>
  <c r="K182" i="31"/>
  <c r="K231" i="70"/>
  <c r="K139" i="31"/>
  <c r="AX20" i="63"/>
  <c r="K111" i="71" s="1"/>
  <c r="K854" i="46"/>
  <c r="K232" i="70"/>
  <c r="K855" i="46"/>
  <c r="K140" i="31"/>
  <c r="K141" i="46" s="1"/>
  <c r="AX21" i="63"/>
  <c r="K112" i="71" s="1"/>
  <c r="G68" i="70"/>
  <c r="G72" i="70"/>
  <c r="G152" i="47"/>
  <c r="F165" i="70"/>
  <c r="E165" i="70"/>
  <c r="E232" i="71"/>
  <c r="G165" i="70"/>
  <c r="K229" i="70"/>
  <c r="K137" i="31"/>
  <c r="AX18" i="63"/>
  <c r="K109" i="71" s="1"/>
  <c r="K185" i="31"/>
  <c r="L168" i="31"/>
  <c r="E885" i="46"/>
  <c r="E54" i="47" s="1"/>
  <c r="K718" i="46"/>
  <c r="K733" i="46" s="1"/>
  <c r="AZ20" i="63"/>
  <c r="K220" i="31"/>
  <c r="O220" i="31" s="1"/>
  <c r="L221" i="70"/>
  <c r="L129" i="31"/>
  <c r="L844" i="46"/>
  <c r="E381" i="38"/>
  <c r="F40" i="70"/>
  <c r="F36" i="70"/>
  <c r="L823" i="46"/>
  <c r="L210" i="31"/>
  <c r="M172" i="31"/>
  <c r="K170" i="31"/>
  <c r="O136" i="31"/>
  <c r="K227" i="70"/>
  <c r="AX16" i="63"/>
  <c r="K107" i="71" s="1"/>
  <c r="K135" i="31"/>
  <c r="K183" i="31"/>
  <c r="I48" i="31"/>
  <c r="F60" i="1"/>
  <c r="E21" i="51"/>
  <c r="E22" i="51" s="1"/>
  <c r="K48" i="32"/>
  <c r="K230" i="70"/>
  <c r="AX19" i="63"/>
  <c r="K110" i="71" s="1"/>
  <c r="K138" i="31"/>
  <c r="K186" i="31"/>
  <c r="K744" i="46"/>
  <c r="K871" i="46" s="1"/>
  <c r="BF21" i="63" s="1"/>
  <c r="E47" i="38"/>
  <c r="E973" i="46"/>
  <c r="M221" i="70"/>
  <c r="M129" i="31"/>
  <c r="M810" i="46"/>
  <c r="E230" i="38"/>
  <c r="E322" i="71" s="1"/>
  <c r="I149" i="47"/>
  <c r="L733" i="46"/>
  <c r="O184" i="31"/>
  <c r="K710" i="46"/>
  <c r="K725" i="46" s="1"/>
  <c r="K695" i="46"/>
  <c r="K834" i="46" s="1"/>
  <c r="K743" i="46"/>
  <c r="K870" i="46" s="1"/>
  <c r="BF20" i="63" s="1"/>
  <c r="K151" i="46" l="1"/>
  <c r="M823" i="46"/>
  <c r="M210" i="31"/>
  <c r="M163" i="31"/>
  <c r="K172" i="31"/>
  <c r="O185" i="31"/>
  <c r="K711" i="46"/>
  <c r="K726" i="46" s="1"/>
  <c r="K696" i="46"/>
  <c r="K835" i="46" s="1"/>
  <c r="O178" i="31"/>
  <c r="K336" i="46"/>
  <c r="K364" i="46" s="1"/>
  <c r="K308" i="46"/>
  <c r="K828" i="46" s="1"/>
  <c r="O129" i="31"/>
  <c r="K163" i="31"/>
  <c r="G156" i="70"/>
  <c r="F156" i="70"/>
  <c r="E225" i="71"/>
  <c r="E156" i="70"/>
  <c r="C23" i="51"/>
  <c r="H22" i="51"/>
  <c r="O182" i="31"/>
  <c r="K708" i="46"/>
  <c r="K723" i="46" s="1"/>
  <c r="K693" i="46"/>
  <c r="K832" i="46" s="1"/>
  <c r="M844" i="46"/>
  <c r="Q5" i="63"/>
  <c r="H5" i="65"/>
  <c r="I5" i="34"/>
  <c r="O135" i="31"/>
  <c r="K169" i="31"/>
  <c r="E58" i="47"/>
  <c r="E77" i="38"/>
  <c r="E237" i="71" s="1"/>
  <c r="I54" i="47"/>
  <c r="E148" i="47"/>
  <c r="O137" i="31"/>
  <c r="K171" i="31"/>
  <c r="G40" i="70"/>
  <c r="E515" i="38"/>
  <c r="G36" i="70"/>
  <c r="O134" i="31"/>
  <c r="K168" i="31"/>
  <c r="O179" i="31"/>
  <c r="K309" i="46"/>
  <c r="K829" i="46" s="1"/>
  <c r="K337" i="46"/>
  <c r="K365" i="46" s="1"/>
  <c r="K817" i="46"/>
  <c r="K740" i="46"/>
  <c r="K867" i="46" s="1"/>
  <c r="BF17" i="63" s="1"/>
  <c r="E48" i="38"/>
  <c r="E24" i="51"/>
  <c r="E25" i="51" s="1"/>
  <c r="E50" i="31"/>
  <c r="K994" i="46"/>
  <c r="O48" i="32"/>
  <c r="K174" i="31"/>
  <c r="O140" i="31"/>
  <c r="O131" i="31"/>
  <c r="K165" i="31"/>
  <c r="O183" i="31"/>
  <c r="K709" i="46"/>
  <c r="K724" i="46" s="1"/>
  <c r="K694" i="46"/>
  <c r="K833" i="46" s="1"/>
  <c r="O139" i="31"/>
  <c r="K173" i="31"/>
  <c r="L860" i="46"/>
  <c r="L873" i="46" s="1"/>
  <c r="O186" i="31"/>
  <c r="K556" i="46"/>
  <c r="K571" i="46" s="1"/>
  <c r="K541" i="46"/>
  <c r="K836" i="46" s="1"/>
  <c r="BB17" i="63"/>
  <c r="O170" i="31"/>
  <c r="L163" i="31"/>
  <c r="K164" i="31"/>
  <c r="O177" i="31"/>
  <c r="K335" i="46"/>
  <c r="K363" i="46" s="1"/>
  <c r="K307" i="46"/>
  <c r="K827" i="46" s="1"/>
  <c r="E23" i="51" l="1"/>
  <c r="E31" i="51" s="1"/>
  <c r="K816" i="46"/>
  <c r="K739" i="46"/>
  <c r="K866" i="46" s="1"/>
  <c r="BF16" i="63" s="1"/>
  <c r="I50" i="31"/>
  <c r="F62" i="1"/>
  <c r="K50" i="32"/>
  <c r="BB19" i="63"/>
  <c r="BB11" i="63"/>
  <c r="O174" i="31"/>
  <c r="BB21" i="63"/>
  <c r="H25" i="51"/>
  <c r="C26" i="51"/>
  <c r="K217" i="31"/>
  <c r="O217" i="31" s="1"/>
  <c r="AZ17" i="63"/>
  <c r="K851" i="46"/>
  <c r="BB16" i="63"/>
  <c r="O169" i="31"/>
  <c r="BB10" i="63"/>
  <c r="O163" i="31"/>
  <c r="K863" i="46"/>
  <c r="BF13" i="63" s="1"/>
  <c r="K819" i="46"/>
  <c r="K586" i="46"/>
  <c r="BB12" i="63"/>
  <c r="O165" i="31"/>
  <c r="E226" i="71"/>
  <c r="E157" i="70"/>
  <c r="F157" i="70"/>
  <c r="G157" i="70"/>
  <c r="K812" i="46"/>
  <c r="K393" i="46"/>
  <c r="K862" i="46" s="1"/>
  <c r="BF12" i="63" s="1"/>
  <c r="BB15" i="63"/>
  <c r="O168" i="31"/>
  <c r="BB18" i="63"/>
  <c r="O171" i="31"/>
  <c r="I148" i="47"/>
  <c r="E229" i="38"/>
  <c r="E321" i="71" s="1"/>
  <c r="K815" i="46"/>
  <c r="K738" i="46"/>
  <c r="K811" i="46"/>
  <c r="K392" i="46"/>
  <c r="K810" i="46"/>
  <c r="K391" i="46"/>
  <c r="BB20" i="63"/>
  <c r="O173" i="31"/>
  <c r="E72" i="70"/>
  <c r="I58" i="47"/>
  <c r="E68" i="70"/>
  <c r="E95" i="38"/>
  <c r="E249" i="71" s="1"/>
  <c r="G19" i="60"/>
  <c r="E23" i="71" s="1"/>
  <c r="G14" i="60"/>
  <c r="E20" i="71" s="1"/>
  <c r="G23" i="51"/>
  <c r="G31" i="51" s="1"/>
  <c r="F23" i="51"/>
  <c r="F31" i="51" s="1"/>
  <c r="K818" i="46"/>
  <c r="K741" i="46"/>
  <c r="K868" i="46" s="1"/>
  <c r="BF18" i="63" s="1"/>
  <c r="H31" i="51" l="1"/>
  <c r="E26" i="51"/>
  <c r="E32" i="51" s="1"/>
  <c r="E33" i="51" s="1"/>
  <c r="AZ10" i="63"/>
  <c r="K210" i="31"/>
  <c r="O210" i="31" s="1"/>
  <c r="K844" i="46"/>
  <c r="K869" i="46"/>
  <c r="BF19" i="63" s="1"/>
  <c r="AZ16" i="63"/>
  <c r="K216" i="31"/>
  <c r="O216" i="31" s="1"/>
  <c r="K850" i="46"/>
  <c r="M5" i="34"/>
  <c r="Y5" i="63"/>
  <c r="J5" i="65"/>
  <c r="K865" i="46"/>
  <c r="BF15" i="63" s="1"/>
  <c r="AZ18" i="63"/>
  <c r="K218" i="31"/>
  <c r="O218" i="31" s="1"/>
  <c r="K852" i="46"/>
  <c r="K861" i="46"/>
  <c r="BF11" i="63" s="1"/>
  <c r="F26" i="51"/>
  <c r="F32" i="51" s="1"/>
  <c r="G26" i="51"/>
  <c r="G32" i="51" s="1"/>
  <c r="O50" i="32"/>
  <c r="K966" i="46"/>
  <c r="K211" i="31"/>
  <c r="O211" i="31" s="1"/>
  <c r="AZ11" i="63"/>
  <c r="K845" i="46"/>
  <c r="AZ19" i="63"/>
  <c r="K219" i="31"/>
  <c r="O219" i="31" s="1"/>
  <c r="K853" i="46"/>
  <c r="K860" i="46"/>
  <c r="K420" i="46"/>
  <c r="AZ15" i="63"/>
  <c r="K215" i="31"/>
  <c r="O215" i="31" s="1"/>
  <c r="K849" i="46"/>
  <c r="AZ12" i="63"/>
  <c r="K212" i="31"/>
  <c r="O212" i="31" s="1"/>
  <c r="K846" i="46"/>
  <c r="F33" i="51" l="1"/>
  <c r="F34" i="51" s="1"/>
  <c r="BF10" i="63"/>
  <c r="G33" i="51"/>
  <c r="G34" i="51" s="1"/>
  <c r="H32" i="51"/>
  <c r="E34" i="51"/>
  <c r="H34" i="51" l="1"/>
  <c r="H33" i="51"/>
  <c r="G44" i="51" l="1"/>
  <c r="E44" i="51"/>
  <c r="G45" i="51"/>
  <c r="G54" i="51" s="1"/>
  <c r="G141" i="70" s="1"/>
  <c r="E47" i="51"/>
  <c r="F47" i="51"/>
  <c r="E46" i="51"/>
  <c r="E45" i="51"/>
  <c r="F44" i="51"/>
  <c r="G47" i="51"/>
  <c r="F46" i="51"/>
  <c r="F53" i="51" s="1"/>
  <c r="F140" i="70" s="1"/>
  <c r="F45" i="51"/>
  <c r="F54" i="51" s="1"/>
  <c r="F141" i="70" s="1"/>
  <c r="G46" i="51"/>
  <c r="G53" i="51" s="1"/>
  <c r="G140" i="70" s="1"/>
  <c r="F35" i="51"/>
  <c r="F36" i="51" s="1"/>
  <c r="F38" i="51" s="1"/>
  <c r="E35" i="51"/>
  <c r="E36" i="51" s="1"/>
  <c r="G35" i="51"/>
  <c r="G36" i="51" s="1"/>
  <c r="G38" i="51" s="1"/>
  <c r="G89" i="46" l="1"/>
  <c r="G90" i="46"/>
  <c r="G88" i="46"/>
  <c r="F90" i="46"/>
  <c r="F88" i="46"/>
  <c r="F89" i="46"/>
  <c r="E54" i="51"/>
  <c r="H45" i="51"/>
  <c r="G55" i="51"/>
  <c r="G56" i="51"/>
  <c r="F56" i="51"/>
  <c r="F55" i="51"/>
  <c r="H44" i="51"/>
  <c r="E48" i="51"/>
  <c r="E52" i="51"/>
  <c r="H46" i="51"/>
  <c r="E53" i="51"/>
  <c r="H36" i="51"/>
  <c r="E38" i="51"/>
  <c r="F48" i="51"/>
  <c r="F52" i="51"/>
  <c r="F139" i="70" s="1"/>
  <c r="E56" i="51"/>
  <c r="E55" i="51"/>
  <c r="G48" i="51"/>
  <c r="G52" i="51"/>
  <c r="G139" i="70" s="1"/>
  <c r="G92" i="46" l="1"/>
  <c r="G120" i="46"/>
  <c r="E397" i="38"/>
  <c r="G29" i="47"/>
  <c r="G100" i="46"/>
  <c r="G110" i="46"/>
  <c r="G131" i="70"/>
  <c r="F93" i="46"/>
  <c r="E265" i="38"/>
  <c r="F35" i="47"/>
  <c r="F121" i="46"/>
  <c r="F133" i="70"/>
  <c r="F111" i="46"/>
  <c r="F101" i="46"/>
  <c r="F41" i="47"/>
  <c r="F135" i="70"/>
  <c r="F122" i="46"/>
  <c r="E267" i="38"/>
  <c r="F102" i="46"/>
  <c r="F112" i="46"/>
  <c r="F94" i="46"/>
  <c r="E88" i="46"/>
  <c r="Q88" i="46" s="1"/>
  <c r="E89" i="46"/>
  <c r="Q89" i="46" s="1"/>
  <c r="E90" i="46"/>
  <c r="Q90" i="46" s="1"/>
  <c r="G94" i="46"/>
  <c r="G41" i="47"/>
  <c r="G112" i="46"/>
  <c r="G135" i="70"/>
  <c r="G122" i="46"/>
  <c r="E401" i="38"/>
  <c r="G102" i="46"/>
  <c r="E263" i="38"/>
  <c r="F110" i="46"/>
  <c r="F131" i="70"/>
  <c r="F29" i="47"/>
  <c r="F120" i="46"/>
  <c r="F92" i="46"/>
  <c r="F100" i="46"/>
  <c r="G93" i="46"/>
  <c r="E399" i="38"/>
  <c r="G133" i="70"/>
  <c r="G111" i="46"/>
  <c r="G121" i="46"/>
  <c r="G35" i="47"/>
  <c r="G101" i="46"/>
  <c r="C67" i="51"/>
  <c r="E141" i="70"/>
  <c r="E56" i="71"/>
  <c r="D67" i="51"/>
  <c r="D68" i="51"/>
  <c r="C68" i="51"/>
  <c r="E54" i="71"/>
  <c r="C65" i="51"/>
  <c r="E139" i="70"/>
  <c r="D65" i="51"/>
  <c r="C69" i="51"/>
  <c r="D69" i="51"/>
  <c r="H38" i="51"/>
  <c r="E39" i="51" s="1"/>
  <c r="E140" i="70"/>
  <c r="E55" i="71"/>
  <c r="C66" i="51"/>
  <c r="D66" i="51"/>
  <c r="E69" i="51" l="1"/>
  <c r="E67" i="51"/>
  <c r="G61" i="51" s="1"/>
  <c r="E66" i="51"/>
  <c r="E60" i="51" s="1"/>
  <c r="F96" i="46"/>
  <c r="F17" i="32" s="1"/>
  <c r="E92" i="46"/>
  <c r="Q92" i="46" s="1"/>
  <c r="E120" i="46"/>
  <c r="E110" i="46"/>
  <c r="N11" i="34"/>
  <c r="E100" i="46"/>
  <c r="Q100" i="46" s="1"/>
  <c r="E186" i="38"/>
  <c r="E34" i="38"/>
  <c r="E131" i="70"/>
  <c r="E29" i="47"/>
  <c r="G136" i="70"/>
  <c r="G115" i="46"/>
  <c r="G42" i="47"/>
  <c r="G44" i="47" s="1"/>
  <c r="G105" i="46"/>
  <c r="E402" i="38"/>
  <c r="G125" i="46"/>
  <c r="E36" i="38"/>
  <c r="E217" i="71" s="1"/>
  <c r="E93" i="46"/>
  <c r="Q93" i="46" s="1"/>
  <c r="E111" i="46"/>
  <c r="E121" i="46"/>
  <c r="E35" i="47"/>
  <c r="E133" i="70"/>
  <c r="E188" i="38"/>
  <c r="E301" i="71" s="1"/>
  <c r="N12" i="34"/>
  <c r="E101" i="46"/>
  <c r="Q101" i="46" s="1"/>
  <c r="F103" i="46"/>
  <c r="F30" i="47"/>
  <c r="F32" i="47" s="1"/>
  <c r="F132" i="70"/>
  <c r="F123" i="46"/>
  <c r="F113" i="46"/>
  <c r="E264" i="38"/>
  <c r="F105" i="46"/>
  <c r="F125" i="46"/>
  <c r="F115" i="46"/>
  <c r="F42" i="47"/>
  <c r="F44" i="47" s="1"/>
  <c r="E268" i="38"/>
  <c r="F136" i="70"/>
  <c r="G96" i="46"/>
  <c r="G104" i="46"/>
  <c r="G124" i="46"/>
  <c r="G114" i="46"/>
  <c r="E400" i="38"/>
  <c r="G134" i="70"/>
  <c r="G36" i="47"/>
  <c r="G38" i="47" s="1"/>
  <c r="E190" i="38"/>
  <c r="E303" i="71" s="1"/>
  <c r="E94" i="46"/>
  <c r="Q94" i="46" s="1"/>
  <c r="E102" i="46"/>
  <c r="Q102" i="46" s="1"/>
  <c r="E122" i="46"/>
  <c r="E38" i="38"/>
  <c r="E219" i="71" s="1"/>
  <c r="E41" i="47"/>
  <c r="N13" i="34"/>
  <c r="E112" i="46"/>
  <c r="E135" i="70"/>
  <c r="F36" i="47"/>
  <c r="F38" i="47" s="1"/>
  <c r="E266" i="38"/>
  <c r="F124" i="46"/>
  <c r="F134" i="70"/>
  <c r="F104" i="46"/>
  <c r="F114" i="46"/>
  <c r="G30" i="47"/>
  <c r="G32" i="47" s="1"/>
  <c r="G103" i="46"/>
  <c r="G132" i="70"/>
  <c r="G123" i="46"/>
  <c r="G113" i="46"/>
  <c r="E398" i="38"/>
  <c r="K40" i="51"/>
  <c r="E142" i="70"/>
  <c r="E57" i="71"/>
  <c r="E43" i="31"/>
  <c r="E68" i="51"/>
  <c r="G39" i="51"/>
  <c r="F39" i="51"/>
  <c r="E65" i="51"/>
  <c r="F61" i="51" l="1"/>
  <c r="F60" i="51"/>
  <c r="E61" i="51"/>
  <c r="G60" i="51"/>
  <c r="F17" i="31"/>
  <c r="L17" i="32" s="1"/>
  <c r="E271" i="38"/>
  <c r="E355" i="38" s="1"/>
  <c r="E340" i="71" s="1"/>
  <c r="F19" i="31"/>
  <c r="L19" i="32" s="1"/>
  <c r="G107" i="46"/>
  <c r="G244" i="46" s="1"/>
  <c r="E403" i="38"/>
  <c r="E96" i="46"/>
  <c r="G127" i="46"/>
  <c r="G650" i="46" s="1"/>
  <c r="G117" i="46"/>
  <c r="G491" i="46" s="1"/>
  <c r="F107" i="46"/>
  <c r="F238" i="46" s="1"/>
  <c r="F47" i="47"/>
  <c r="F64" i="70"/>
  <c r="F141" i="47"/>
  <c r="G64" i="70"/>
  <c r="G141" i="47"/>
  <c r="G47" i="47"/>
  <c r="F143" i="47"/>
  <c r="F66" i="70"/>
  <c r="F49" i="47"/>
  <c r="E269" i="38"/>
  <c r="F65" i="70"/>
  <c r="F142" i="47"/>
  <c r="F48" i="47"/>
  <c r="E299" i="71"/>
  <c r="I41" i="47"/>
  <c r="E191" i="38"/>
  <c r="E304" i="71" s="1"/>
  <c r="N16" i="34"/>
  <c r="E39" i="38"/>
  <c r="E220" i="71" s="1"/>
  <c r="E136" i="70"/>
  <c r="E115" i="46"/>
  <c r="E125" i="46"/>
  <c r="E105" i="46"/>
  <c r="Q105" i="46" s="1"/>
  <c r="E42" i="47"/>
  <c r="I42" i="47" s="1"/>
  <c r="G19" i="31"/>
  <c r="G17" i="31"/>
  <c r="G17" i="32"/>
  <c r="E405" i="38"/>
  <c r="F117" i="46"/>
  <c r="G143" i="47"/>
  <c r="G66" i="70"/>
  <c r="G49" i="47"/>
  <c r="I29" i="47"/>
  <c r="F127" i="46"/>
  <c r="G142" i="47"/>
  <c r="G65" i="70"/>
  <c r="G48" i="47"/>
  <c r="E36" i="47"/>
  <c r="I36" i="47" s="1"/>
  <c r="E104" i="46"/>
  <c r="Q104" i="46" s="1"/>
  <c r="E189" i="38"/>
  <c r="E302" i="71" s="1"/>
  <c r="E124" i="46"/>
  <c r="E114" i="46"/>
  <c r="N15" i="34"/>
  <c r="E134" i="70"/>
  <c r="E37" i="38"/>
  <c r="E218" i="71" s="1"/>
  <c r="N14" i="34"/>
  <c r="E187" i="38"/>
  <c r="E300" i="71" s="1"/>
  <c r="E123" i="46"/>
  <c r="E30" i="47"/>
  <c r="I30" i="47" s="1"/>
  <c r="E103" i="46"/>
  <c r="Q103" i="46" s="1"/>
  <c r="E35" i="38"/>
  <c r="E216" i="71" s="1"/>
  <c r="E132" i="70"/>
  <c r="E113" i="46"/>
  <c r="E38" i="47"/>
  <c r="I35" i="47"/>
  <c r="E215" i="71"/>
  <c r="L62" i="51"/>
  <c r="F62" i="51"/>
  <c r="G62" i="51"/>
  <c r="E62" i="51"/>
  <c r="M62" i="51"/>
  <c r="K62" i="51"/>
  <c r="M40" i="51"/>
  <c r="G142" i="70"/>
  <c r="L40" i="51"/>
  <c r="F142" i="70"/>
  <c r="I43" i="31"/>
  <c r="K43" i="32"/>
  <c r="F59" i="51"/>
  <c r="G59" i="51"/>
  <c r="E59" i="51"/>
  <c r="E196" i="38" l="1"/>
  <c r="E306" i="71" s="1"/>
  <c r="Q96" i="46"/>
  <c r="F233" i="46"/>
  <c r="E327" i="38"/>
  <c r="E326" i="38"/>
  <c r="E296" i="38"/>
  <c r="E325" i="38"/>
  <c r="E207" i="38"/>
  <c r="E311" i="71" s="1"/>
  <c r="F23" i="70"/>
  <c r="E297" i="38"/>
  <c r="G640" i="46"/>
  <c r="G651" i="46"/>
  <c r="G221" i="46"/>
  <c r="G229" i="46"/>
  <c r="F226" i="46"/>
  <c r="E353" i="38"/>
  <c r="E294" i="38"/>
  <c r="E354" i="38"/>
  <c r="L17" i="34"/>
  <c r="E322" i="38"/>
  <c r="E352" i="38"/>
  <c r="E324" i="38"/>
  <c r="E295" i="38"/>
  <c r="E210" i="38"/>
  <c r="E314" i="71" s="1"/>
  <c r="E323" i="38"/>
  <c r="E293" i="38"/>
  <c r="E198" i="38"/>
  <c r="E308" i="71" s="1"/>
  <c r="G225" i="46"/>
  <c r="G231" i="46"/>
  <c r="G643" i="46"/>
  <c r="E218" i="38"/>
  <c r="E317" i="71" s="1"/>
  <c r="N17" i="34"/>
  <c r="G232" i="46"/>
  <c r="G242" i="46"/>
  <c r="G228" i="46"/>
  <c r="G237" i="46"/>
  <c r="G226" i="46"/>
  <c r="G235" i="46"/>
  <c r="E208" i="38"/>
  <c r="E312" i="71" s="1"/>
  <c r="E219" i="38"/>
  <c r="E318" i="71" s="1"/>
  <c r="E211" i="38"/>
  <c r="E315" i="71" s="1"/>
  <c r="G493" i="46"/>
  <c r="E506" i="38"/>
  <c r="G238" i="46"/>
  <c r="G240" i="46"/>
  <c r="G239" i="46"/>
  <c r="G234" i="46"/>
  <c r="E221" i="38"/>
  <c r="E339" i="71" s="1"/>
  <c r="E220" i="38"/>
  <c r="E319" i="71" s="1"/>
  <c r="G245" i="46"/>
  <c r="G241" i="46"/>
  <c r="G223" i="46"/>
  <c r="G224" i="46"/>
  <c r="G230" i="46"/>
  <c r="F244" i="46"/>
  <c r="G649" i="46"/>
  <c r="G644" i="46"/>
  <c r="G494" i="46"/>
  <c r="G246" i="46"/>
  <c r="G236" i="46"/>
  <c r="G222" i="46"/>
  <c r="G227" i="46"/>
  <c r="G243" i="46"/>
  <c r="G233" i="46"/>
  <c r="F246" i="46"/>
  <c r="F227" i="46"/>
  <c r="G488" i="46"/>
  <c r="G641" i="46"/>
  <c r="G648" i="46"/>
  <c r="E510" i="38"/>
  <c r="G490" i="46"/>
  <c r="F236" i="46"/>
  <c r="F230" i="46"/>
  <c r="E508" i="38"/>
  <c r="G647" i="46"/>
  <c r="G652" i="46"/>
  <c r="G642" i="46"/>
  <c r="G486" i="46"/>
  <c r="G489" i="46"/>
  <c r="F235" i="46"/>
  <c r="F241" i="46"/>
  <c r="F234" i="46"/>
  <c r="F245" i="46"/>
  <c r="F243" i="46"/>
  <c r="F222" i="46"/>
  <c r="G495" i="46"/>
  <c r="G492" i="46"/>
  <c r="G487" i="46"/>
  <c r="G485" i="46"/>
  <c r="F232" i="46"/>
  <c r="F229" i="46"/>
  <c r="F224" i="46"/>
  <c r="F239" i="46"/>
  <c r="F221" i="46"/>
  <c r="F223" i="46"/>
  <c r="F231" i="46"/>
  <c r="E127" i="46"/>
  <c r="E644" i="46" s="1"/>
  <c r="G646" i="46"/>
  <c r="G645" i="46"/>
  <c r="G496" i="46"/>
  <c r="G484" i="46"/>
  <c r="F228" i="46"/>
  <c r="F240" i="46"/>
  <c r="F242" i="46"/>
  <c r="E372" i="38"/>
  <c r="F237" i="46"/>
  <c r="F225" i="46"/>
  <c r="G51" i="47"/>
  <c r="G67" i="70" s="1"/>
  <c r="E32" i="47"/>
  <c r="E47" i="47" s="1"/>
  <c r="E107" i="46"/>
  <c r="E117" i="46"/>
  <c r="E484" i="46" s="1"/>
  <c r="E390" i="38"/>
  <c r="G33" i="70"/>
  <c r="E391" i="38"/>
  <c r="G34" i="70"/>
  <c r="E430" i="38"/>
  <c r="E487" i="38"/>
  <c r="E427" i="38"/>
  <c r="E456" i="38"/>
  <c r="E488" i="38"/>
  <c r="E459" i="38"/>
  <c r="E429" i="38"/>
  <c r="E460" i="38"/>
  <c r="E458" i="38"/>
  <c r="E486" i="38"/>
  <c r="E489" i="38"/>
  <c r="E341" i="71" s="1"/>
  <c r="E428" i="38"/>
  <c r="E457" i="38"/>
  <c r="E44" i="47"/>
  <c r="E192" i="38"/>
  <c r="E305" i="71" s="1"/>
  <c r="F34" i="70"/>
  <c r="E257" i="38"/>
  <c r="F145" i="47"/>
  <c r="F32" i="70"/>
  <c r="E255" i="38"/>
  <c r="I38" i="47"/>
  <c r="E142" i="47"/>
  <c r="G10" i="60"/>
  <c r="E17" i="71" s="1"/>
  <c r="E27" i="38"/>
  <c r="E212" i="71" s="1"/>
  <c r="E48" i="47"/>
  <c r="I48" i="47" s="1"/>
  <c r="E65" i="70"/>
  <c r="E376" i="38"/>
  <c r="F650" i="46"/>
  <c r="F646" i="46"/>
  <c r="F641" i="46"/>
  <c r="F640" i="46"/>
  <c r="F642" i="46"/>
  <c r="F651" i="46"/>
  <c r="F649" i="46"/>
  <c r="F644" i="46"/>
  <c r="F652" i="46"/>
  <c r="F643" i="46"/>
  <c r="F647" i="46"/>
  <c r="F648" i="46"/>
  <c r="F645" i="46"/>
  <c r="E40" i="38"/>
  <c r="E221" i="71" s="1"/>
  <c r="F490" i="46"/>
  <c r="F495" i="46"/>
  <c r="F484" i="46"/>
  <c r="F487" i="46"/>
  <c r="F488" i="46"/>
  <c r="F493" i="46"/>
  <c r="F491" i="46"/>
  <c r="F494" i="46"/>
  <c r="E374" i="38"/>
  <c r="F485" i="46"/>
  <c r="F496" i="46"/>
  <c r="F492" i="46"/>
  <c r="F486" i="46"/>
  <c r="F489" i="46"/>
  <c r="E431" i="38"/>
  <c r="M19" i="32"/>
  <c r="G23" i="70"/>
  <c r="F33" i="70"/>
  <c r="E256" i="38"/>
  <c r="E461" i="38"/>
  <c r="M17" i="32"/>
  <c r="G32" i="70"/>
  <c r="G145" i="47"/>
  <c r="E389" i="38"/>
  <c r="F51" i="47"/>
  <c r="O43" i="32"/>
  <c r="G788" i="46" l="1"/>
  <c r="E226" i="46"/>
  <c r="Q226" i="46" s="1"/>
  <c r="Q107" i="46"/>
  <c r="G789" i="46"/>
  <c r="E494" i="46"/>
  <c r="G15" i="31"/>
  <c r="M15" i="32" s="1"/>
  <c r="G59" i="47"/>
  <c r="G60" i="47" s="1"/>
  <c r="G69" i="70" s="1"/>
  <c r="E242" i="38"/>
  <c r="E331" i="71" s="1"/>
  <c r="G46" i="31"/>
  <c r="M46" i="32" s="1"/>
  <c r="E141" i="47"/>
  <c r="E178" i="38" s="1"/>
  <c r="E295" i="71" s="1"/>
  <c r="G780" i="46"/>
  <c r="G787" i="46"/>
  <c r="G779" i="46"/>
  <c r="G781" i="46"/>
  <c r="E511" i="38"/>
  <c r="G135" i="46"/>
  <c r="E651" i="46"/>
  <c r="G783" i="46"/>
  <c r="G785" i="46"/>
  <c r="G782" i="46"/>
  <c r="F135" i="46"/>
  <c r="G248" i="46"/>
  <c r="G498" i="46"/>
  <c r="G134" i="46"/>
  <c r="G784" i="46"/>
  <c r="G654" i="46"/>
  <c r="E645" i="46"/>
  <c r="E647" i="46"/>
  <c r="F782" i="46"/>
  <c r="E26" i="38"/>
  <c r="E211" i="71" s="1"/>
  <c r="E233" i="46"/>
  <c r="Q233" i="46" s="1"/>
  <c r="E652" i="46"/>
  <c r="E650" i="46"/>
  <c r="G9" i="60"/>
  <c r="E16" i="71" s="1"/>
  <c r="F248" i="46"/>
  <c r="E223" i="46"/>
  <c r="Q223" i="46" s="1"/>
  <c r="G144" i="46"/>
  <c r="G147" i="46" s="1"/>
  <c r="G148" i="46" s="1"/>
  <c r="G169" i="70" s="1"/>
  <c r="E648" i="46"/>
  <c r="E646" i="46"/>
  <c r="E642" i="46"/>
  <c r="E64" i="70"/>
  <c r="E239" i="46"/>
  <c r="Q239" i="46" s="1"/>
  <c r="E86" i="38"/>
  <c r="E243" i="71" s="1"/>
  <c r="E235" i="46"/>
  <c r="Q235" i="46" s="1"/>
  <c r="E238" i="46"/>
  <c r="Q238" i="46" s="1"/>
  <c r="G778" i="46"/>
  <c r="E90" i="38"/>
  <c r="E247" i="71" s="1"/>
  <c r="E641" i="46"/>
  <c r="F781" i="46"/>
  <c r="I32" i="47"/>
  <c r="E224" i="46"/>
  <c r="Q224" i="46" s="1"/>
  <c r="G154" i="46"/>
  <c r="G157" i="46" s="1"/>
  <c r="G158" i="46" s="1"/>
  <c r="G170" i="70" s="1"/>
  <c r="F134" i="46"/>
  <c r="F786" i="46"/>
  <c r="G786" i="46"/>
  <c r="E489" i="46"/>
  <c r="F783" i="46"/>
  <c r="F789" i="46"/>
  <c r="E492" i="46"/>
  <c r="E240" i="46"/>
  <c r="Q240" i="46" s="1"/>
  <c r="E244" i="46"/>
  <c r="Q244" i="46" s="1"/>
  <c r="E229" i="46"/>
  <c r="Q229" i="46" s="1"/>
  <c r="E245" i="46"/>
  <c r="Q245" i="46" s="1"/>
  <c r="E649" i="46"/>
  <c r="E640" i="46"/>
  <c r="E643" i="46"/>
  <c r="E377" i="38"/>
  <c r="F784" i="46"/>
  <c r="E493" i="46"/>
  <c r="E230" i="46"/>
  <c r="Q230" i="46" s="1"/>
  <c r="E232" i="46"/>
  <c r="Q232" i="46" s="1"/>
  <c r="E241" i="46"/>
  <c r="Q241" i="46" s="1"/>
  <c r="E485" i="46"/>
  <c r="F788" i="46"/>
  <c r="F785" i="46"/>
  <c r="F787" i="46"/>
  <c r="F779" i="46"/>
  <c r="E240" i="38"/>
  <c r="E329" i="71" s="1"/>
  <c r="E491" i="46"/>
  <c r="E486" i="46"/>
  <c r="E496" i="46"/>
  <c r="E227" i="46"/>
  <c r="Q227" i="46" s="1"/>
  <c r="E228" i="46"/>
  <c r="Q228" i="46" s="1"/>
  <c r="E234" i="46"/>
  <c r="Q234" i="46" s="1"/>
  <c r="E246" i="46"/>
  <c r="Q246" i="46" s="1"/>
  <c r="E225" i="46"/>
  <c r="Q225" i="46" s="1"/>
  <c r="E222" i="46"/>
  <c r="Q222" i="46" s="1"/>
  <c r="E242" i="46"/>
  <c r="Q242" i="46" s="1"/>
  <c r="F780" i="46"/>
  <c r="E495" i="46"/>
  <c r="E487" i="46"/>
  <c r="E488" i="46"/>
  <c r="E490" i="46"/>
  <c r="E88" i="38"/>
  <c r="E245" i="71" s="1"/>
  <c r="E221" i="46"/>
  <c r="Q221" i="46" s="1"/>
  <c r="E236" i="46"/>
  <c r="Q236" i="46" s="1"/>
  <c r="E231" i="46"/>
  <c r="Q231" i="46" s="1"/>
  <c r="E238" i="38"/>
  <c r="E327" i="71" s="1"/>
  <c r="E243" i="46"/>
  <c r="Q243" i="46" s="1"/>
  <c r="E237" i="46"/>
  <c r="Q237" i="46" s="1"/>
  <c r="G35" i="70"/>
  <c r="G153" i="47"/>
  <c r="F654" i="46"/>
  <c r="F154" i="46"/>
  <c r="F157" i="46" s="1"/>
  <c r="F158" i="46" s="1"/>
  <c r="F170" i="70" s="1"/>
  <c r="K10" i="60"/>
  <c r="E4" i="71" s="1"/>
  <c r="E33" i="70"/>
  <c r="I142" i="47"/>
  <c r="E179" i="38"/>
  <c r="E296" i="71" s="1"/>
  <c r="F35" i="70"/>
  <c r="F153" i="47"/>
  <c r="F778" i="46"/>
  <c r="I47" i="47"/>
  <c r="F144" i="46"/>
  <c r="F147" i="46" s="1"/>
  <c r="F148" i="46" s="1"/>
  <c r="F169" i="70" s="1"/>
  <c r="F498" i="46"/>
  <c r="F67" i="70"/>
  <c r="F15" i="31"/>
  <c r="F46" i="31"/>
  <c r="F59" i="47"/>
  <c r="E143" i="47"/>
  <c r="I44" i="47"/>
  <c r="G11" i="60"/>
  <c r="E18" i="71" s="1"/>
  <c r="E49" i="47"/>
  <c r="I49" i="47" s="1"/>
  <c r="E28" i="38"/>
  <c r="E213" i="71" s="1"/>
  <c r="E66" i="70"/>
  <c r="K124" i="70"/>
  <c r="K49" i="71"/>
  <c r="T13" i="34"/>
  <c r="V13" i="34"/>
  <c r="X13" i="34"/>
  <c r="V12" i="34"/>
  <c r="X12" i="34"/>
  <c r="T12" i="34"/>
  <c r="K123" i="70"/>
  <c r="K48" i="71"/>
  <c r="K125" i="70"/>
  <c r="K50" i="71"/>
  <c r="E154" i="46" l="1"/>
  <c r="E157" i="46" s="1"/>
  <c r="E158" i="46" s="1"/>
  <c r="E144" i="46"/>
  <c r="E135" i="46"/>
  <c r="Q135" i="46" s="1"/>
  <c r="E134" i="46"/>
  <c r="F137" i="46"/>
  <c r="F138" i="46" s="1"/>
  <c r="F168" i="70" s="1"/>
  <c r="G67" i="47"/>
  <c r="G68" i="47" s="1"/>
  <c r="G74" i="70" s="1"/>
  <c r="G137" i="46"/>
  <c r="G138" i="46" s="1"/>
  <c r="G168" i="70" s="1"/>
  <c r="G16" i="31"/>
  <c r="M16" i="32" s="1"/>
  <c r="E32" i="70"/>
  <c r="G47" i="31"/>
  <c r="M47" i="32" s="1"/>
  <c r="E145" i="47"/>
  <c r="E35" i="70" s="1"/>
  <c r="I141" i="47"/>
  <c r="K9" i="60"/>
  <c r="E3" i="71" s="1"/>
  <c r="E781" i="46"/>
  <c r="Q13" i="63" s="1"/>
  <c r="G791" i="46"/>
  <c r="E783" i="46"/>
  <c r="Q15" i="63" s="1"/>
  <c r="E789" i="46"/>
  <c r="Q21" i="63" s="1"/>
  <c r="E779" i="46"/>
  <c r="Q11" i="63" s="1"/>
  <c r="E782" i="46"/>
  <c r="Q14" i="63" s="1"/>
  <c r="E785" i="46"/>
  <c r="Q17" i="63" s="1"/>
  <c r="E784" i="46"/>
  <c r="Q16" i="63" s="1"/>
  <c r="E787" i="46"/>
  <c r="Q19" i="63" s="1"/>
  <c r="E786" i="46"/>
  <c r="Q18" i="63" s="1"/>
  <c r="E654" i="46"/>
  <c r="W26" i="63" s="1"/>
  <c r="E498" i="46"/>
  <c r="W25" i="63" s="1"/>
  <c r="E91" i="38"/>
  <c r="E248" i="71" s="1"/>
  <c r="E248" i="46"/>
  <c r="E788" i="46"/>
  <c r="Q20" i="63" s="1"/>
  <c r="E778" i="46"/>
  <c r="Q10" i="63" s="1"/>
  <c r="AF17" i="34"/>
  <c r="E780" i="46"/>
  <c r="Q12" i="63" s="1"/>
  <c r="F791" i="46"/>
  <c r="E180" i="38"/>
  <c r="E297" i="71" s="1"/>
  <c r="I143" i="47"/>
  <c r="E34" i="70"/>
  <c r="K11" i="60"/>
  <c r="E5" i="71" s="1"/>
  <c r="F60" i="47"/>
  <c r="F69" i="70" s="1"/>
  <c r="F67" i="47"/>
  <c r="E500" i="38"/>
  <c r="G161" i="47"/>
  <c r="G154" i="47"/>
  <c r="L46" i="32"/>
  <c r="F47" i="31"/>
  <c r="L47" i="32" s="1"/>
  <c r="F16" i="31"/>
  <c r="L15" i="32"/>
  <c r="E51" i="47"/>
  <c r="F161" i="47"/>
  <c r="F154" i="47"/>
  <c r="E366" i="38"/>
  <c r="K128" i="70"/>
  <c r="K53" i="71"/>
  <c r="K126" i="70"/>
  <c r="K51" i="71"/>
  <c r="V15" i="34"/>
  <c r="X15" i="34"/>
  <c r="T15" i="34"/>
  <c r="T14" i="34"/>
  <c r="X14" i="34"/>
  <c r="V14" i="34"/>
  <c r="Z17" i="34"/>
  <c r="X11" i="34"/>
  <c r="T11" i="34"/>
  <c r="X16" i="34"/>
  <c r="T16" i="34"/>
  <c r="V16" i="34"/>
  <c r="K52" i="71"/>
  <c r="K127" i="70"/>
  <c r="V11" i="34"/>
  <c r="S26" i="63" l="1"/>
  <c r="L22" i="34"/>
  <c r="E60" i="71" s="1"/>
  <c r="Q154" i="46"/>
  <c r="W24" i="63"/>
  <c r="Q248" i="46"/>
  <c r="E147" i="46"/>
  <c r="Q144" i="46"/>
  <c r="E137" i="46"/>
  <c r="Q134" i="46"/>
  <c r="F160" i="46"/>
  <c r="F59" i="31" s="1"/>
  <c r="L59" i="32" s="1"/>
  <c r="G73" i="70"/>
  <c r="E392" i="38"/>
  <c r="G160" i="46"/>
  <c r="G59" i="31" s="1"/>
  <c r="M59" i="32" s="1"/>
  <c r="M981" i="46" s="1"/>
  <c r="M983" i="46" s="1"/>
  <c r="K12" i="60"/>
  <c r="E6" i="71" s="1"/>
  <c r="G21" i="70"/>
  <c r="I145" i="47"/>
  <c r="E170" i="70"/>
  <c r="E791" i="46"/>
  <c r="E67" i="70"/>
  <c r="E15" i="31"/>
  <c r="I51" i="47"/>
  <c r="E46" i="31"/>
  <c r="G12" i="60"/>
  <c r="E19" i="71" s="1"/>
  <c r="E59" i="47"/>
  <c r="L16" i="32"/>
  <c r="E258" i="38"/>
  <c r="F21" i="70"/>
  <c r="G37" i="70"/>
  <c r="E501" i="38"/>
  <c r="G41" i="70"/>
  <c r="G162" i="47"/>
  <c r="G22" i="70"/>
  <c r="E517" i="38"/>
  <c r="F73" i="70"/>
  <c r="F68" i="47"/>
  <c r="F74" i="70" s="1"/>
  <c r="E367" i="38"/>
  <c r="F37" i="70"/>
  <c r="F22" i="70"/>
  <c r="F41" i="70"/>
  <c r="E383" i="38"/>
  <c r="F162" i="47"/>
  <c r="X17" i="34"/>
  <c r="V17" i="34"/>
  <c r="T17" i="34"/>
  <c r="E138" i="46" l="1"/>
  <c r="Q137" i="46"/>
  <c r="E148" i="46"/>
  <c r="Q147" i="46"/>
  <c r="L981" i="46"/>
  <c r="L983" i="46" s="1"/>
  <c r="L1022" i="46" s="1"/>
  <c r="L1026" i="46" s="1"/>
  <c r="L57" i="31" s="1"/>
  <c r="L143" i="31" s="1"/>
  <c r="E47" i="31"/>
  <c r="I46" i="31"/>
  <c r="D46" i="32"/>
  <c r="K46" i="32"/>
  <c r="E384" i="38"/>
  <c r="F42" i="70"/>
  <c r="K336" i="38"/>
  <c r="M1005" i="46"/>
  <c r="M1010" i="46" s="1"/>
  <c r="M55" i="31" s="1"/>
  <c r="M999" i="46"/>
  <c r="M969" i="46"/>
  <c r="M1030" i="46"/>
  <c r="M1034" i="46" s="1"/>
  <c r="M58" i="31" s="1"/>
  <c r="M144" i="31" s="1"/>
  <c r="M1022" i="46"/>
  <c r="M1026" i="46" s="1"/>
  <c r="M57" i="31" s="1"/>
  <c r="M143" i="31" s="1"/>
  <c r="K470" i="38"/>
  <c r="M49" i="31"/>
  <c r="M18" i="31" s="1"/>
  <c r="M1014" i="46"/>
  <c r="M1018" i="46" s="1"/>
  <c r="M56" i="31" s="1"/>
  <c r="M142" i="31" s="1"/>
  <c r="G42" i="70"/>
  <c r="E518" i="38"/>
  <c r="E67" i="47"/>
  <c r="E80" i="38"/>
  <c r="E240" i="71" s="1"/>
  <c r="E60" i="47"/>
  <c r="I59" i="47"/>
  <c r="I15" i="31"/>
  <c r="K15" i="32"/>
  <c r="E16" i="31"/>
  <c r="S25" i="63" l="1"/>
  <c r="L21" i="34"/>
  <c r="E59" i="71" s="1"/>
  <c r="S24" i="63"/>
  <c r="L20" i="34"/>
  <c r="E58" i="71" s="1"/>
  <c r="E160" i="46"/>
  <c r="E59" i="31" s="1"/>
  <c r="I59" i="31" s="1"/>
  <c r="Q148" i="46"/>
  <c r="E169" i="70"/>
  <c r="Q138" i="46"/>
  <c r="E168" i="70"/>
  <c r="K440" i="38"/>
  <c r="K306" i="38"/>
  <c r="L999" i="46"/>
  <c r="L1001" i="46" s="1"/>
  <c r="L48" i="31" s="1"/>
  <c r="L21" i="51" s="1"/>
  <c r="L22" i="51" s="1"/>
  <c r="L1014" i="46"/>
  <c r="L1018" i="46" s="1"/>
  <c r="L56" i="31" s="1"/>
  <c r="L142" i="31" s="1"/>
  <c r="L302" i="46" s="1"/>
  <c r="L360" i="46" s="1"/>
  <c r="L388" i="46" s="1"/>
  <c r="L416" i="46" s="1"/>
  <c r="L49" i="31"/>
  <c r="L18" i="31" s="1"/>
  <c r="K356" i="38" s="1"/>
  <c r="L969" i="46"/>
  <c r="L1005" i="46"/>
  <c r="L1010" i="46" s="1"/>
  <c r="L55" i="31" s="1"/>
  <c r="L120" i="31" s="1"/>
  <c r="L909" i="46" s="1"/>
  <c r="L1030" i="46"/>
  <c r="L1034" i="46" s="1"/>
  <c r="L58" i="31" s="1"/>
  <c r="L144" i="31" s="1"/>
  <c r="L527" i="46" s="1"/>
  <c r="I16" i="31"/>
  <c r="E181" i="38"/>
  <c r="E298" i="71" s="1"/>
  <c r="E21" i="70"/>
  <c r="K16" i="32"/>
  <c r="O16" i="32" s="1"/>
  <c r="F78" i="1"/>
  <c r="F105" i="1"/>
  <c r="G15" i="60"/>
  <c r="E21" i="71" s="1"/>
  <c r="E69" i="70"/>
  <c r="E81" i="38"/>
  <c r="E241" i="71" s="1"/>
  <c r="I60" i="47"/>
  <c r="M1001" i="46"/>
  <c r="K307" i="38"/>
  <c r="K441" i="38"/>
  <c r="O46" i="32"/>
  <c r="J15" i="32"/>
  <c r="O15" i="32"/>
  <c r="M150" i="46"/>
  <c r="M153" i="46" s="1"/>
  <c r="M745" i="46"/>
  <c r="M747" i="46" s="1"/>
  <c r="M683" i="46"/>
  <c r="M119" i="31"/>
  <c r="M908" i="46" s="1"/>
  <c r="M120" i="31"/>
  <c r="M909" i="46" s="1"/>
  <c r="M121" i="31"/>
  <c r="M911" i="46" s="1"/>
  <c r="M122" i="31"/>
  <c r="M912" i="46" s="1"/>
  <c r="M141" i="31"/>
  <c r="L150" i="46"/>
  <c r="L153" i="46" s="1"/>
  <c r="L745" i="46"/>
  <c r="L747" i="46" s="1"/>
  <c r="L683" i="46"/>
  <c r="E73" i="70"/>
  <c r="I67" i="47"/>
  <c r="G20" i="60"/>
  <c r="E24" i="71" s="1"/>
  <c r="E97" i="38"/>
  <c r="E251" i="71" s="1"/>
  <c r="F59" i="1"/>
  <c r="E68" i="47"/>
  <c r="M302" i="46"/>
  <c r="M360" i="46" s="1"/>
  <c r="M388" i="46" s="1"/>
  <c r="M416" i="46" s="1"/>
  <c r="M131" i="46"/>
  <c r="M527" i="46"/>
  <c r="M140" i="46"/>
  <c r="M143" i="46" s="1"/>
  <c r="M24" i="70"/>
  <c r="K490" i="38"/>
  <c r="K277" i="38"/>
  <c r="K411" i="38"/>
  <c r="F58" i="1"/>
  <c r="I47" i="31"/>
  <c r="E29" i="38"/>
  <c r="E214" i="71" s="1"/>
  <c r="F87" i="1"/>
  <c r="K47" i="32"/>
  <c r="O47" i="32" s="1"/>
  <c r="F64" i="1" l="1"/>
  <c r="G21" i="60"/>
  <c r="E25" i="71" s="1"/>
  <c r="K59" i="32"/>
  <c r="K981" i="46" s="1"/>
  <c r="K983" i="46" s="1"/>
  <c r="K70" i="38" s="1"/>
  <c r="K236" i="71" s="1"/>
  <c r="L970" i="46"/>
  <c r="L973" i="46" s="1"/>
  <c r="L50" i="31" s="1"/>
  <c r="L24" i="70"/>
  <c r="L119" i="31"/>
  <c r="L908" i="46" s="1"/>
  <c r="L910" i="46" s="1"/>
  <c r="L141" i="31"/>
  <c r="L130" i="46" s="1"/>
  <c r="L122" i="31"/>
  <c r="L912" i="46" s="1"/>
  <c r="L121" i="31"/>
  <c r="L911" i="46" s="1"/>
  <c r="M910" i="46"/>
  <c r="E5" i="34"/>
  <c r="E5" i="65"/>
  <c r="I5" i="63"/>
  <c r="D65" i="1"/>
  <c r="L902" i="46"/>
  <c r="L899" i="46"/>
  <c r="L903" i="46"/>
  <c r="L900" i="46"/>
  <c r="L901" i="46"/>
  <c r="L898" i="46"/>
  <c r="M289" i="46"/>
  <c r="I4" i="63"/>
  <c r="E4" i="34"/>
  <c r="I4" i="64"/>
  <c r="E4" i="66"/>
  <c r="E4" i="62"/>
  <c r="E4" i="65"/>
  <c r="K507" i="38"/>
  <c r="E98" i="38"/>
  <c r="E252" i="71" s="1"/>
  <c r="I68" i="47"/>
  <c r="E74" i="70"/>
  <c r="K375" i="38"/>
  <c r="M715" i="46"/>
  <c r="M730" i="46" s="1"/>
  <c r="M685" i="46"/>
  <c r="M559" i="46"/>
  <c r="M574" i="46" s="1"/>
  <c r="M589" i="46" s="1"/>
  <c r="M591" i="46" s="1"/>
  <c r="M529" i="46"/>
  <c r="G5" i="65"/>
  <c r="M5" i="63"/>
  <c r="G5" i="34"/>
  <c r="M901" i="46"/>
  <c r="M899" i="46"/>
  <c r="M902" i="46"/>
  <c r="M900" i="46"/>
  <c r="M903" i="46"/>
  <c r="M898" i="46"/>
  <c r="K308" i="38"/>
  <c r="K442" i="38"/>
  <c r="M970" i="46"/>
  <c r="M48" i="31"/>
  <c r="M21" i="51" s="1"/>
  <c r="M22" i="51" s="1"/>
  <c r="E26" i="70"/>
  <c r="G26" i="70"/>
  <c r="F26" i="70"/>
  <c r="L715" i="46"/>
  <c r="L730" i="46" s="1"/>
  <c r="L685" i="46"/>
  <c r="L559" i="46"/>
  <c r="L574" i="46" s="1"/>
  <c r="L589" i="46" s="1"/>
  <c r="L591" i="46" s="1"/>
  <c r="L529" i="46"/>
  <c r="K509" i="38"/>
  <c r="K49" i="31" l="1"/>
  <c r="K61" i="1" s="1"/>
  <c r="K969" i="46"/>
  <c r="K46" i="38" s="1"/>
  <c r="K1030" i="46"/>
  <c r="K1034" i="46" s="1"/>
  <c r="K58" i="31" s="1"/>
  <c r="O58" i="31" s="1"/>
  <c r="K1014" i="46"/>
  <c r="K1018" i="46" s="1"/>
  <c r="K56" i="31" s="1"/>
  <c r="O56" i="31" s="1"/>
  <c r="K1022" i="46"/>
  <c r="K1026" i="46" s="1"/>
  <c r="K57" i="31" s="1"/>
  <c r="O57" i="31" s="1"/>
  <c r="K1005" i="46"/>
  <c r="K1010" i="46" s="1"/>
  <c r="K55" i="31" s="1"/>
  <c r="K119" i="31" s="1"/>
  <c r="K58" i="38"/>
  <c r="K163" i="70" s="1"/>
  <c r="K999" i="46"/>
  <c r="K59" i="38" s="1"/>
  <c r="L164" i="70" s="1"/>
  <c r="O59" i="32"/>
  <c r="L289" i="46"/>
  <c r="L347" i="46" s="1"/>
  <c r="L375" i="46" s="1"/>
  <c r="L403" i="46" s="1"/>
  <c r="L418" i="46" s="1"/>
  <c r="L24" i="51"/>
  <c r="L25" i="51" s="1"/>
  <c r="M347" i="46"/>
  <c r="M375" i="46" s="1"/>
  <c r="M403" i="46" s="1"/>
  <c r="M418" i="46" s="1"/>
  <c r="M304" i="46"/>
  <c r="M891" i="46"/>
  <c r="M890" i="46"/>
  <c r="M889" i="46"/>
  <c r="M893" i="46"/>
  <c r="M888" i="46"/>
  <c r="M892" i="46"/>
  <c r="K278" i="38"/>
  <c r="K412" i="38"/>
  <c r="M973" i="46"/>
  <c r="L905" i="46"/>
  <c r="L56" i="47" s="1"/>
  <c r="L150" i="47" s="1"/>
  <c r="K365" i="38" s="1"/>
  <c r="M905" i="46"/>
  <c r="M56" i="47" s="1"/>
  <c r="M150" i="47" s="1"/>
  <c r="K499" i="38" s="1"/>
  <c r="L891" i="46"/>
  <c r="L888" i="46"/>
  <c r="L892" i="46"/>
  <c r="L890" i="46"/>
  <c r="L889" i="46"/>
  <c r="L893" i="46"/>
  <c r="O49" i="31" l="1"/>
  <c r="K120" i="31"/>
  <c r="O120" i="31" s="1"/>
  <c r="K164" i="70"/>
  <c r="K231" i="71"/>
  <c r="M164" i="70"/>
  <c r="K230" i="71"/>
  <c r="K121" i="31"/>
  <c r="K911" i="46" s="1"/>
  <c r="M163" i="70"/>
  <c r="L163" i="70"/>
  <c r="K122" i="31"/>
  <c r="K912" i="46" s="1"/>
  <c r="O55" i="31"/>
  <c r="L304" i="46"/>
  <c r="M895" i="46"/>
  <c r="M55" i="47" s="1"/>
  <c r="M149" i="47" s="1"/>
  <c r="K498" i="38" s="1"/>
  <c r="L895" i="46"/>
  <c r="L55" i="47" s="1"/>
  <c r="L149" i="47" s="1"/>
  <c r="K364" i="38" s="1"/>
  <c r="O119" i="31"/>
  <c r="K908" i="46"/>
  <c r="K141" i="31"/>
  <c r="M24" i="51"/>
  <c r="M25" i="51" s="1"/>
  <c r="M50" i="31"/>
  <c r="K413" i="38"/>
  <c r="K279" i="38"/>
  <c r="S5" i="65"/>
  <c r="AA5" i="34"/>
  <c r="AX5" i="63"/>
  <c r="M879" i="46"/>
  <c r="M423" i="46"/>
  <c r="M424" i="46" s="1"/>
  <c r="M882" i="46"/>
  <c r="M883" i="46"/>
  <c r="M422" i="46"/>
  <c r="M880" i="46"/>
  <c r="M878" i="46"/>
  <c r="M881" i="46"/>
  <c r="M419" i="46"/>
  <c r="L882" i="46"/>
  <c r="L878" i="46"/>
  <c r="L881" i="46"/>
  <c r="L422" i="46"/>
  <c r="L879" i="46"/>
  <c r="L883" i="46"/>
  <c r="L423" i="46"/>
  <c r="L424" i="46" s="1"/>
  <c r="L880" i="46"/>
  <c r="L419" i="46"/>
  <c r="K155" i="70"/>
  <c r="M155" i="70"/>
  <c r="K224" i="71"/>
  <c r="L155" i="70"/>
  <c r="K142" i="31" l="1"/>
  <c r="K302" i="46" s="1"/>
  <c r="K360" i="46" s="1"/>
  <c r="K388" i="46" s="1"/>
  <c r="K416" i="46" s="1"/>
  <c r="K909" i="46"/>
  <c r="K910" i="46" s="1"/>
  <c r="O121" i="31"/>
  <c r="K143" i="31"/>
  <c r="K150" i="46" s="1"/>
  <c r="K153" i="46" s="1"/>
  <c r="K144" i="31"/>
  <c r="O144" i="31" s="1"/>
  <c r="O122" i="31"/>
  <c r="L885" i="46"/>
  <c r="L54" i="47" s="1"/>
  <c r="AX26" i="63"/>
  <c r="O141" i="31"/>
  <c r="K130" i="46"/>
  <c r="K289" i="46"/>
  <c r="AX25" i="63"/>
  <c r="M885" i="46"/>
  <c r="M54" i="47" s="1"/>
  <c r="O142" i="31" l="1"/>
  <c r="O143" i="31"/>
  <c r="K683" i="46"/>
  <c r="K715" i="46" s="1"/>
  <c r="K730" i="46" s="1"/>
  <c r="K745" i="46"/>
  <c r="K747" i="46" s="1"/>
  <c r="K903" i="46" s="1"/>
  <c r="K140" i="46"/>
  <c r="K143" i="46" s="1"/>
  <c r="K527" i="46"/>
  <c r="K529" i="46" s="1"/>
  <c r="BB25" i="63" s="1"/>
  <c r="K304" i="46"/>
  <c r="K347" i="46"/>
  <c r="K375" i="46" s="1"/>
  <c r="M58" i="47"/>
  <c r="M148" i="47"/>
  <c r="K497" i="38" s="1"/>
  <c r="AX24" i="63"/>
  <c r="K89" i="38"/>
  <c r="K246" i="71" s="1"/>
  <c r="L58" i="47"/>
  <c r="L148" i="47"/>
  <c r="K363" i="38" s="1"/>
  <c r="K900" i="46" l="1"/>
  <c r="K899" i="46"/>
  <c r="K685" i="46"/>
  <c r="BB26" i="63" s="1"/>
  <c r="K902" i="46"/>
  <c r="K898" i="46"/>
  <c r="K901" i="46"/>
  <c r="K87" i="38"/>
  <c r="K244" i="71" s="1"/>
  <c r="K559" i="46"/>
  <c r="K574" i="46" s="1"/>
  <c r="K589" i="46" s="1"/>
  <c r="K591" i="46" s="1"/>
  <c r="K890" i="46" s="1"/>
  <c r="BB24" i="63"/>
  <c r="L152" i="47"/>
  <c r="L72" i="70"/>
  <c r="L68" i="70"/>
  <c r="M72" i="70"/>
  <c r="M68" i="70"/>
  <c r="M152" i="47"/>
  <c r="K403" i="46"/>
  <c r="K892" i="46" l="1"/>
  <c r="K905" i="46"/>
  <c r="K56" i="47" s="1"/>
  <c r="K79" i="38" s="1"/>
  <c r="K239" i="71" s="1"/>
  <c r="K889" i="46"/>
  <c r="K893" i="46"/>
  <c r="K891" i="46"/>
  <c r="K888" i="46"/>
  <c r="K381" i="38"/>
  <c r="L40" i="70"/>
  <c r="L36" i="70"/>
  <c r="K515" i="38"/>
  <c r="M40" i="70"/>
  <c r="M36" i="70"/>
  <c r="O56" i="47" l="1"/>
  <c r="K895" i="46"/>
  <c r="K55" i="47" s="1"/>
  <c r="K78" i="38" s="1"/>
  <c r="K238" i="71" s="1"/>
  <c r="O55" i="47" l="1"/>
  <c r="K797" i="46"/>
  <c r="K132" i="31" s="1"/>
  <c r="K798" i="46"/>
  <c r="K181" i="31" s="1"/>
  <c r="L798" i="46"/>
  <c r="L133" i="31" s="1"/>
  <c r="L803" i="46"/>
  <c r="L138" i="31" s="1"/>
  <c r="M795" i="46"/>
  <c r="M807" i="46" s="1"/>
  <c r="M824" i="46" s="1"/>
  <c r="K864" i="46"/>
  <c r="K873" i="46" s="1"/>
  <c r="L230" i="70" l="1"/>
  <c r="AX14" i="63"/>
  <c r="K105" i="71" s="1"/>
  <c r="AX13" i="63"/>
  <c r="K104" i="71" s="1"/>
  <c r="K224" i="70"/>
  <c r="M222" i="70"/>
  <c r="L853" i="46"/>
  <c r="L807" i="46"/>
  <c r="L874" i="46" s="1"/>
  <c r="L225" i="70"/>
  <c r="L848" i="46"/>
  <c r="K225" i="70"/>
  <c r="K807" i="46"/>
  <c r="K874" i="46" s="1"/>
  <c r="M845" i="46"/>
  <c r="M857" i="46" s="1"/>
  <c r="K166" i="31"/>
  <c r="O166" i="31" s="1"/>
  <c r="O132" i="31"/>
  <c r="K180" i="31"/>
  <c r="K351" i="46" s="1"/>
  <c r="K379" i="46" s="1"/>
  <c r="K133" i="31"/>
  <c r="K167" i="31" s="1"/>
  <c r="BB14" i="63" s="1"/>
  <c r="L131" i="46"/>
  <c r="L133" i="46" s="1"/>
  <c r="K371" i="38" s="1"/>
  <c r="L167" i="31"/>
  <c r="L140" i="46"/>
  <c r="L143" i="46" s="1"/>
  <c r="K373" i="38" s="1"/>
  <c r="O138" i="31"/>
  <c r="L172" i="31"/>
  <c r="O172" i="31" s="1"/>
  <c r="K324" i="46"/>
  <c r="K831" i="46" s="1"/>
  <c r="O181" i="31"/>
  <c r="K352" i="46"/>
  <c r="K380" i="46" s="1"/>
  <c r="K408" i="46" s="1"/>
  <c r="M130" i="31"/>
  <c r="BF14" i="63"/>
  <c r="M874" i="46"/>
  <c r="L857" i="46" l="1"/>
  <c r="BB13" i="63"/>
  <c r="O167" i="31"/>
  <c r="K131" i="46"/>
  <c r="K133" i="46" s="1"/>
  <c r="L824" i="46"/>
  <c r="K814" i="46"/>
  <c r="K848" i="46" s="1"/>
  <c r="O133" i="31"/>
  <c r="K323" i="46"/>
  <c r="K830" i="46" s="1"/>
  <c r="K840" i="46" s="1"/>
  <c r="K841" i="46" s="1"/>
  <c r="K193" i="31" s="1"/>
  <c r="O180" i="31"/>
  <c r="K407" i="46"/>
  <c r="K418" i="46" s="1"/>
  <c r="K813" i="46"/>
  <c r="M130" i="46"/>
  <c r="M133" i="46" s="1"/>
  <c r="K505" i="38" s="1"/>
  <c r="O130" i="31"/>
  <c r="M164" i="31"/>
  <c r="O164" i="31" s="1"/>
  <c r="K389" i="46"/>
  <c r="K968" i="46" l="1"/>
  <c r="K45" i="38" s="1"/>
  <c r="K154" i="70" s="1"/>
  <c r="K997" i="46"/>
  <c r="K214" i="31"/>
  <c r="O214" i="31" s="1"/>
  <c r="K823" i="46"/>
  <c r="K824" i="46" s="1"/>
  <c r="AZ14" i="63"/>
  <c r="K85" i="38"/>
  <c r="K242" i="71" s="1"/>
  <c r="O193" i="31"/>
  <c r="K847" i="46"/>
  <c r="K857" i="46" s="1"/>
  <c r="K213" i="31"/>
  <c r="O213" i="31" s="1"/>
  <c r="AZ13" i="63"/>
  <c r="K422" i="46"/>
  <c r="BB33" i="63" s="1"/>
  <c r="K419" i="46"/>
  <c r="K883" i="46"/>
  <c r="K878" i="46"/>
  <c r="K879" i="46"/>
  <c r="K880" i="46"/>
  <c r="K881" i="46"/>
  <c r="K882" i="46"/>
  <c r="K421" i="46"/>
  <c r="K423" i="46" s="1"/>
  <c r="BB34" i="63" s="1"/>
  <c r="M154" i="70" l="1"/>
  <c r="L154" i="70"/>
  <c r="K223" i="71"/>
  <c r="K1001" i="46"/>
  <c r="K57" i="38"/>
  <c r="K424" i="46"/>
  <c r="BB35" i="63" s="1"/>
  <c r="K885" i="46"/>
  <c r="K54" i="47" s="1"/>
  <c r="K162" i="70" l="1"/>
  <c r="M162" i="70"/>
  <c r="K229" i="71"/>
  <c r="L162" i="70"/>
  <c r="K60" i="38"/>
  <c r="K48" i="31"/>
  <c r="K970" i="46"/>
  <c r="O54" i="47"/>
  <c r="K58" i="47"/>
  <c r="K77" i="38"/>
  <c r="K237" i="71" s="1"/>
  <c r="K47" i="38" l="1"/>
  <c r="K973" i="46"/>
  <c r="O48" i="31"/>
  <c r="K21" i="51"/>
  <c r="K22" i="51" s="1"/>
  <c r="K60" i="1"/>
  <c r="K165" i="70"/>
  <c r="K232" i="71"/>
  <c r="M165" i="70"/>
  <c r="L165" i="70"/>
  <c r="S19" i="60"/>
  <c r="K23" i="71" s="1"/>
  <c r="O58" i="47"/>
  <c r="K68" i="70"/>
  <c r="K72" i="70"/>
  <c r="S14" i="60"/>
  <c r="K20" i="71" s="1"/>
  <c r="K95" i="38"/>
  <c r="K249" i="71" s="1"/>
  <c r="I23" i="51" l="1"/>
  <c r="N22" i="51"/>
  <c r="K24" i="51"/>
  <c r="K25" i="51" s="1"/>
  <c r="K50" i="31"/>
  <c r="K48" i="38"/>
  <c r="Y5" i="34"/>
  <c r="R5" i="65"/>
  <c r="AT5" i="63"/>
  <c r="K225" i="71"/>
  <c r="M156" i="70"/>
  <c r="L156" i="70"/>
  <c r="K156" i="70"/>
  <c r="O50" i="31" l="1"/>
  <c r="K62" i="1"/>
  <c r="I26" i="51"/>
  <c r="N25" i="51"/>
  <c r="M23" i="51"/>
  <c r="M31" i="51" s="1"/>
  <c r="L23" i="51"/>
  <c r="L31" i="51" s="1"/>
  <c r="K23" i="51"/>
  <c r="K31" i="51" s="1"/>
  <c r="L157" i="70"/>
  <c r="K157" i="70"/>
  <c r="M157" i="70"/>
  <c r="K226" i="71"/>
  <c r="N31" i="51" l="1"/>
  <c r="M26" i="51"/>
  <c r="M32" i="51" s="1"/>
  <c r="K26" i="51"/>
  <c r="K32" i="51" s="1"/>
  <c r="L26" i="51"/>
  <c r="L32" i="51" s="1"/>
  <c r="AC5" i="34"/>
  <c r="T5" i="65"/>
  <c r="BB5" i="63"/>
  <c r="M33" i="51" l="1"/>
  <c r="M47" i="51" s="1"/>
  <c r="L33" i="51"/>
  <c r="L47" i="51" s="1"/>
  <c r="N32" i="51"/>
  <c r="K33" i="51"/>
  <c r="L34" i="51" l="1"/>
  <c r="M34" i="51"/>
  <c r="N33" i="51"/>
  <c r="K47" i="51"/>
  <c r="L55" i="51"/>
  <c r="L56" i="51"/>
  <c r="K34" i="51"/>
  <c r="M55" i="51"/>
  <c r="M56" i="51"/>
  <c r="K55" i="51" l="1"/>
  <c r="K56" i="51"/>
  <c r="N34" i="51"/>
  <c r="K35" i="51" s="1"/>
  <c r="K36" i="51" s="1"/>
  <c r="K38" i="51" l="1"/>
  <c r="M45" i="51"/>
  <c r="M54" i="51" s="1"/>
  <c r="M46" i="51"/>
  <c r="M53" i="51" s="1"/>
  <c r="K45" i="51"/>
  <c r="K44" i="51"/>
  <c r="L45" i="51"/>
  <c r="L54" i="51" s="1"/>
  <c r="L46" i="51"/>
  <c r="L53" i="51" s="1"/>
  <c r="M44" i="51"/>
  <c r="L44" i="51"/>
  <c r="K46" i="51"/>
  <c r="L35" i="51"/>
  <c r="L36" i="51" s="1"/>
  <c r="L38" i="51" s="1"/>
  <c r="M35" i="51"/>
  <c r="M36" i="51" s="1"/>
  <c r="M38" i="51" s="1"/>
  <c r="I69" i="51"/>
  <c r="J69" i="51"/>
  <c r="J68" i="51"/>
  <c r="I68" i="51"/>
  <c r="K69" i="51" l="1"/>
  <c r="K68" i="51"/>
  <c r="L90" i="46"/>
  <c r="L88" i="46"/>
  <c r="L140" i="70"/>
  <c r="L60" i="51"/>
  <c r="M140" i="70"/>
  <c r="M60" i="51"/>
  <c r="N46" i="51"/>
  <c r="K53" i="51"/>
  <c r="K55" i="71" s="1"/>
  <c r="L61" i="51"/>
  <c r="L141" i="70"/>
  <c r="M61" i="51"/>
  <c r="M141" i="70"/>
  <c r="L52" i="51"/>
  <c r="L48" i="51"/>
  <c r="K52" i="51"/>
  <c r="K54" i="71" s="1"/>
  <c r="K48" i="51"/>
  <c r="N44" i="51"/>
  <c r="N36" i="51"/>
  <c r="M88" i="46"/>
  <c r="M90" i="46"/>
  <c r="M48" i="51"/>
  <c r="M52" i="51"/>
  <c r="N45" i="51"/>
  <c r="K54" i="51"/>
  <c r="K56" i="71" s="1"/>
  <c r="K90" i="46"/>
  <c r="N38" i="51"/>
  <c r="K39" i="51" s="1"/>
  <c r="K57" i="71" s="1"/>
  <c r="K88" i="46"/>
  <c r="AD11" i="34" s="1"/>
  <c r="K142" i="70" l="1"/>
  <c r="K43" i="31"/>
  <c r="O43" i="31" s="1"/>
  <c r="J67" i="51"/>
  <c r="K61" i="51"/>
  <c r="I67" i="51"/>
  <c r="K141" i="70"/>
  <c r="M112" i="46"/>
  <c r="M135" i="70"/>
  <c r="M102" i="46"/>
  <c r="M41" i="47"/>
  <c r="M122" i="46"/>
  <c r="M94" i="46"/>
  <c r="K401" i="38"/>
  <c r="I66" i="51"/>
  <c r="K140" i="70"/>
  <c r="K60" i="51"/>
  <c r="J66" i="51"/>
  <c r="K29" i="47"/>
  <c r="K120" i="46"/>
  <c r="K92" i="46"/>
  <c r="K131" i="70"/>
  <c r="K110" i="46"/>
  <c r="K186" i="38"/>
  <c r="K299" i="71" s="1"/>
  <c r="K100" i="46"/>
  <c r="K34" i="38"/>
  <c r="M100" i="46"/>
  <c r="M131" i="70"/>
  <c r="M120" i="46"/>
  <c r="M29" i="47"/>
  <c r="M110" i="46"/>
  <c r="M92" i="46"/>
  <c r="K397" i="38"/>
  <c r="I65" i="51"/>
  <c r="J65" i="51"/>
  <c r="K139" i="70"/>
  <c r="K59" i="51"/>
  <c r="M39" i="51"/>
  <c r="M142" i="70" s="1"/>
  <c r="L39" i="51"/>
  <c r="L142" i="70" s="1"/>
  <c r="M59" i="51"/>
  <c r="M139" i="70"/>
  <c r="L92" i="46"/>
  <c r="K263" i="38"/>
  <c r="L110" i="46"/>
  <c r="L131" i="70"/>
  <c r="L100" i="46"/>
  <c r="L29" i="47"/>
  <c r="L120" i="46"/>
  <c r="K41" i="47"/>
  <c r="K112" i="46"/>
  <c r="K135" i="70"/>
  <c r="K94" i="46"/>
  <c r="AD13" i="34"/>
  <c r="K102" i="46"/>
  <c r="K190" i="38"/>
  <c r="K303" i="71" s="1"/>
  <c r="K122" i="46"/>
  <c r="K38" i="38"/>
  <c r="K219" i="71" s="1"/>
  <c r="L139" i="70"/>
  <c r="L59" i="51"/>
  <c r="L41" i="47"/>
  <c r="K267" i="38"/>
  <c r="L112" i="46"/>
  <c r="L135" i="70"/>
  <c r="L102" i="46"/>
  <c r="L94" i="46"/>
  <c r="L122" i="46"/>
  <c r="K67" i="51" l="1"/>
  <c r="K66" i="51"/>
  <c r="K105" i="46"/>
  <c r="K136" i="70"/>
  <c r="K125" i="46"/>
  <c r="AD16" i="34"/>
  <c r="K42" i="47"/>
  <c r="K44" i="47" s="1"/>
  <c r="K191" i="38"/>
  <c r="K304" i="71" s="1"/>
  <c r="K115" i="46"/>
  <c r="K39" i="38"/>
  <c r="K220" i="71" s="1"/>
  <c r="M96" i="46"/>
  <c r="M103" i="46"/>
  <c r="M123" i="46"/>
  <c r="M30" i="47"/>
  <c r="M32" i="47" s="1"/>
  <c r="M132" i="70"/>
  <c r="M113" i="46"/>
  <c r="K398" i="38"/>
  <c r="M105" i="46"/>
  <c r="M136" i="70"/>
  <c r="M42" i="47"/>
  <c r="M44" i="47" s="1"/>
  <c r="M125" i="46"/>
  <c r="M115" i="46"/>
  <c r="K402" i="38"/>
  <c r="K65" i="51"/>
  <c r="L96" i="46"/>
  <c r="L30" i="47"/>
  <c r="L32" i="47" s="1"/>
  <c r="L132" i="70"/>
  <c r="L123" i="46"/>
  <c r="L113" i="46"/>
  <c r="K264" i="38"/>
  <c r="L103" i="46"/>
  <c r="K215" i="71"/>
  <c r="O29" i="47"/>
  <c r="L125" i="46"/>
  <c r="L115" i="46"/>
  <c r="L42" i="47"/>
  <c r="L44" i="47" s="1"/>
  <c r="L136" i="70"/>
  <c r="L105" i="46"/>
  <c r="K268" i="38"/>
  <c r="O41" i="47"/>
  <c r="K96" i="46"/>
  <c r="K123" i="46"/>
  <c r="K35" i="38"/>
  <c r="K216" i="71" s="1"/>
  <c r="K113" i="46"/>
  <c r="K132" i="70"/>
  <c r="K30" i="47"/>
  <c r="AD14" i="34"/>
  <c r="K103" i="46"/>
  <c r="K187" i="38"/>
  <c r="K117" i="46" l="1"/>
  <c r="K490" i="46" s="1"/>
  <c r="K107" i="46"/>
  <c r="K233" i="46" s="1"/>
  <c r="K403" i="38"/>
  <c r="O30" i="47"/>
  <c r="L66" i="70"/>
  <c r="L143" i="47"/>
  <c r="L49" i="47"/>
  <c r="K32" i="47"/>
  <c r="K269" i="38"/>
  <c r="L141" i="47"/>
  <c r="L47" i="47"/>
  <c r="L64" i="70"/>
  <c r="M47" i="47"/>
  <c r="M141" i="47"/>
  <c r="M64" i="70"/>
  <c r="K300" i="71"/>
  <c r="K192" i="38"/>
  <c r="K305" i="71" s="1"/>
  <c r="K221" i="38"/>
  <c r="K341" i="71" s="1"/>
  <c r="AD17" i="34"/>
  <c r="K220" i="38"/>
  <c r="K319" i="71" s="1"/>
  <c r="K208" i="38"/>
  <c r="K312" i="71" s="1"/>
  <c r="AB17" i="34"/>
  <c r="K219" i="38"/>
  <c r="K318" i="71" s="1"/>
  <c r="K218" i="38"/>
  <c r="K317" i="71" s="1"/>
  <c r="K207" i="38"/>
  <c r="K311" i="71" s="1"/>
  <c r="K196" i="38"/>
  <c r="K306" i="71" s="1"/>
  <c r="K40" i="38"/>
  <c r="K221" i="71" s="1"/>
  <c r="L117" i="46"/>
  <c r="L19" i="31"/>
  <c r="L17" i="31"/>
  <c r="K327" i="38" s="1"/>
  <c r="K271" i="38"/>
  <c r="M127" i="46"/>
  <c r="K127" i="46"/>
  <c r="L127" i="46"/>
  <c r="M49" i="47"/>
  <c r="M143" i="47"/>
  <c r="M66" i="70"/>
  <c r="M117" i="46"/>
  <c r="M107" i="46"/>
  <c r="K143" i="47"/>
  <c r="K66" i="70"/>
  <c r="K28" i="38"/>
  <c r="K213" i="71" s="1"/>
  <c r="S11" i="60"/>
  <c r="K18" i="71" s="1"/>
  <c r="K49" i="47"/>
  <c r="O44" i="47"/>
  <c r="L107" i="46"/>
  <c r="K405" i="38"/>
  <c r="M19" i="31"/>
  <c r="M17" i="31"/>
  <c r="K461" i="38" s="1"/>
  <c r="O42" i="47"/>
  <c r="L51" i="47" l="1"/>
  <c r="L67" i="70" s="1"/>
  <c r="K236" i="46"/>
  <c r="K224" i="46"/>
  <c r="K238" i="46"/>
  <c r="K232" i="46"/>
  <c r="K246" i="46"/>
  <c r="K222" i="46"/>
  <c r="K242" i="46"/>
  <c r="K235" i="46"/>
  <c r="K241" i="46"/>
  <c r="K239" i="46"/>
  <c r="K492" i="46"/>
  <c r="K228" i="46"/>
  <c r="K234" i="46"/>
  <c r="K486" i="46"/>
  <c r="K489" i="46"/>
  <c r="K496" i="46"/>
  <c r="K488" i="46"/>
  <c r="K493" i="46"/>
  <c r="K485" i="46"/>
  <c r="K229" i="46"/>
  <c r="K86" i="38"/>
  <c r="K243" i="71" s="1"/>
  <c r="K237" i="46"/>
  <c r="K245" i="46"/>
  <c r="K226" i="46"/>
  <c r="K243" i="46"/>
  <c r="K244" i="46"/>
  <c r="K238" i="38"/>
  <c r="K327" i="71" s="1"/>
  <c r="K484" i="46"/>
  <c r="K88" i="38"/>
  <c r="K245" i="71" s="1"/>
  <c r="K495" i="46"/>
  <c r="K491" i="46"/>
  <c r="K240" i="46"/>
  <c r="K230" i="46"/>
  <c r="K231" i="46"/>
  <c r="K225" i="46"/>
  <c r="K227" i="46"/>
  <c r="K221" i="46"/>
  <c r="K223" i="46"/>
  <c r="K487" i="46"/>
  <c r="K240" i="38"/>
  <c r="K329" i="71" s="1"/>
  <c r="K494" i="46"/>
  <c r="O49" i="47"/>
  <c r="M23" i="70"/>
  <c r="K431" i="38"/>
  <c r="W11" i="60"/>
  <c r="K5" i="71" s="1"/>
  <c r="K180" i="38"/>
  <c r="K297" i="71" s="1"/>
  <c r="O143" i="47"/>
  <c r="K34" i="70"/>
  <c r="M640" i="46"/>
  <c r="M641" i="46"/>
  <c r="M650" i="46"/>
  <c r="M643" i="46"/>
  <c r="M644" i="46"/>
  <c r="M645" i="46"/>
  <c r="K510" i="38"/>
  <c r="M647" i="46"/>
  <c r="M648" i="46"/>
  <c r="M649" i="46"/>
  <c r="M642" i="46"/>
  <c r="M651" i="46"/>
  <c r="M652" i="46"/>
  <c r="M646" i="46"/>
  <c r="L491" i="46"/>
  <c r="L492" i="46"/>
  <c r="L493" i="46"/>
  <c r="K374" i="38"/>
  <c r="L495" i="46"/>
  <c r="L496" i="46"/>
  <c r="L486" i="46"/>
  <c r="L484" i="46"/>
  <c r="L485" i="46"/>
  <c r="L490" i="46"/>
  <c r="L487" i="46"/>
  <c r="L488" i="46"/>
  <c r="L489" i="46"/>
  <c r="L494" i="46"/>
  <c r="K141" i="47"/>
  <c r="K64" i="70"/>
  <c r="K47" i="47"/>
  <c r="S9" i="60"/>
  <c r="K16" i="71" s="1"/>
  <c r="O32" i="47"/>
  <c r="K26" i="38"/>
  <c r="K211" i="71" s="1"/>
  <c r="K458" i="38"/>
  <c r="K429" i="38"/>
  <c r="K459" i="38"/>
  <c r="K427" i="38"/>
  <c r="K486" i="38"/>
  <c r="K487" i="38"/>
  <c r="K456" i="38"/>
  <c r="K460" i="38"/>
  <c r="K488" i="38"/>
  <c r="K428" i="38"/>
  <c r="K457" i="38"/>
  <c r="K430" i="38"/>
  <c r="K489" i="38"/>
  <c r="K343" i="71" s="1"/>
  <c r="M228" i="46"/>
  <c r="M244" i="46"/>
  <c r="M233" i="46"/>
  <c r="M222" i="46"/>
  <c r="M238" i="46"/>
  <c r="M223" i="46"/>
  <c r="M231" i="46"/>
  <c r="M232" i="46"/>
  <c r="M221" i="46"/>
  <c r="M237" i="46"/>
  <c r="M226" i="46"/>
  <c r="M242" i="46"/>
  <c r="M239" i="46"/>
  <c r="K506" i="38"/>
  <c r="M236" i="46"/>
  <c r="M225" i="46"/>
  <c r="M241" i="46"/>
  <c r="M230" i="46"/>
  <c r="M246" i="46"/>
  <c r="M227" i="46"/>
  <c r="M224" i="46"/>
  <c r="M240" i="46"/>
  <c r="M229" i="46"/>
  <c r="M245" i="46"/>
  <c r="M234" i="46"/>
  <c r="M235" i="46"/>
  <c r="M243" i="46"/>
  <c r="M145" i="47"/>
  <c r="M32" i="70"/>
  <c r="K389" i="38"/>
  <c r="L145" i="47"/>
  <c r="L32" i="70"/>
  <c r="K255" i="38"/>
  <c r="L34" i="70"/>
  <c r="K257" i="38"/>
  <c r="M34" i="70"/>
  <c r="K391" i="38"/>
  <c r="K322" i="38"/>
  <c r="K325" i="38"/>
  <c r="K352" i="38"/>
  <c r="K323" i="38"/>
  <c r="K355" i="38"/>
  <c r="K342" i="71" s="1"/>
  <c r="K326" i="38"/>
  <c r="K295" i="38"/>
  <c r="K354" i="38"/>
  <c r="K296" i="38"/>
  <c r="K293" i="38"/>
  <c r="K294" i="38"/>
  <c r="K324" i="38"/>
  <c r="K353" i="38"/>
  <c r="L235" i="46"/>
  <c r="L228" i="46"/>
  <c r="L244" i="46"/>
  <c r="L233" i="46"/>
  <c r="L222" i="46"/>
  <c r="L238" i="46"/>
  <c r="L223" i="46"/>
  <c r="L239" i="46"/>
  <c r="L232" i="46"/>
  <c r="L221" i="46"/>
  <c r="L237" i="46"/>
  <c r="L226" i="46"/>
  <c r="L242" i="46"/>
  <c r="L227" i="46"/>
  <c r="L243" i="46"/>
  <c r="L236" i="46"/>
  <c r="L225" i="46"/>
  <c r="L241" i="46"/>
  <c r="L230" i="46"/>
  <c r="L246" i="46"/>
  <c r="L231" i="46"/>
  <c r="L224" i="46"/>
  <c r="L240" i="46"/>
  <c r="L229" i="46"/>
  <c r="L245" i="46"/>
  <c r="L234" i="46"/>
  <c r="K372" i="38"/>
  <c r="M494" i="46"/>
  <c r="M492" i="46"/>
  <c r="M493" i="46"/>
  <c r="M495" i="46"/>
  <c r="M489" i="46"/>
  <c r="M496" i="46"/>
  <c r="M486" i="46"/>
  <c r="K508" i="38"/>
  <c r="M484" i="46"/>
  <c r="M485" i="46"/>
  <c r="M490" i="46"/>
  <c r="M487" i="46"/>
  <c r="M488" i="46"/>
  <c r="M491" i="46"/>
  <c r="L642" i="46"/>
  <c r="L647" i="46"/>
  <c r="L648" i="46"/>
  <c r="L649" i="46"/>
  <c r="L646" i="46"/>
  <c r="L651" i="46"/>
  <c r="L652" i="46"/>
  <c r="K376" i="38"/>
  <c r="L650" i="46"/>
  <c r="L640" i="46"/>
  <c r="L641" i="46"/>
  <c r="L643" i="46"/>
  <c r="L644" i="46"/>
  <c r="L645" i="46"/>
  <c r="K90" i="38"/>
  <c r="K247" i="71" s="1"/>
  <c r="K642" i="46"/>
  <c r="K647" i="46"/>
  <c r="K648" i="46"/>
  <c r="K641" i="46"/>
  <c r="K646" i="46"/>
  <c r="K651" i="46"/>
  <c r="K652" i="46"/>
  <c r="K645" i="46"/>
  <c r="K650" i="46"/>
  <c r="K640" i="46"/>
  <c r="K242" i="38"/>
  <c r="K331" i="71" s="1"/>
  <c r="K649" i="46"/>
  <c r="K643" i="46"/>
  <c r="K644" i="46"/>
  <c r="L23" i="70"/>
  <c r="K297" i="38"/>
  <c r="M51" i="47"/>
  <c r="L59" i="47" l="1"/>
  <c r="L67" i="47" s="1"/>
  <c r="L46" i="31"/>
  <c r="L47" i="31" s="1"/>
  <c r="L15" i="31"/>
  <c r="L16" i="31" s="1"/>
  <c r="K258" i="38" s="1"/>
  <c r="K779" i="46"/>
  <c r="AT11" i="63" s="1"/>
  <c r="K783" i="46"/>
  <c r="AT15" i="63" s="1"/>
  <c r="K786" i="46"/>
  <c r="AT18" i="63" s="1"/>
  <c r="K784" i="46"/>
  <c r="AT16" i="63" s="1"/>
  <c r="K135" i="46"/>
  <c r="K498" i="46"/>
  <c r="AZ25" i="63" s="1"/>
  <c r="K780" i="46"/>
  <c r="AT12" i="63" s="1"/>
  <c r="K788" i="46"/>
  <c r="AT20" i="63" s="1"/>
  <c r="K787" i="46"/>
  <c r="AT19" i="63" s="1"/>
  <c r="K144" i="46"/>
  <c r="K147" i="46" s="1"/>
  <c r="K148" i="46" s="1"/>
  <c r="K134" i="46"/>
  <c r="K785" i="46"/>
  <c r="AT17" i="63" s="1"/>
  <c r="K248" i="46"/>
  <c r="AZ24" i="63" s="1"/>
  <c r="K782" i="46"/>
  <c r="AT14" i="63" s="1"/>
  <c r="K789" i="46"/>
  <c r="AT21" i="63" s="1"/>
  <c r="K781" i="46"/>
  <c r="AT13" i="63" s="1"/>
  <c r="K377" i="38"/>
  <c r="L787" i="46"/>
  <c r="L780" i="46"/>
  <c r="M135" i="46"/>
  <c r="K654" i="46"/>
  <c r="AZ26" i="63" s="1"/>
  <c r="K154" i="46"/>
  <c r="K157" i="46" s="1"/>
  <c r="K158" i="46" s="1"/>
  <c r="L135" i="46"/>
  <c r="L781" i="46"/>
  <c r="L784" i="46"/>
  <c r="L778" i="46"/>
  <c r="L248" i="46"/>
  <c r="L134" i="46"/>
  <c r="L785" i="46"/>
  <c r="M153" i="47"/>
  <c r="M35" i="70"/>
  <c r="M784" i="46"/>
  <c r="M782" i="46"/>
  <c r="M789" i="46"/>
  <c r="M779" i="46"/>
  <c r="O47" i="47"/>
  <c r="K51" i="47"/>
  <c r="L144" i="46"/>
  <c r="L147" i="46" s="1"/>
  <c r="L148" i="46" s="1"/>
  <c r="L169" i="70" s="1"/>
  <c r="L498" i="46"/>
  <c r="K91" i="38"/>
  <c r="K248" i="71" s="1"/>
  <c r="L154" i="46"/>
  <c r="L157" i="46" s="1"/>
  <c r="L158" i="46" s="1"/>
  <c r="L170" i="70" s="1"/>
  <c r="L654" i="46"/>
  <c r="M15" i="31"/>
  <c r="M16" i="31" s="1"/>
  <c r="M59" i="47"/>
  <c r="M46" i="31"/>
  <c r="M47" i="31" s="1"/>
  <c r="M67" i="70"/>
  <c r="L788" i="46"/>
  <c r="L782" i="46"/>
  <c r="L789" i="46"/>
  <c r="L779" i="46"/>
  <c r="L153" i="47"/>
  <c r="L35" i="70"/>
  <c r="M786" i="46"/>
  <c r="M783" i="46"/>
  <c r="M788" i="46"/>
  <c r="M654" i="46"/>
  <c r="M154" i="46"/>
  <c r="M157" i="46" s="1"/>
  <c r="M158" i="46" s="1"/>
  <c r="M170" i="70" s="1"/>
  <c r="M144" i="46"/>
  <c r="M147" i="46" s="1"/>
  <c r="M148" i="46" s="1"/>
  <c r="M169" i="70" s="1"/>
  <c r="M498" i="46"/>
  <c r="L786" i="46"/>
  <c r="L783" i="46"/>
  <c r="M787" i="46"/>
  <c r="K511" i="38"/>
  <c r="M780" i="46"/>
  <c r="K145" i="47"/>
  <c r="W9" i="60"/>
  <c r="K3" i="71" s="1"/>
  <c r="O141" i="47"/>
  <c r="K178" i="38"/>
  <c r="K295" i="71" s="1"/>
  <c r="K32" i="70"/>
  <c r="M781" i="46"/>
  <c r="M778" i="46"/>
  <c r="M134" i="46"/>
  <c r="M248" i="46"/>
  <c r="M785" i="46"/>
  <c r="K778" i="46"/>
  <c r="AV26" i="63" l="1"/>
  <c r="AB22" i="34"/>
  <c r="AV25" i="63"/>
  <c r="AB21" i="34"/>
  <c r="K59" i="71" s="1"/>
  <c r="L60" i="47"/>
  <c r="L69" i="70" s="1"/>
  <c r="L21" i="70"/>
  <c r="K169" i="70"/>
  <c r="K137" i="46"/>
  <c r="K138" i="46" s="1"/>
  <c r="M137" i="46"/>
  <c r="M138" i="46" s="1"/>
  <c r="M168" i="70" s="1"/>
  <c r="M791" i="46"/>
  <c r="L154" i="47"/>
  <c r="K366" i="38"/>
  <c r="L161" i="47"/>
  <c r="K392" i="38"/>
  <c r="M21" i="70"/>
  <c r="L137" i="46"/>
  <c r="L138" i="46" s="1"/>
  <c r="L73" i="70"/>
  <c r="L68" i="47"/>
  <c r="L74" i="70" s="1"/>
  <c r="W12" i="60"/>
  <c r="K6" i="71" s="1"/>
  <c r="O145" i="47"/>
  <c r="K35" i="70"/>
  <c r="M154" i="47"/>
  <c r="K500" i="38"/>
  <c r="M161" i="47"/>
  <c r="L791" i="46"/>
  <c r="K60" i="71"/>
  <c r="K170" i="70"/>
  <c r="AT10" i="63"/>
  <c r="K791" i="46"/>
  <c r="M67" i="47"/>
  <c r="M60" i="47"/>
  <c r="M69" i="70" s="1"/>
  <c r="K15" i="31"/>
  <c r="O51" i="47"/>
  <c r="K59" i="47"/>
  <c r="S12" i="60"/>
  <c r="K19" i="71" s="1"/>
  <c r="K67" i="70"/>
  <c r="K46" i="31"/>
  <c r="K168" i="70" l="1"/>
  <c r="AB20" i="34"/>
  <c r="K58" i="71" s="1"/>
  <c r="AV24" i="63"/>
  <c r="K160" i="46"/>
  <c r="K59" i="31" s="1"/>
  <c r="M160" i="46"/>
  <c r="M59" i="31" s="1"/>
  <c r="K47" i="31"/>
  <c r="O46" i="31"/>
  <c r="O15" i="31"/>
  <c r="K16" i="31"/>
  <c r="K501" i="38"/>
  <c r="M37" i="70"/>
  <c r="K383" i="38"/>
  <c r="L162" i="47"/>
  <c r="L41" i="70"/>
  <c r="L22" i="70"/>
  <c r="L160" i="46"/>
  <c r="L59" i="31" s="1"/>
  <c r="L168" i="70"/>
  <c r="K67" i="47"/>
  <c r="O59" i="47"/>
  <c r="K80" i="38"/>
  <c r="K240" i="71" s="1"/>
  <c r="K60" i="47"/>
  <c r="M68" i="47"/>
  <c r="M74" i="70" s="1"/>
  <c r="M73" i="70"/>
  <c r="K517" i="38"/>
  <c r="M22" i="70"/>
  <c r="M41" i="70"/>
  <c r="M162" i="47"/>
  <c r="K367" i="38"/>
  <c r="L37" i="70"/>
  <c r="O59" i="31" l="1"/>
  <c r="K384" i="38"/>
  <c r="L42" i="70"/>
  <c r="K21" i="70"/>
  <c r="K181" i="38"/>
  <c r="K298" i="71" s="1"/>
  <c r="K78" i="1"/>
  <c r="O16" i="31"/>
  <c r="K518" i="38"/>
  <c r="M42" i="70"/>
  <c r="K97" i="38"/>
  <c r="K251" i="71" s="1"/>
  <c r="K73" i="70"/>
  <c r="K68" i="47"/>
  <c r="O67" i="47"/>
  <c r="S20" i="60"/>
  <c r="K24" i="71" s="1"/>
  <c r="K59" i="1"/>
  <c r="O60" i="47"/>
  <c r="S15" i="60"/>
  <c r="K21" i="71" s="1"/>
  <c r="K81" i="38"/>
  <c r="K241" i="71" s="1"/>
  <c r="K69" i="70"/>
  <c r="K58" i="1"/>
  <c r="K29" i="38"/>
  <c r="K214" i="71" s="1"/>
  <c r="O47" i="31"/>
  <c r="K64" i="1" l="1"/>
  <c r="U5" i="34"/>
  <c r="AL5" i="63"/>
  <c r="I65" i="1"/>
  <c r="O5" i="65"/>
  <c r="O4" i="65"/>
  <c r="U4" i="62"/>
  <c r="AL4" i="64"/>
  <c r="O4" i="66"/>
  <c r="AL4" i="63"/>
  <c r="U4" i="34"/>
  <c r="S21" i="60"/>
  <c r="K25" i="71" s="1"/>
  <c r="K98" i="38"/>
  <c r="K252" i="71" s="1"/>
  <c r="O68" i="47"/>
  <c r="K74" i="70"/>
  <c r="K26" i="70"/>
  <c r="L26" i="70"/>
  <c r="M26" i="70"/>
  <c r="AP5" i="63"/>
  <c r="W5" i="34"/>
  <c r="Q5" i="65"/>
  <c r="E1755" i="46"/>
  <c r="E1861" i="46" s="1"/>
  <c r="E1758" i="46"/>
  <c r="E1864" i="46" s="1"/>
  <c r="E1756" i="46"/>
  <c r="E1862" i="46" s="1"/>
  <c r="E1749" i="46"/>
  <c r="E1764" i="46" s="1"/>
  <c r="E1759" i="46"/>
  <c r="E1865" i="46" s="1"/>
  <c r="E1757" i="46"/>
  <c r="E1863" i="46" s="1"/>
  <c r="E1763" i="46"/>
  <c r="E1869" i="46" s="1"/>
  <c r="E1751" i="46"/>
  <c r="E1766" i="46" s="1"/>
  <c r="E1781" i="46" s="1"/>
  <c r="E1770" i="46" l="1"/>
  <c r="E1772" i="46"/>
  <c r="E1771" i="46"/>
  <c r="E1773" i="46"/>
  <c r="W19" i="64"/>
  <c r="E1903" i="46"/>
  <c r="W15" i="64"/>
  <c r="E1899" i="46"/>
  <c r="W14" i="64"/>
  <c r="E1898" i="46"/>
  <c r="W13" i="64"/>
  <c r="E1897" i="46"/>
  <c r="E1778" i="46"/>
  <c r="E1774" i="46"/>
  <c r="W12" i="64"/>
  <c r="E1896" i="46"/>
  <c r="W11" i="64"/>
  <c r="E1895" i="46"/>
  <c r="E1870" i="46"/>
  <c r="E1779" i="46"/>
  <c r="W20" i="64" l="1"/>
  <c r="E1904" i="46"/>
  <c r="E1811" i="46"/>
  <c r="O21" i="64" s="1"/>
  <c r="E1962" i="46"/>
  <c r="U26" i="64" s="1"/>
  <c r="E1735" i="46"/>
  <c r="E1888" i="46" s="1"/>
  <c r="E1890" i="46" s="1"/>
  <c r="E1718" i="46"/>
  <c r="E1721" i="46" s="1"/>
  <c r="E1658" i="46"/>
  <c r="E1750" i="46" l="1"/>
  <c r="E1765" i="46" s="1"/>
  <c r="E1780" i="46" s="1"/>
  <c r="E1783" i="46" s="1"/>
  <c r="E1891" i="46"/>
  <c r="E396" i="31" s="1"/>
  <c r="I396" i="31" s="1"/>
  <c r="E1855" i="46"/>
  <c r="E1857" i="46" s="1"/>
  <c r="E1797" i="46"/>
  <c r="E1921" i="46" s="1"/>
  <c r="E1923" i="46" s="1"/>
  <c r="E1841" i="46"/>
  <c r="Y26" i="64"/>
  <c r="E1668" i="46"/>
  <c r="E1683" i="46" s="1"/>
  <c r="E1821" i="46" s="1"/>
  <c r="Q17" i="64" s="1"/>
  <c r="E1669" i="46"/>
  <c r="E1684" i="46" s="1"/>
  <c r="E1822" i="46" s="1"/>
  <c r="Q18" i="64" s="1"/>
  <c r="E1666" i="46"/>
  <c r="E1681" i="46" s="1"/>
  <c r="E1819" i="46" s="1"/>
  <c r="Q15" i="64" s="1"/>
  <c r="E1667" i="46"/>
  <c r="E1682" i="46" s="1"/>
  <c r="E1820" i="46" s="1"/>
  <c r="Q16" i="64" s="1"/>
  <c r="E1663" i="46"/>
  <c r="E1678" i="46" s="1"/>
  <c r="E1816" i="46" s="1"/>
  <c r="Q12" i="64" s="1"/>
  <c r="E1670" i="46"/>
  <c r="E1685" i="46" s="1"/>
  <c r="E1823" i="46" s="1"/>
  <c r="Q19" i="64" s="1"/>
  <c r="E1672" i="46"/>
  <c r="E1687" i="46" s="1"/>
  <c r="E1825" i="46" s="1"/>
  <c r="Q21" i="64" s="1"/>
  <c r="E1665" i="46"/>
  <c r="E1680" i="46" s="1"/>
  <c r="E1818" i="46" s="1"/>
  <c r="Q14" i="64" s="1"/>
  <c r="E1661" i="46"/>
  <c r="E1676" i="46" s="1"/>
  <c r="E1673" i="46"/>
  <c r="E1688" i="46" s="1"/>
  <c r="E1671" i="46"/>
  <c r="E1686" i="46" s="1"/>
  <c r="E1824" i="46" s="1"/>
  <c r="Q20" i="64" s="1"/>
  <c r="E1664" i="46"/>
  <c r="E1679" i="46" s="1"/>
  <c r="E1817" i="46" s="1"/>
  <c r="Q13" i="64" s="1"/>
  <c r="E1662" i="46"/>
  <c r="E1677" i="46" s="1"/>
  <c r="E1815" i="46" s="1"/>
  <c r="Q11" i="64" s="1"/>
  <c r="E2019" i="46" l="1"/>
  <c r="E121" i="38" s="1"/>
  <c r="E1924" i="46"/>
  <c r="E405" i="70"/>
  <c r="K396" i="32"/>
  <c r="K2048" i="46" s="1"/>
  <c r="K133" i="38" s="1"/>
  <c r="E1871" i="46"/>
  <c r="E1873" i="46" s="1"/>
  <c r="E1874" i="46" s="1"/>
  <c r="E343" i="31"/>
  <c r="E2048" i="46"/>
  <c r="E133" i="38" s="1"/>
  <c r="U21" i="64"/>
  <c r="E209" i="71" s="1"/>
  <c r="AC21" i="64"/>
  <c r="E1167" i="46"/>
  <c r="E1814" i="46"/>
  <c r="E1690" i="46"/>
  <c r="W26" i="64" s="1"/>
  <c r="E1190" i="46"/>
  <c r="E1193" i="46" s="1"/>
  <c r="E1954" i="46"/>
  <c r="E1951" i="46"/>
  <c r="E1953" i="46"/>
  <c r="E1950" i="46"/>
  <c r="E1949" i="46"/>
  <c r="E1952" i="46"/>
  <c r="E1176" i="46" l="1"/>
  <c r="E1179" i="46" s="1"/>
  <c r="E1184" i="46" s="1"/>
  <c r="E1187" i="46"/>
  <c r="E17" i="31"/>
  <c r="O396" i="32"/>
  <c r="W21" i="64"/>
  <c r="E377" i="31"/>
  <c r="Y21" i="64" s="1"/>
  <c r="K2019" i="46"/>
  <c r="K121" i="38" s="1"/>
  <c r="K265" i="71" s="1"/>
  <c r="E1186" i="46"/>
  <c r="E1189" i="46" s="1"/>
  <c r="E1194" i="46" s="1"/>
  <c r="K343" i="32"/>
  <c r="O343" i="32" s="1"/>
  <c r="E1166" i="46"/>
  <c r="E1169" i="46" s="1"/>
  <c r="E161" i="38" s="1"/>
  <c r="E1905" i="46"/>
  <c r="E1907" i="46" s="1"/>
  <c r="I343" i="31"/>
  <c r="Q10" i="64"/>
  <c r="E1827" i="46"/>
  <c r="G327" i="70"/>
  <c r="E197" i="38"/>
  <c r="E307" i="71" s="1"/>
  <c r="E265" i="71"/>
  <c r="E327" i="70"/>
  <c r="F327" i="70"/>
  <c r="L335" i="70"/>
  <c r="K209" i="38"/>
  <c r="K313" i="71" s="1"/>
  <c r="K335" i="70"/>
  <c r="K271" i="71"/>
  <c r="M335" i="70"/>
  <c r="E1956" i="46"/>
  <c r="E123" i="47" s="1"/>
  <c r="E271" i="71"/>
  <c r="E209" i="38"/>
  <c r="E313" i="71" s="1"/>
  <c r="E335" i="70"/>
  <c r="G335" i="70"/>
  <c r="F335" i="70"/>
  <c r="E136" i="38"/>
  <c r="E239" i="38" l="1"/>
  <c r="E328" i="71" s="1"/>
  <c r="E163" i="38"/>
  <c r="E286" i="71" s="1"/>
  <c r="S26" i="64"/>
  <c r="L22" i="62"/>
  <c r="E157" i="71" s="1"/>
  <c r="E342" i="70"/>
  <c r="L21" i="62"/>
  <c r="E156" i="71" s="1"/>
  <c r="S25" i="64"/>
  <c r="E17" i="32"/>
  <c r="I17" i="32" s="1"/>
  <c r="E2021" i="46"/>
  <c r="E2024" i="46" s="1"/>
  <c r="E250" i="31"/>
  <c r="E21" i="68" s="1"/>
  <c r="E22" i="68" s="1"/>
  <c r="K197" i="38"/>
  <c r="K307" i="71" s="1"/>
  <c r="M327" i="70"/>
  <c r="I377" i="31"/>
  <c r="L327" i="70"/>
  <c r="K327" i="70"/>
  <c r="E241" i="38"/>
  <c r="E330" i="71" s="1"/>
  <c r="E343" i="70"/>
  <c r="E165" i="38"/>
  <c r="E288" i="71" s="1"/>
  <c r="K377" i="32"/>
  <c r="O377" i="32" s="1"/>
  <c r="E237" i="38"/>
  <c r="E326" i="71" s="1"/>
  <c r="E1174" i="46"/>
  <c r="E284" i="71"/>
  <c r="E123" i="38"/>
  <c r="I250" i="31"/>
  <c r="E338" i="70"/>
  <c r="G338" i="70"/>
  <c r="E274" i="71"/>
  <c r="F338" i="70"/>
  <c r="K17" i="32"/>
  <c r="O17" i="32" s="1"/>
  <c r="E212" i="38"/>
  <c r="E316" i="71" s="1"/>
  <c r="F80" i="1"/>
  <c r="I17" i="31"/>
  <c r="I123" i="47"/>
  <c r="E150" i="47"/>
  <c r="E125" i="47"/>
  <c r="E155" i="38"/>
  <c r="E281" i="71" s="1"/>
  <c r="E1196" i="46" l="1"/>
  <c r="E261" i="31" s="1"/>
  <c r="K261" i="32" s="1"/>
  <c r="L20" i="62"/>
  <c r="E155" i="71" s="1"/>
  <c r="S24" i="64"/>
  <c r="F107" i="1"/>
  <c r="K250" i="32"/>
  <c r="O250" i="32" s="1"/>
  <c r="F70" i="1"/>
  <c r="Q5" i="64" s="1"/>
  <c r="E167" i="38"/>
  <c r="E290" i="71" s="1"/>
  <c r="E341" i="70"/>
  <c r="E243" i="38"/>
  <c r="E332" i="71" s="1"/>
  <c r="I4" i="34"/>
  <c r="H4" i="66"/>
  <c r="Q4" i="64"/>
  <c r="H4" i="65"/>
  <c r="Q4" i="63"/>
  <c r="I4" i="62"/>
  <c r="E231" i="38"/>
  <c r="E323" i="71" s="1"/>
  <c r="I150" i="47"/>
  <c r="H22" i="68"/>
  <c r="C23" i="68"/>
  <c r="E124" i="38"/>
  <c r="E252" i="31"/>
  <c r="E24" i="68"/>
  <c r="E25" i="68" s="1"/>
  <c r="E241" i="70"/>
  <c r="I19" i="60"/>
  <c r="E120" i="71" s="1"/>
  <c r="E245" i="70"/>
  <c r="E171" i="38"/>
  <c r="E291" i="71" s="1"/>
  <c r="I125" i="47"/>
  <c r="E126" i="47"/>
  <c r="I14" i="60"/>
  <c r="E117" i="71" s="1"/>
  <c r="E152" i="47"/>
  <c r="F329" i="70"/>
  <c r="E199" i="38"/>
  <c r="E309" i="71" s="1"/>
  <c r="E329" i="70"/>
  <c r="E267" i="71"/>
  <c r="G329" i="70"/>
  <c r="I261" i="31" l="1"/>
  <c r="K2045" i="46"/>
  <c r="H5" i="66"/>
  <c r="I5" i="62"/>
  <c r="K2032" i="46"/>
  <c r="K2034" i="46" s="1"/>
  <c r="K2065" i="46" s="1"/>
  <c r="K2069" i="46" s="1"/>
  <c r="K258" i="31" s="1"/>
  <c r="O258" i="31" s="1"/>
  <c r="K134" i="38"/>
  <c r="K210" i="38" s="1"/>
  <c r="K314" i="71" s="1"/>
  <c r="O261" i="32"/>
  <c r="E40" i="70"/>
  <c r="I152" i="47"/>
  <c r="E153" i="47"/>
  <c r="K19" i="60"/>
  <c r="E10" i="71" s="1"/>
  <c r="E36" i="70"/>
  <c r="E247" i="38"/>
  <c r="E333" i="71" s="1"/>
  <c r="K14" i="60"/>
  <c r="E7" i="71" s="1"/>
  <c r="C26" i="68"/>
  <c r="H25" i="68"/>
  <c r="E19" i="31"/>
  <c r="I252" i="31"/>
  <c r="F72" i="1"/>
  <c r="K252" i="32"/>
  <c r="G23" i="68"/>
  <c r="G31" i="68" s="1"/>
  <c r="F23" i="68"/>
  <c r="F31" i="68" s="1"/>
  <c r="E134" i="47"/>
  <c r="E127" i="47"/>
  <c r="I126" i="47"/>
  <c r="E156" i="38"/>
  <c r="E282" i="71" s="1"/>
  <c r="E330" i="70"/>
  <c r="G330" i="70"/>
  <c r="F330" i="70"/>
  <c r="E268" i="71"/>
  <c r="E23" i="68"/>
  <c r="E31" i="68" s="1"/>
  <c r="K272" i="71" l="1"/>
  <c r="K146" i="38"/>
  <c r="K278" i="71" s="1"/>
  <c r="K336" i="70"/>
  <c r="L336" i="70"/>
  <c r="K2050" i="46"/>
  <c r="K135" i="38" s="1"/>
  <c r="K337" i="70" s="1"/>
  <c r="M336" i="70"/>
  <c r="K2020" i="46"/>
  <c r="K122" i="38" s="1"/>
  <c r="K266" i="71" s="1"/>
  <c r="K2073" i="46"/>
  <c r="K2077" i="46" s="1"/>
  <c r="K259" i="31" s="1"/>
  <c r="O259" i="31" s="1"/>
  <c r="K2081" i="46"/>
  <c r="K2085" i="46" s="1"/>
  <c r="K260" i="31" s="1"/>
  <c r="O260" i="31" s="1"/>
  <c r="K251" i="31"/>
  <c r="K71" i="1" s="1"/>
  <c r="K2057" i="46"/>
  <c r="K2061" i="46" s="1"/>
  <c r="K257" i="31" s="1"/>
  <c r="K325" i="31" s="1"/>
  <c r="E242" i="70"/>
  <c r="I127" i="47"/>
  <c r="E157" i="38"/>
  <c r="E283" i="71" s="1"/>
  <c r="I15" i="60"/>
  <c r="E118" i="71" s="1"/>
  <c r="H31" i="68"/>
  <c r="I134" i="47"/>
  <c r="F69" i="1"/>
  <c r="I20" i="60"/>
  <c r="E121" i="71" s="1"/>
  <c r="E173" i="38"/>
  <c r="E293" i="71" s="1"/>
  <c r="E246" i="70"/>
  <c r="E135" i="47"/>
  <c r="J5" i="66"/>
  <c r="M5" i="62"/>
  <c r="Y5" i="64"/>
  <c r="G26" i="68"/>
  <c r="G32" i="68" s="1"/>
  <c r="G33" i="68" s="1"/>
  <c r="G34" i="68" s="1"/>
  <c r="F26" i="68"/>
  <c r="F32" i="68" s="1"/>
  <c r="F33" i="68" s="1"/>
  <c r="E26" i="68"/>
  <c r="E32" i="68" s="1"/>
  <c r="O252" i="32"/>
  <c r="K2016" i="46"/>
  <c r="I153" i="47"/>
  <c r="E232" i="38"/>
  <c r="E324" i="71" s="1"/>
  <c r="E154" i="47"/>
  <c r="E161" i="47"/>
  <c r="I19" i="31"/>
  <c r="E23" i="70"/>
  <c r="F82" i="1"/>
  <c r="K19" i="32"/>
  <c r="O19" i="32" s="1"/>
  <c r="E200" i="38"/>
  <c r="E310" i="71" s="1"/>
  <c r="F74" i="1" l="1"/>
  <c r="K328" i="70"/>
  <c r="L337" i="70"/>
  <c r="K211" i="38"/>
  <c r="K315" i="71" s="1"/>
  <c r="K273" i="71"/>
  <c r="M337" i="70"/>
  <c r="K2053" i="46"/>
  <c r="K136" i="38" s="1"/>
  <c r="M328" i="70"/>
  <c r="K324" i="31"/>
  <c r="O324" i="31" s="1"/>
  <c r="O251" i="31"/>
  <c r="K198" i="38"/>
  <c r="K308" i="71" s="1"/>
  <c r="K323" i="31"/>
  <c r="K1960" i="46" s="1"/>
  <c r="K18" i="31"/>
  <c r="K81" i="1" s="1"/>
  <c r="L328" i="70"/>
  <c r="O257" i="31"/>
  <c r="K322" i="31"/>
  <c r="O322" i="31" s="1"/>
  <c r="H32" i="68"/>
  <c r="F34" i="68"/>
  <c r="I154" i="47"/>
  <c r="E233" i="38"/>
  <c r="E325" i="71" s="1"/>
  <c r="E37" i="70"/>
  <c r="K15" i="60"/>
  <c r="E8" i="71" s="1"/>
  <c r="O325" i="31"/>
  <c r="K1963" i="46"/>
  <c r="K347" i="31"/>
  <c r="AA5" i="62"/>
  <c r="S5" i="66"/>
  <c r="AX5" i="64"/>
  <c r="Y4" i="63"/>
  <c r="M4" i="34"/>
  <c r="J4" i="65"/>
  <c r="M4" i="62"/>
  <c r="Y4" i="64"/>
  <c r="J4" i="66"/>
  <c r="E28" i="70"/>
  <c r="F28" i="70"/>
  <c r="G28" i="70"/>
  <c r="E41" i="70"/>
  <c r="K20" i="60"/>
  <c r="E11" i="71" s="1"/>
  <c r="F79" i="1"/>
  <c r="I161" i="47"/>
  <c r="E162" i="47"/>
  <c r="F83" i="1" s="1"/>
  <c r="E249" i="38"/>
  <c r="E335" i="71" s="1"/>
  <c r="E22" i="70"/>
  <c r="E247" i="70"/>
  <c r="I135" i="47"/>
  <c r="E174" i="38"/>
  <c r="E294" i="71" s="1"/>
  <c r="I21" i="60"/>
  <c r="E122" i="71" s="1"/>
  <c r="G5" i="66"/>
  <c r="G5" i="62"/>
  <c r="D75" i="1"/>
  <c r="M5" i="64"/>
  <c r="E33" i="68"/>
  <c r="K344" i="31" l="1"/>
  <c r="K1166" i="46" s="1"/>
  <c r="K17" i="31"/>
  <c r="K212" i="38" s="1"/>
  <c r="K316" i="71" s="1"/>
  <c r="K1962" i="46"/>
  <c r="AZ26" i="64" s="1"/>
  <c r="K345" i="31"/>
  <c r="K1338" i="46" s="1"/>
  <c r="K1959" i="46"/>
  <c r="K1961" i="46" s="1"/>
  <c r="AZ24" i="64" s="1"/>
  <c r="K346" i="31"/>
  <c r="O346" i="31" s="1"/>
  <c r="O323" i="31"/>
  <c r="K250" i="31"/>
  <c r="K21" i="68" s="1"/>
  <c r="K22" i="68" s="1"/>
  <c r="K2021" i="46"/>
  <c r="K123" i="38" s="1"/>
  <c r="M329" i="70" s="1"/>
  <c r="K24" i="70"/>
  <c r="L29" i="70" s="1"/>
  <c r="O18" i="31"/>
  <c r="K222" i="38"/>
  <c r="K320" i="71" s="1"/>
  <c r="H33" i="68"/>
  <c r="E34" i="68"/>
  <c r="I162" i="47"/>
  <c r="E250" i="38"/>
  <c r="E336" i="71" s="1"/>
  <c r="E42" i="70"/>
  <c r="K21" i="60"/>
  <c r="E12" i="71" s="1"/>
  <c r="AA4" i="34"/>
  <c r="S4" i="66"/>
  <c r="AX4" i="63"/>
  <c r="AX4" i="64"/>
  <c r="AA4" i="62"/>
  <c r="S4" i="65"/>
  <c r="O347" i="31"/>
  <c r="K1563" i="46"/>
  <c r="K1176" i="46"/>
  <c r="K1179" i="46" s="1"/>
  <c r="M338" i="70"/>
  <c r="K274" i="71"/>
  <c r="L338" i="70"/>
  <c r="K338" i="70"/>
  <c r="AZ25" i="64"/>
  <c r="AX25" i="64"/>
  <c r="F27" i="70"/>
  <c r="F25" i="70" s="1"/>
  <c r="E27" i="70"/>
  <c r="E25" i="70" s="1"/>
  <c r="G27" i="70"/>
  <c r="G25" i="70" s="1"/>
  <c r="G4" i="62"/>
  <c r="G4" i="34"/>
  <c r="M4" i="63"/>
  <c r="G4" i="66"/>
  <c r="M4" i="64"/>
  <c r="D84" i="1"/>
  <c r="D4" i="60" s="1"/>
  <c r="G4" i="65"/>
  <c r="K1325" i="46" l="1"/>
  <c r="K1340" i="46" s="1"/>
  <c r="BB24" i="64" s="1"/>
  <c r="O344" i="31"/>
  <c r="K80" i="1"/>
  <c r="AT4" i="63" s="1"/>
  <c r="O17" i="31"/>
  <c r="O345" i="31"/>
  <c r="K1167" i="46"/>
  <c r="K1169" i="46" s="1"/>
  <c r="K1174" i="46" s="1"/>
  <c r="AX26" i="64"/>
  <c r="K29" i="70"/>
  <c r="K1186" i="46"/>
  <c r="K1189" i="46" s="1"/>
  <c r="K1194" i="46" s="1"/>
  <c r="K1719" i="46"/>
  <c r="K1751" i="46" s="1"/>
  <c r="K1766" i="46" s="1"/>
  <c r="K1781" i="46" s="1"/>
  <c r="K1783" i="46" s="1"/>
  <c r="K70" i="1"/>
  <c r="Y5" i="62" s="1"/>
  <c r="O250" i="31"/>
  <c r="L329" i="70"/>
  <c r="K267" i="71"/>
  <c r="AX24" i="64"/>
  <c r="K199" i="38"/>
  <c r="K309" i="71" s="1"/>
  <c r="K329" i="70"/>
  <c r="M29" i="70"/>
  <c r="K2024" i="46"/>
  <c r="K124" i="38" s="1"/>
  <c r="F20" i="70"/>
  <c r="K239" i="38"/>
  <c r="K328" i="71" s="1"/>
  <c r="K1184" i="46"/>
  <c r="K163" i="38"/>
  <c r="K286" i="71" s="1"/>
  <c r="H34" i="68"/>
  <c r="N22" i="68"/>
  <c r="I23" i="68"/>
  <c r="G20" i="70"/>
  <c r="K1396" i="46"/>
  <c r="K1424" i="46" s="1"/>
  <c r="K1452" i="46" s="1"/>
  <c r="K1595" i="46"/>
  <c r="K1610" i="46" s="1"/>
  <c r="K1625" i="46" s="1"/>
  <c r="K1627" i="46" s="1"/>
  <c r="K1565" i="46"/>
  <c r="BB25" i="64" s="1"/>
  <c r="E20" i="70"/>
  <c r="K1383" i="46"/>
  <c r="K1411" i="46" s="1"/>
  <c r="K1439" i="46" s="1"/>
  <c r="AB21" i="62" l="1"/>
  <c r="AV25" i="64"/>
  <c r="AV24" i="64"/>
  <c r="AB20" i="62"/>
  <c r="K155" i="71" s="1"/>
  <c r="AV26" i="64"/>
  <c r="AB22" i="62"/>
  <c r="K157" i="71" s="1"/>
  <c r="R4" i="66"/>
  <c r="AT4" i="64"/>
  <c r="Y4" i="62"/>
  <c r="Y4" i="34"/>
  <c r="R4" i="65"/>
  <c r="K1721" i="46"/>
  <c r="BB26" i="64" s="1"/>
  <c r="K165" i="38"/>
  <c r="K288" i="71" s="1"/>
  <c r="K241" i="38"/>
  <c r="K330" i="71" s="1"/>
  <c r="R5" i="66"/>
  <c r="AT5" i="64"/>
  <c r="K252" i="31"/>
  <c r="K19" i="31" s="1"/>
  <c r="K24" i="68"/>
  <c r="K25" i="68" s="1"/>
  <c r="I26" i="68" s="1"/>
  <c r="K161" i="38"/>
  <c r="K284" i="71" s="1"/>
  <c r="K237" i="38"/>
  <c r="K1454" i="46"/>
  <c r="K1934" i="46" s="1"/>
  <c r="K23" i="68"/>
  <c r="K31" i="68" s="1"/>
  <c r="K1940" i="46"/>
  <c r="K1944" i="46"/>
  <c r="K1943" i="46"/>
  <c r="K1942" i="46"/>
  <c r="K1939" i="46"/>
  <c r="K1941" i="46"/>
  <c r="K1952" i="46"/>
  <c r="K1953" i="46"/>
  <c r="K1951" i="46"/>
  <c r="K1954" i="46"/>
  <c r="K1950" i="46"/>
  <c r="K1949" i="46"/>
  <c r="K343" i="70"/>
  <c r="L23" i="68"/>
  <c r="L31" i="68" s="1"/>
  <c r="M23" i="68"/>
  <c r="M31" i="68" s="1"/>
  <c r="K156" i="71"/>
  <c r="K342" i="70"/>
  <c r="M330" i="70"/>
  <c r="L330" i="70"/>
  <c r="K330" i="70"/>
  <c r="K268" i="71"/>
  <c r="K1196" i="46"/>
  <c r="K261" i="31" s="1"/>
  <c r="O261" i="31" s="1"/>
  <c r="F47" i="68"/>
  <c r="G47" i="68"/>
  <c r="G44" i="68"/>
  <c r="F44" i="68"/>
  <c r="E45" i="68"/>
  <c r="F46" i="68"/>
  <c r="F53" i="68" s="1"/>
  <c r="F313" i="70" s="1"/>
  <c r="E46" i="68"/>
  <c r="G46" i="68"/>
  <c r="G53" i="68" s="1"/>
  <c r="G313" i="70" s="1"/>
  <c r="G45" i="68"/>
  <c r="G54" i="68" s="1"/>
  <c r="G314" i="70" s="1"/>
  <c r="F45" i="68"/>
  <c r="F54" i="68" s="1"/>
  <c r="F314" i="70" s="1"/>
  <c r="E47" i="68"/>
  <c r="E44" i="68"/>
  <c r="F35" i="68"/>
  <c r="F36" i="68" s="1"/>
  <c r="F38" i="68" s="1"/>
  <c r="G35" i="68"/>
  <c r="G36" i="68" s="1"/>
  <c r="G38" i="68" s="1"/>
  <c r="E14" i="70"/>
  <c r="E15" i="70"/>
  <c r="E16" i="70"/>
  <c r="K341" i="70"/>
  <c r="E35" i="68"/>
  <c r="E36" i="68" s="1"/>
  <c r="O252" i="31"/>
  <c r="K72" i="1" l="1"/>
  <c r="AC5" i="62" s="1"/>
  <c r="K243" i="38"/>
  <c r="K332" i="71" s="1"/>
  <c r="K326" i="71"/>
  <c r="N25" i="68"/>
  <c r="K26" i="68" s="1"/>
  <c r="K32" i="68" s="1"/>
  <c r="K33" i="68" s="1"/>
  <c r="K167" i="38"/>
  <c r="K290" i="71" s="1"/>
  <c r="K1931" i="46"/>
  <c r="K1455" i="46"/>
  <c r="K1929" i="46"/>
  <c r="K1459" i="46"/>
  <c r="K1460" i="46" s="1"/>
  <c r="BB36" i="64" s="1"/>
  <c r="K1932" i="46"/>
  <c r="K1458" i="46"/>
  <c r="BB34" i="64" s="1"/>
  <c r="K1930" i="46"/>
  <c r="K1933" i="46"/>
  <c r="K1956" i="46"/>
  <c r="K123" i="47" s="1"/>
  <c r="O123" i="47" s="1"/>
  <c r="H46" i="68"/>
  <c r="E53" i="68"/>
  <c r="G48" i="68"/>
  <c r="G52" i="68"/>
  <c r="G312" i="70" s="1"/>
  <c r="F56" i="68"/>
  <c r="F55" i="68"/>
  <c r="H36" i="68"/>
  <c r="E38" i="68"/>
  <c r="F16" i="70"/>
  <c r="G16" i="70"/>
  <c r="K82" i="1"/>
  <c r="K23" i="70"/>
  <c r="O19" i="31"/>
  <c r="K200" i="38"/>
  <c r="K310" i="71" s="1"/>
  <c r="G15" i="70"/>
  <c r="F15" i="70"/>
  <c r="H44" i="68"/>
  <c r="E48" i="68"/>
  <c r="E52" i="68"/>
  <c r="E54" i="68"/>
  <c r="H45" i="68"/>
  <c r="G55" i="68"/>
  <c r="G56" i="68"/>
  <c r="F14" i="70"/>
  <c r="G14" i="70"/>
  <c r="E56" i="68"/>
  <c r="E55" i="68"/>
  <c r="F48" i="68"/>
  <c r="F52" i="68"/>
  <c r="F312" i="70" s="1"/>
  <c r="N31" i="68"/>
  <c r="K1946" i="46"/>
  <c r="K122" i="47" s="1"/>
  <c r="T5" i="66" l="1"/>
  <c r="BB5" i="64"/>
  <c r="L26" i="68"/>
  <c r="L32" i="68" s="1"/>
  <c r="L33" i="68" s="1"/>
  <c r="L47" i="68" s="1"/>
  <c r="M26" i="68"/>
  <c r="M32" i="68" s="1"/>
  <c r="BB35" i="64"/>
  <c r="K1936" i="46"/>
  <c r="K121" i="47" s="1"/>
  <c r="K125" i="47" s="1"/>
  <c r="K155" i="38"/>
  <c r="K281" i="71" s="1"/>
  <c r="K150" i="47"/>
  <c r="O150" i="47" s="1"/>
  <c r="K34" i="68"/>
  <c r="H38" i="68"/>
  <c r="E39" i="68" s="1"/>
  <c r="C68" i="68"/>
  <c r="D68" i="68"/>
  <c r="E314" i="70"/>
  <c r="C67" i="68"/>
  <c r="E153" i="71"/>
  <c r="D67" i="68"/>
  <c r="L28" i="70"/>
  <c r="M28" i="70"/>
  <c r="K28" i="70"/>
  <c r="C69" i="68"/>
  <c r="D69" i="68"/>
  <c r="E312" i="70"/>
  <c r="E151" i="71"/>
  <c r="C65" i="68"/>
  <c r="D65" i="68"/>
  <c r="T4" i="65"/>
  <c r="BB4" i="64"/>
  <c r="AC4" i="62"/>
  <c r="BB4" i="63"/>
  <c r="T4" i="66"/>
  <c r="AC4" i="34"/>
  <c r="K149" i="47"/>
  <c r="O122" i="47"/>
  <c r="K154" i="38"/>
  <c r="K280" i="71" s="1"/>
  <c r="E152" i="71"/>
  <c r="E313" i="70"/>
  <c r="C66" i="68"/>
  <c r="D66" i="68"/>
  <c r="K47" i="68"/>
  <c r="L34" i="68" l="1"/>
  <c r="N32" i="68"/>
  <c r="M33" i="68"/>
  <c r="M47" i="68" s="1"/>
  <c r="K148" i="47"/>
  <c r="O148" i="47" s="1"/>
  <c r="K153" i="38"/>
  <c r="K279" i="71" s="1"/>
  <c r="O121" i="47"/>
  <c r="K231" i="38"/>
  <c r="K323" i="71" s="1"/>
  <c r="E65" i="68"/>
  <c r="E59" i="68" s="1"/>
  <c r="E69" i="68"/>
  <c r="E66" i="68"/>
  <c r="G60" i="68" s="1"/>
  <c r="E67" i="68"/>
  <c r="G61" i="68" s="1"/>
  <c r="E68" i="68"/>
  <c r="G62" i="68" s="1"/>
  <c r="K56" i="68"/>
  <c r="K55" i="68"/>
  <c r="O149" i="47"/>
  <c r="K230" i="38"/>
  <c r="K322" i="71" s="1"/>
  <c r="L55" i="68"/>
  <c r="L56" i="68"/>
  <c r="K40" i="68"/>
  <c r="E245" i="31"/>
  <c r="E154" i="71"/>
  <c r="E315" i="70"/>
  <c r="K241" i="70"/>
  <c r="K245" i="70"/>
  <c r="U14" i="60"/>
  <c r="K117" i="71" s="1"/>
  <c r="K126" i="47"/>
  <c r="O125" i="47"/>
  <c r="U19" i="60"/>
  <c r="K120" i="71" s="1"/>
  <c r="K171" i="38"/>
  <c r="K291" i="71" s="1"/>
  <c r="K152" i="47"/>
  <c r="G39" i="68"/>
  <c r="F39" i="68"/>
  <c r="M34" i="68" l="1"/>
  <c r="N34" i="68" s="1"/>
  <c r="K45" i="68" s="1"/>
  <c r="K54" i="68" s="1"/>
  <c r="N33" i="68"/>
  <c r="K229" i="38"/>
  <c r="K321" i="71" s="1"/>
  <c r="M55" i="68"/>
  <c r="J68" i="68" s="1"/>
  <c r="M56" i="68"/>
  <c r="J69" i="68" s="1"/>
  <c r="G59" i="68"/>
  <c r="E62" i="68"/>
  <c r="F59" i="68"/>
  <c r="E61" i="68"/>
  <c r="E60" i="68"/>
  <c r="F60" i="68"/>
  <c r="F61" i="68"/>
  <c r="K62" i="68"/>
  <c r="L62" i="68"/>
  <c r="F62" i="68"/>
  <c r="M62" i="68"/>
  <c r="L40" i="68"/>
  <c r="F315" i="70"/>
  <c r="G315" i="70"/>
  <c r="M40" i="68"/>
  <c r="K245" i="32"/>
  <c r="O245" i="32" s="1"/>
  <c r="I245" i="31"/>
  <c r="O152" i="47"/>
  <c r="K36" i="70"/>
  <c r="K40" i="70"/>
  <c r="W14" i="60"/>
  <c r="K7" i="71" s="1"/>
  <c r="K247" i="38"/>
  <c r="K333" i="71" s="1"/>
  <c r="K153" i="47"/>
  <c r="W19" i="60"/>
  <c r="K10" i="71" s="1"/>
  <c r="K134" i="47"/>
  <c r="O126" i="47"/>
  <c r="K156" i="38"/>
  <c r="K282" i="71" s="1"/>
  <c r="K127" i="47"/>
  <c r="L44" i="68" l="1"/>
  <c r="L52" i="68" s="1"/>
  <c r="L45" i="68"/>
  <c r="L54" i="68" s="1"/>
  <c r="L314" i="70" s="1"/>
  <c r="L46" i="68"/>
  <c r="L53" i="68" s="1"/>
  <c r="L313" i="70" s="1"/>
  <c r="K46" i="68"/>
  <c r="M35" i="68"/>
  <c r="M36" i="68" s="1"/>
  <c r="M38" i="68" s="1"/>
  <c r="M45" i="68"/>
  <c r="M54" i="68" s="1"/>
  <c r="M314" i="70" s="1"/>
  <c r="I69" i="68"/>
  <c r="K69" i="68" s="1"/>
  <c r="M44" i="68"/>
  <c r="M52" i="68" s="1"/>
  <c r="M312" i="70" s="1"/>
  <c r="K35" i="68"/>
  <c r="K36" i="68" s="1"/>
  <c r="K38" i="68" s="1"/>
  <c r="K44" i="68"/>
  <c r="K52" i="68" s="1"/>
  <c r="K59" i="68" s="1"/>
  <c r="I68" i="68"/>
  <c r="K68" i="68" s="1"/>
  <c r="M46" i="68"/>
  <c r="M53" i="68" s="1"/>
  <c r="M313" i="70" s="1"/>
  <c r="L35" i="68"/>
  <c r="L36" i="68" s="1"/>
  <c r="L38" i="68" s="1"/>
  <c r="N45" i="68"/>
  <c r="O134" i="47"/>
  <c r="K69" i="1"/>
  <c r="U20" i="60"/>
  <c r="K121" i="71" s="1"/>
  <c r="K246" i="70"/>
  <c r="K135" i="47"/>
  <c r="K173" i="38"/>
  <c r="K293" i="71" s="1"/>
  <c r="O127" i="47"/>
  <c r="U15" i="60"/>
  <c r="K118" i="71" s="1"/>
  <c r="K157" i="38"/>
  <c r="K283" i="71" s="1"/>
  <c r="K242" i="70"/>
  <c r="K314" i="70"/>
  <c r="K153" i="71"/>
  <c r="K61" i="68"/>
  <c r="O153" i="47"/>
  <c r="K232" i="38"/>
  <c r="K324" i="71" s="1"/>
  <c r="K161" i="47"/>
  <c r="K154" i="47"/>
  <c r="K74" i="1" l="1"/>
  <c r="K151" i="71"/>
  <c r="J67" i="68"/>
  <c r="I67" i="68"/>
  <c r="L61" i="68"/>
  <c r="M61" i="68"/>
  <c r="N46" i="68"/>
  <c r="K53" i="68"/>
  <c r="K313" i="70" s="1"/>
  <c r="L48" i="68"/>
  <c r="L60" i="68"/>
  <c r="M59" i="68"/>
  <c r="I65" i="68"/>
  <c r="K312" i="70"/>
  <c r="N38" i="68"/>
  <c r="L39" i="68" s="1"/>
  <c r="L315" i="70" s="1"/>
  <c r="K48" i="68"/>
  <c r="M48" i="68"/>
  <c r="N44" i="68"/>
  <c r="N36" i="68"/>
  <c r="M60" i="68"/>
  <c r="L312" i="70"/>
  <c r="J65" i="68"/>
  <c r="L59" i="68"/>
  <c r="K41" i="70"/>
  <c r="O161" i="47"/>
  <c r="K162" i="47"/>
  <c r="K83" i="1" s="1"/>
  <c r="K22" i="70"/>
  <c r="W20" i="60"/>
  <c r="K11" i="71" s="1"/>
  <c r="K79" i="1"/>
  <c r="K249" i="38"/>
  <c r="K335" i="71" s="1"/>
  <c r="K247" i="70"/>
  <c r="K174" i="38"/>
  <c r="K294" i="71" s="1"/>
  <c r="O135" i="47"/>
  <c r="U21" i="60"/>
  <c r="K122" i="71" s="1"/>
  <c r="O154" i="47"/>
  <c r="K37" i="70"/>
  <c r="W15" i="60"/>
  <c r="K8" i="71" s="1"/>
  <c r="K233" i="38"/>
  <c r="K325" i="71" s="1"/>
  <c r="Q5" i="66"/>
  <c r="I75" i="1"/>
  <c r="W5" i="62"/>
  <c r="AP5" i="64"/>
  <c r="K67" i="68" l="1"/>
  <c r="J66" i="68"/>
  <c r="K152" i="71"/>
  <c r="I66" i="68"/>
  <c r="K60" i="68"/>
  <c r="K65" i="68"/>
  <c r="K39" i="68"/>
  <c r="K154" i="71" s="1"/>
  <c r="M39" i="68"/>
  <c r="M315" i="70" s="1"/>
  <c r="L27" i="70"/>
  <c r="L25" i="70" s="1"/>
  <c r="M27" i="70"/>
  <c r="M25" i="70" s="1"/>
  <c r="K27" i="70"/>
  <c r="K25" i="70" s="1"/>
  <c r="O162" i="47"/>
  <c r="K42" i="70"/>
  <c r="K250" i="38"/>
  <c r="K336" i="71" s="1"/>
  <c r="W21" i="60"/>
  <c r="K12" i="71" s="1"/>
  <c r="AP4" i="64"/>
  <c r="Q4" i="66"/>
  <c r="W4" i="62"/>
  <c r="AP4" i="63"/>
  <c r="I84" i="1"/>
  <c r="P4" i="60" s="1"/>
  <c r="W4" i="34"/>
  <c r="Q4" i="65"/>
  <c r="K66" i="68" l="1"/>
  <c r="K315" i="70"/>
  <c r="K245" i="31"/>
  <c r="O245" i="31" s="1"/>
  <c r="L20" i="70"/>
  <c r="K20" i="70"/>
  <c r="M20" i="70"/>
  <c r="K15" i="70" l="1"/>
  <c r="K14" i="70"/>
  <c r="K16" i="70"/>
  <c r="M15" i="70" l="1"/>
  <c r="L15" i="70"/>
  <c r="L16" i="70"/>
  <c r="M16" i="70"/>
  <c r="L14" i="70"/>
  <c r="M14" i="70"/>
</calcChain>
</file>

<file path=xl/sharedStrings.xml><?xml version="1.0" encoding="utf-8"?>
<sst xmlns="http://schemas.openxmlformats.org/spreadsheetml/2006/main" count="17394" uniqueCount="8526">
  <si>
    <t>core_FilePrefix</t>
  </si>
  <si>
    <t>This is used by the "Filename" macro, to determine what to name files as when saving</t>
  </si>
  <si>
    <t>tl</t>
  </si>
  <si>
    <t>this specifies what named ranges the tool reset decision macros search for</t>
  </si>
  <si>
    <t>e.g. if the named range on the dec page is "decTeamName" then the reset macro will look for [dec_toolInputPrefix &amp; "TeamName"]</t>
  </si>
  <si>
    <t>BTS</t>
  </si>
  <si>
    <t>xxRound</t>
  </si>
  <si>
    <t>dec_TeamName</t>
  </si>
  <si>
    <t>Menu Active</t>
  </si>
  <si>
    <t>Level 1 Menus</t>
  </si>
  <si>
    <t>vbaPopupMenu1Lvl1ItemNumber</t>
  </si>
  <si>
    <t>Level 2 Menus</t>
  </si>
  <si>
    <t>vbaPopupMenu1Lvl2ItemNumber</t>
  </si>
  <si>
    <t>Total</t>
  </si>
  <si>
    <t>vbaPopupMenu1ItemNumber</t>
  </si>
  <si>
    <t>Menu Items</t>
  </si>
  <si>
    <t>Menu Level</t>
  </si>
  <si>
    <t>Title</t>
  </si>
  <si>
    <t>Macro</t>
  </si>
  <si>
    <t>Face Id</t>
  </si>
  <si>
    <t>SimReset</t>
  </si>
  <si>
    <t>vbaPopupMenu1ListLevel</t>
  </si>
  <si>
    <t>vbaPopupMenu1ListTitle</t>
  </si>
  <si>
    <t>vbaPopupMenu1ListMacro</t>
  </si>
  <si>
    <t>vbaPopupMenu1ListFaceID</t>
  </si>
  <si>
    <t>ID</t>
  </si>
  <si>
    <t>Symbol</t>
  </si>
  <si>
    <t>Blank</t>
  </si>
  <si>
    <t>Save</t>
  </si>
  <si>
    <t>Print</t>
  </si>
  <si>
    <t>Cut</t>
  </si>
  <si>
    <t>Paste</t>
  </si>
  <si>
    <t>Open</t>
  </si>
  <si>
    <t>Rotate/Reset</t>
  </si>
  <si>
    <t>Trash</t>
  </si>
  <si>
    <t>Search</t>
  </si>
  <si>
    <t>Do Not Enter</t>
  </si>
  <si>
    <t>Delete (x)</t>
  </si>
  <si>
    <t>=</t>
  </si>
  <si>
    <t>+</t>
  </si>
  <si>
    <t>-</t>
  </si>
  <si>
    <t>70 - 79</t>
  </si>
  <si>
    <t>0-9</t>
  </si>
  <si>
    <t>80-105</t>
  </si>
  <si>
    <t>A-Z</t>
  </si>
  <si>
    <t>cnstSingleQuote</t>
  </si>
  <si>
    <t>cnstDoubleQuote</t>
  </si>
  <si>
    <t>Macro Name</t>
  </si>
  <si>
    <t>Arg 1</t>
  </si>
  <si>
    <t>Arg 2</t>
  </si>
  <si>
    <t>dec_TeamNumber</t>
  </si>
  <si>
    <t>Connect this to tlTeamName on Intro page</t>
  </si>
  <si>
    <t>Connect this to tlTeamNumber on Intro page</t>
  </si>
  <si>
    <t>dec_Round</t>
  </si>
  <si>
    <t>Connect this to xxRound on your Controls page</t>
  </si>
  <si>
    <t>hood_OnHoodCloseGoTo</t>
  </si>
  <si>
    <t>hood_ToolPrefix</t>
  </si>
  <si>
    <t>tlIntro</t>
  </si>
  <si>
    <t>xxSim0Tool1</t>
  </si>
  <si>
    <t>xxIndexTeam</t>
  </si>
  <si>
    <t>Feedback</t>
  </si>
  <si>
    <t>feedback_FeedbackSheetName</t>
  </si>
  <si>
    <t>FeedbackTS</t>
  </si>
  <si>
    <t>feedback_TimeSeriesFeedbackSheetName</t>
  </si>
  <si>
    <t>feedback_FeedbackFileName</t>
  </si>
  <si>
    <t>sim_OnResetGoTo</t>
  </si>
  <si>
    <t>This named range determines which page to go to once the sim has been reset; by default it goes to the "Instructions" page you have just created</t>
  </si>
  <si>
    <t>Leave this blank if you do not want to specify a page to go to</t>
  </si>
  <si>
    <t>SimNewRound</t>
  </si>
  <si>
    <t>Controls</t>
  </si>
  <si>
    <t>this specifices which sheets the hood close macro acts upon</t>
  </si>
  <si>
    <t>after the hood is closed, which sheet should be navigated to (must begin with the prefix specified in hood_ToolPrefix)</t>
  </si>
  <si>
    <t>This is the name of the feedback file - whatever you enter here will be what the macro searches for when updating feedbacks</t>
  </si>
  <si>
    <t>Facilitator Instructions</t>
  </si>
  <si>
    <t>Processing</t>
  </si>
  <si>
    <t>Sim - Advance to Next Round</t>
  </si>
  <si>
    <t>Sim - Reset to R0</t>
  </si>
  <si>
    <t>dec_ToolInputPrefix</t>
  </si>
  <si>
    <t>Master Reset</t>
  </si>
  <si>
    <t>MasterReset</t>
  </si>
  <si>
    <t>FeedbackFile.xlsx</t>
  </si>
  <si>
    <t>This determines how many tools to create</t>
  </si>
  <si>
    <t>xxNumOfTeams</t>
  </si>
  <si>
    <t>xxToolPrefix</t>
  </si>
  <si>
    <t>CONFIGURATION - These MAY be set up by the developer at the beginning of the development; You are unlikely to need to modify these</t>
  </si>
  <si>
    <t>STATE - These are modified by macros, or may be manually adjusted by the developer for testing purposes</t>
  </si>
  <si>
    <t>SET UP - These MUST be set up by the developer at the beginning of the development</t>
  </si>
  <si>
    <t>SETTINGS - These may be modified by the developer or consultant</t>
  </si>
  <si>
    <t>INTERFACE - For modules that are being imported, these cells must be correctly connected to other cells in the simulation</t>
  </si>
  <si>
    <t>Connect this to xxToolPrefix on your controls page</t>
  </si>
  <si>
    <t>Menu Name</t>
  </si>
  <si>
    <t>PopUpMenu1</t>
  </si>
  <si>
    <t>vbaPopupMenuName</t>
  </si>
  <si>
    <t>vbaPopupMenuActive</t>
  </si>
  <si>
    <t>Popup Menu 1</t>
  </si>
  <si>
    <t>Arg 3</t>
  </si>
  <si>
    <t>Menu Level Count</t>
  </si>
  <si>
    <t>Useful Face IDs:</t>
  </si>
  <si>
    <t>Menu Constants</t>
  </si>
  <si>
    <t>Single Quote</t>
  </si>
  <si>
    <t>'</t>
  </si>
  <si>
    <t>Double Quote</t>
  </si>
  <si>
    <t>"</t>
  </si>
  <si>
    <t>Comma</t>
  </si>
  <si>
    <t>,</t>
  </si>
  <si>
    <t>cnstComma</t>
  </si>
  <si>
    <t>Description</t>
  </si>
  <si>
    <t xml:space="preserve">  Formula cell.  Developer may modify.</t>
  </si>
  <si>
    <t>Developer Notes</t>
  </si>
  <si>
    <t>Modules Used</t>
  </si>
  <si>
    <t xml:space="preserve">  Hard-coded cell.  Developer may modify.</t>
  </si>
  <si>
    <t xml:space="preserve">  Calculated cell. User must not modify.</t>
  </si>
  <si>
    <t xml:space="preserve">  Cell must be linked to another worksheet.</t>
  </si>
  <si>
    <t>Simulation Legend</t>
  </si>
  <si>
    <t>Processing Instructions</t>
  </si>
  <si>
    <t>Developer Resources</t>
  </si>
  <si>
    <t>https://bts.box.com/s/tld8dyjxygi4ctr492i8pgwwngqmbjnd</t>
  </si>
  <si>
    <t>Resource Name</t>
  </si>
  <si>
    <t>When to Use</t>
  </si>
  <si>
    <t>Link</t>
  </si>
  <si>
    <t>Updated Module Catalogue</t>
  </si>
  <si>
    <t>Refer to the Module Catalogue after concepting and before development.</t>
  </si>
  <si>
    <t>Module Factory Email</t>
  </si>
  <si>
    <t>ModuleFactory@bts.com</t>
  </si>
  <si>
    <t>Contact info for Module Factory developers.</t>
  </si>
  <si>
    <t>Use when you have questions on how to use or adapt a module (always read the user guide first), if you need a new module built, or if you have an idea for a module.</t>
  </si>
  <si>
    <t>Developer Support</t>
  </si>
  <si>
    <t>DeveloperSupport@bts.com</t>
  </si>
  <si>
    <t>Contact info for senior developers across time zones for urgent support requests.</t>
  </si>
  <si>
    <t>Use when you (the developer) have an urgent support need relating to a simulation you cannot resolve. Make sure you describe all variables such as version of Excel, etc. Mark as "low importance" in Outlook for less urgent requests.</t>
  </si>
  <si>
    <t>Library of all of the core platform modules sorted by functional type (e.g. calc, fin, market model, UI, developer tools)</t>
  </si>
  <si>
    <t>Constants (for Reference)</t>
  </si>
  <si>
    <t>Calculations</t>
  </si>
  <si>
    <t>Set Up</t>
  </si>
  <si>
    <t>Inputs</t>
  </si>
  <si>
    <t>Calculation Cell Types</t>
  </si>
  <si>
    <t>Input Cell Types</t>
  </si>
  <si>
    <t>Legend</t>
  </si>
  <si>
    <t>For support contact:</t>
  </si>
  <si>
    <t>Popup Menu Module (Crtl + M)</t>
  </si>
  <si>
    <t>simulation_Type</t>
  </si>
  <si>
    <t>This is used as a switch for certain macros such as the SimReset macro</t>
  </si>
  <si>
    <t>Navigation</t>
  </si>
  <si>
    <t>HoodGoToScreen</t>
  </si>
  <si>
    <t>Facilitator_Instructions</t>
  </si>
  <si>
    <t>Current Release Notes</t>
  </si>
  <si>
    <t>- The following pages have been modularized and removed from the core sim: obal, cbal, fin, calc, param, adj</t>
  </si>
  <si>
    <t>Applies to BA1 and BA2 only</t>
  </si>
  <si>
    <t>The legend colors are available under Excel's standard color palette. The theme colors are preloaded with BTS branded colors.</t>
  </si>
  <si>
    <t>BA1</t>
  </si>
  <si>
    <t>R</t>
  </si>
  <si>
    <t>Must be in numerical order</t>
  </si>
  <si>
    <t># Adjustments</t>
  </si>
  <si>
    <t>Named Range</t>
  </si>
  <si>
    <t>Base Value</t>
  </si>
  <si>
    <t>A/R</t>
  </si>
  <si>
    <t>Name</t>
  </si>
  <si>
    <t>#</t>
  </si>
  <si>
    <t>Team 5</t>
  </si>
  <si>
    <t>Team 4</t>
  </si>
  <si>
    <t>Team 3</t>
  </si>
  <si>
    <t>Team 2</t>
  </si>
  <si>
    <t>Team 1</t>
  </si>
  <si>
    <t>Parameters</t>
  </si>
  <si>
    <t xml:space="preserve">  Cell values must be linked to another worksheet.</t>
  </si>
  <si>
    <t>Adj Param Module</t>
  </si>
  <si>
    <t>2nd Round</t>
  </si>
  <si>
    <t>1st Round</t>
  </si>
  <si>
    <t>If not chosen</t>
  </si>
  <si>
    <t>SI Code</t>
  </si>
  <si>
    <t>Strategic Initiatives</t>
  </si>
  <si>
    <t>adj_IndexTeam</t>
  </si>
  <si>
    <t>Parameter Name</t>
  </si>
  <si>
    <t>Parameter #</t>
  </si>
  <si>
    <t>Adjustments</t>
  </si>
  <si>
    <t>End of Opening Balances</t>
  </si>
  <si>
    <t>cbalSI5CodeR3</t>
  </si>
  <si>
    <t>cbalSI4CodeR3</t>
  </si>
  <si>
    <t>cbalSI3CodeR3</t>
  </si>
  <si>
    <t>cbalSI2CodeR3</t>
  </si>
  <si>
    <t>cbalSI1CodeR3</t>
  </si>
  <si>
    <t>cbalSI5CodeR2</t>
  </si>
  <si>
    <t>cbalSI4CodeR2</t>
  </si>
  <si>
    <t>cbalSI3CodeR2</t>
  </si>
  <si>
    <t>cbalSI2CodeR2</t>
  </si>
  <si>
    <t>cbalSI1CodeR2</t>
  </si>
  <si>
    <t>cbalSI5CodeR1</t>
  </si>
  <si>
    <t>cbalSI4CodeR1</t>
  </si>
  <si>
    <t>cbalSI3CodeR1</t>
  </si>
  <si>
    <t>cbalSI2CodeR1</t>
  </si>
  <si>
    <t>cbalSI1CodeR1</t>
  </si>
  <si>
    <t>cbal_Paste</t>
  </si>
  <si>
    <t>Closing Balances</t>
  </si>
  <si>
    <t>Balances Module</t>
  </si>
  <si>
    <t>obal_End</t>
  </si>
  <si>
    <t>obalSI5CodeR3</t>
  </si>
  <si>
    <t>Initiative (Code) - R3 #5</t>
  </si>
  <si>
    <t>obalSI4CodeR3</t>
  </si>
  <si>
    <t>Initiative (Code) - R3 #4</t>
  </si>
  <si>
    <t>obalSI3CodeR3</t>
  </si>
  <si>
    <t>Initiative (Code) - R3 #3</t>
  </si>
  <si>
    <t>obalSI2CodeR3</t>
  </si>
  <si>
    <t>Initiative (Code) - R3 #2</t>
  </si>
  <si>
    <t>obalSI1CodeR3</t>
  </si>
  <si>
    <t>Initiative (Code) - R3 #1</t>
  </si>
  <si>
    <t>obalSI5CodeR2</t>
  </si>
  <si>
    <t>Initiative (Code) - R2 #5</t>
  </si>
  <si>
    <t>obalSI4CodeR2</t>
  </si>
  <si>
    <t>Initiative (Code) - R2 #4</t>
  </si>
  <si>
    <t>obalSI3CodeR2</t>
  </si>
  <si>
    <t>Initiative (Code) - R2 #3</t>
  </si>
  <si>
    <t>obalSI2CodeR2</t>
  </si>
  <si>
    <t>Initiative (Code) - R2 #2</t>
  </si>
  <si>
    <t>obalSI1CodeR2</t>
  </si>
  <si>
    <t>Initiative (Code) - R2 #1</t>
  </si>
  <si>
    <t>obalSI5CodeR1</t>
  </si>
  <si>
    <t>Initiative (Code) - R1 #5</t>
  </si>
  <si>
    <t>obalSI4CodeR1</t>
  </si>
  <si>
    <t>Initiative (Code) - R1 #4</t>
  </si>
  <si>
    <t>obalSI3CodeR1</t>
  </si>
  <si>
    <t>Initiative (Code) - R1 #3</t>
  </si>
  <si>
    <t>obalSI2CodeR1</t>
  </si>
  <si>
    <t>Initiative (Code) - R1 #2</t>
  </si>
  <si>
    <t>obalSI1CodeR1</t>
  </si>
  <si>
    <t>Initiative (Code) - R1 #1</t>
  </si>
  <si>
    <t>Market Share</t>
  </si>
  <si>
    <t>obal_Paste</t>
  </si>
  <si>
    <t>Opening Balances</t>
  </si>
  <si>
    <t>HideRows</t>
  </si>
  <si>
    <t>Round</t>
  </si>
  <si>
    <t>Team Number</t>
  </si>
  <si>
    <t>Team Name</t>
  </si>
  <si>
    <t>Screen</t>
  </si>
  <si>
    <t>Price</t>
  </si>
  <si>
    <t>Product 1</t>
  </si>
  <si>
    <t>Dashboard</t>
  </si>
  <si>
    <t>End of Decisions</t>
  </si>
  <si>
    <t>Decisions</t>
  </si>
  <si>
    <t>dec_End</t>
  </si>
  <si>
    <t>decSI05</t>
  </si>
  <si>
    <t>Initiative 5</t>
  </si>
  <si>
    <t>decSI04</t>
  </si>
  <si>
    <t>Initiative 4</t>
  </si>
  <si>
    <t>decSI03</t>
  </si>
  <si>
    <t>Initiative 3</t>
  </si>
  <si>
    <t>decSI02</t>
  </si>
  <si>
    <t>Initiative 2</t>
  </si>
  <si>
    <t>decSI01</t>
  </si>
  <si>
    <t>Initiative 1</t>
  </si>
  <si>
    <t>decProd1Price</t>
  </si>
  <si>
    <t>decProd1Forecast</t>
  </si>
  <si>
    <t>Forecast</t>
  </si>
  <si>
    <t>decRound</t>
  </si>
  <si>
    <t>decTeamNumber</t>
  </si>
  <si>
    <t>decTeamName</t>
  </si>
  <si>
    <t>dec_PasteY3</t>
  </si>
  <si>
    <t>dec_PasteY2</t>
  </si>
  <si>
    <t>dec_PasteY1</t>
  </si>
  <si>
    <t>dec_Paste</t>
  </si>
  <si>
    <t>Paste. Leave This Row Blank</t>
  </si>
  <si>
    <t>T5Y3</t>
  </si>
  <si>
    <t>T4Y3</t>
  </si>
  <si>
    <t>T3Y3</t>
  </si>
  <si>
    <t>T2Y3</t>
  </si>
  <si>
    <t>T1Y3</t>
  </si>
  <si>
    <t>T5Y2</t>
  </si>
  <si>
    <t>T4Y2</t>
  </si>
  <si>
    <t>T3Y2</t>
  </si>
  <si>
    <t>T2Y2</t>
  </si>
  <si>
    <t>T1Y2</t>
  </si>
  <si>
    <t>T5Y1</t>
  </si>
  <si>
    <t>T4Y1</t>
  </si>
  <si>
    <t>T3Y1</t>
  </si>
  <si>
    <t>T2Y1</t>
  </si>
  <si>
    <t>T1Y1</t>
  </si>
  <si>
    <t>dec_ToolResetValues</t>
  </si>
  <si>
    <t>dec_ToolResetR0</t>
  </si>
  <si>
    <t>dec_ToolReset</t>
  </si>
  <si>
    <t>dec_FormulaReset</t>
  </si>
  <si>
    <t>dec_Names</t>
  </si>
  <si>
    <t>Dec History</t>
  </si>
  <si>
    <t>Tool Reset Values (BA1 and BA2 only)</t>
  </si>
  <si>
    <t>Tool Reset R0</t>
  </si>
  <si>
    <t>Tool Reset Every Round</t>
  </si>
  <si>
    <t>Formula Reset (Value for Hybrid)</t>
  </si>
  <si>
    <t>**Link from simulation_Type on Controls page</t>
  </si>
  <si>
    <t>decSimulationType</t>
  </si>
  <si>
    <t>Simulation Type</t>
  </si>
  <si>
    <t>SheetName</t>
  </si>
  <si>
    <t>X Label</t>
  </si>
  <si>
    <t>Y Label</t>
  </si>
  <si>
    <t>Graph Type</t>
  </si>
  <si>
    <t>Stacked Column with Data Label</t>
  </si>
  <si>
    <t>Feedbacks</t>
  </si>
  <si>
    <t>fbNumOfTeams</t>
  </si>
  <si>
    <t>Number of Teams</t>
  </si>
  <si>
    <t>VOC</t>
  </si>
  <si>
    <t>Bubble (Price Volume)</t>
  </si>
  <si>
    <t>Bubble</t>
  </si>
  <si>
    <t>Clustered Column with Data Label</t>
  </si>
  <si>
    <t>Clustered Column</t>
  </si>
  <si>
    <t xml:space="preserve">  Developer must assign value as external input.</t>
  </si>
  <si>
    <t>Stacked Column</t>
  </si>
  <si>
    <t xml:space="preserve">  Hard-coded input cell.  Developer may modify.</t>
  </si>
  <si>
    <t>Legend (DO NOT DELETE)</t>
  </si>
  <si>
    <t>Count</t>
  </si>
  <si>
    <t>Team 10</t>
  </si>
  <si>
    <t>Team 9</t>
  </si>
  <si>
    <t>Team 8</t>
  </si>
  <si>
    <t>Team 7</t>
  </si>
  <si>
    <t>Team 6</t>
  </si>
  <si>
    <t>fb0034GMProd1</t>
  </si>
  <si>
    <t>Year</t>
  </si>
  <si>
    <t>Gross Margin Alpha</t>
  </si>
  <si>
    <t>Time Series</t>
  </si>
  <si>
    <t>ffbRevenue</t>
  </si>
  <si>
    <t>Link to Range</t>
  </si>
  <si>
    <t>ffbProd1SO</t>
  </si>
  <si>
    <t>Volume Stock Out</t>
  </si>
  <si>
    <t>ffbProd1NSO</t>
  </si>
  <si>
    <t>Volume Non Stock Out</t>
  </si>
  <si>
    <t>Enter Year 0 Rows Above</t>
  </si>
  <si>
    <t>ffbProd1Vol</t>
  </si>
  <si>
    <t>Volume</t>
  </si>
  <si>
    <t>SO Row</t>
  </si>
  <si>
    <t>Non SO Row</t>
  </si>
  <si>
    <t>Volume Row</t>
  </si>
  <si>
    <t>fb1234PVProd1</t>
  </si>
  <si>
    <t>Price Volume Alpha</t>
  </si>
  <si>
    <t>PV</t>
  </si>
  <si>
    <t>ffbProd1Price</t>
  </si>
  <si>
    <t>decteamname</t>
  </si>
  <si>
    <t>fbTSHideRange</t>
  </si>
  <si>
    <t>Feedback Time Series</t>
  </si>
  <si>
    <t>WobblerCalc</t>
  </si>
  <si>
    <t>Tool - Export Decisions</t>
  </si>
  <si>
    <t>Sim - Import Decisions</t>
  </si>
  <si>
    <t>DecExportDecisions</t>
  </si>
  <si>
    <t>DecImportDecisions</t>
  </si>
  <si>
    <t>Sim - Update Feedbacks</t>
  </si>
  <si>
    <t>FBUpdateFeedbackFile</t>
  </si>
  <si>
    <t>Gross Margin</t>
  </si>
  <si>
    <t>nmGrossMargin</t>
  </si>
  <si>
    <t>Gross Profit</t>
  </si>
  <si>
    <t>nmGrossProfit</t>
  </si>
  <si>
    <t>COGS</t>
  </si>
  <si>
    <t>nmCOGS</t>
  </si>
  <si>
    <t>Revenue</t>
  </si>
  <si>
    <t>nmRevenue</t>
  </si>
  <si>
    <t>nmInitiatives</t>
  </si>
  <si>
    <t>Marketing</t>
  </si>
  <si>
    <t>nmMarketing</t>
  </si>
  <si>
    <t>nmPrice</t>
  </si>
  <si>
    <t>nmForecast</t>
  </si>
  <si>
    <t>nmProd1</t>
  </si>
  <si>
    <t>Mn</t>
  </si>
  <si>
    <t>nmMillion</t>
  </si>
  <si>
    <t>nmRound</t>
  </si>
  <si>
    <t>nmTeamNumber</t>
  </si>
  <si>
    <t>nmTeamName</t>
  </si>
  <si>
    <t>Business Simulation</t>
  </si>
  <si>
    <t>nmProgramSubtitle</t>
  </si>
  <si>
    <t>Client Name</t>
  </si>
  <si>
    <t>nmProgramTitle</t>
  </si>
  <si>
    <t>Language 3</t>
  </si>
  <si>
    <t>Language 2</t>
  </si>
  <si>
    <t>English</t>
  </si>
  <si>
    <t>Names</t>
  </si>
  <si>
    <t>cnstMillion</t>
  </si>
  <si>
    <t>Constants</t>
  </si>
  <si>
    <t>Inputs and Outputs</t>
  </si>
  <si>
    <t>glossaryLanguage</t>
  </si>
  <si>
    <t>Glossary Language</t>
  </si>
  <si>
    <t>Glossary</t>
  </si>
  <si>
    <t>Income Statement</t>
  </si>
  <si>
    <t>PrintAnalysisReport</t>
  </si>
  <si>
    <t>PrintMktAnalysisReport</t>
  </si>
  <si>
    <t>PrintCompetitorReport</t>
  </si>
  <si>
    <t>PrintAnnualReportsTeam</t>
  </si>
  <si>
    <t>PrintAnnualReportsAll</t>
  </si>
  <si>
    <t>PrintReports</t>
  </si>
  <si>
    <t>Printing</t>
  </si>
  <si>
    <t>Print Annuals: All Teams</t>
  </si>
  <si>
    <t>Print Annuals: Select Team</t>
  </si>
  <si>
    <t>Print Competitor Report</t>
  </si>
  <si>
    <t>Print Analysis Report</t>
  </si>
  <si>
    <t>Print Mkt Analysis Report</t>
  </si>
  <si>
    <t>adjParam</t>
  </si>
  <si>
    <t>Balances</t>
  </si>
  <si>
    <t>BTS Standard Tool Template</t>
  </si>
  <si>
    <t>ClearAdj</t>
  </si>
  <si>
    <t>ClearDecisions</t>
  </si>
  <si>
    <t>Dec</t>
  </si>
  <si>
    <t>DecBuilder</t>
  </si>
  <si>
    <t>ErrorMessage</t>
  </si>
  <si>
    <t>Feedback Automation</t>
  </si>
  <si>
    <t>Initiatives Calc</t>
  </si>
  <si>
    <t>New module - very very useful</t>
  </si>
  <si>
    <t>Initiatives Drop Down</t>
  </si>
  <si>
    <t>Fin Module (One of them)</t>
  </si>
  <si>
    <t>MM Module (One of them)</t>
  </si>
  <si>
    <t>SimpleIndex Module</t>
  </si>
  <si>
    <t>WiB</t>
  </si>
  <si>
    <r>
      <t xml:space="preserve">- The </t>
    </r>
    <r>
      <rPr>
        <b/>
        <sz val="8"/>
        <color theme="1"/>
        <rFont val="Arial"/>
        <family val="2"/>
      </rPr>
      <t>Controls</t>
    </r>
    <r>
      <rPr>
        <sz val="8"/>
        <color theme="1"/>
        <rFont val="Arial"/>
        <family val="2"/>
      </rPr>
      <t xml:space="preserve"> page has a new range "simulation_Type." The simulation type will impact which core sim macros are activated.</t>
    </r>
  </si>
  <si>
    <r>
      <rPr>
        <b/>
        <sz val="8"/>
        <color theme="1"/>
        <rFont val="Arial"/>
        <family val="2"/>
      </rPr>
      <t>Follow the legend below</t>
    </r>
    <r>
      <rPr>
        <sz val="8"/>
        <color theme="1"/>
        <rFont val="Arial"/>
        <family val="2"/>
      </rPr>
      <t xml:space="preserve"> to color-code the backend of your simulation. Other developers will better understand your simulation when it is color coded. The modules adhere to the same coloring.</t>
    </r>
  </si>
  <si>
    <t>FinIns Module - Calculations</t>
  </si>
  <si>
    <t>Total Revenue</t>
  </si>
  <si>
    <t>Operating Expenses</t>
  </si>
  <si>
    <t xml:space="preserve"> </t>
  </si>
  <si>
    <t>Winning in Business</t>
  </si>
  <si>
    <t>R-2</t>
  </si>
  <si>
    <t>R-1</t>
  </si>
  <si>
    <t>R0</t>
  </si>
  <si>
    <t>R1</t>
  </si>
  <si>
    <t>R2</t>
  </si>
  <si>
    <t>R3</t>
  </si>
  <si>
    <t>R4</t>
  </si>
  <si>
    <t>Adjustment</t>
  </si>
  <si>
    <t>This Round</t>
  </si>
  <si>
    <t>Account Growth</t>
  </si>
  <si>
    <t>New Accounts</t>
  </si>
  <si>
    <t>Churned Accounts</t>
  </si>
  <si>
    <t>Accounts this Year</t>
  </si>
  <si>
    <t>Team in Market</t>
  </si>
  <si>
    <t>Drivers</t>
  </si>
  <si>
    <t>Weights</t>
  </si>
  <si>
    <t>Direction*</t>
  </si>
  <si>
    <t>Average</t>
  </si>
  <si>
    <t>Special Programs</t>
  </si>
  <si>
    <t>Weighted Scores</t>
  </si>
  <si>
    <t>Total Score</t>
  </si>
  <si>
    <t>Units in Demand</t>
  </si>
  <si>
    <t>Adjustment (%)</t>
  </si>
  <si>
    <t>Adjusted Demand</t>
  </si>
  <si>
    <t>Adjusted Market Share</t>
  </si>
  <si>
    <t>Impact (Unordered VOC)</t>
  </si>
  <si>
    <t>Ordered VOC</t>
  </si>
  <si>
    <t xml:space="preserve">min </t>
  </si>
  <si>
    <t xml:space="preserve">max </t>
  </si>
  <si>
    <t>spread</t>
  </si>
  <si>
    <t>Normalized VOC</t>
  </si>
  <si>
    <t>Weight</t>
  </si>
  <si>
    <t>Market Model Drivers</t>
  </si>
  <si>
    <t>Driver</t>
  </si>
  <si>
    <t>Direction</t>
  </si>
  <si>
    <t>&lt;---- Allocated by customer Segement.</t>
  </si>
  <si>
    <t>New Business</t>
  </si>
  <si>
    <t>% Growth Round-on-Round</t>
  </si>
  <si>
    <t>Total Number of New Policies</t>
  </si>
  <si>
    <t>Direction: +1 = the higher the score the better; -1 = the lower the score the better</t>
  </si>
  <si>
    <t>New Business Yr 0 Per Team</t>
  </si>
  <si>
    <t>nmProd2</t>
  </si>
  <si>
    <t>nmLOB1</t>
  </si>
  <si>
    <t>nmLOB2</t>
  </si>
  <si>
    <t>xxProgramName</t>
  </si>
  <si>
    <t>Intro</t>
  </si>
  <si>
    <t>A1:S23</t>
  </si>
  <si>
    <t>A1:S26</t>
  </si>
  <si>
    <t>A1:S32</t>
  </si>
  <si>
    <t>xxteamnumber</t>
  </si>
  <si>
    <t>xxR2teamnumber</t>
  </si>
  <si>
    <t>xxDecXDataImport</t>
  </si>
  <si>
    <t>decR2TeamNumber</t>
  </si>
  <si>
    <t>decR2TeamName</t>
  </si>
  <si>
    <t>decTeamYear</t>
  </si>
  <si>
    <t>decR2TeamYear</t>
  </si>
  <si>
    <t>Event 2 Choice</t>
  </si>
  <si>
    <t>tlInputR1Event2</t>
  </si>
  <si>
    <t>tlOutput - link to dec page.</t>
  </si>
  <si>
    <t>Event 3 Choice</t>
  </si>
  <si>
    <t>tlInputR1Event3</t>
  </si>
  <si>
    <t>A1:R43</t>
  </si>
  <si>
    <t>Dashboards</t>
  </si>
  <si>
    <t>ROUND 1</t>
  </si>
  <si>
    <t>ROUND 2</t>
  </si>
  <si>
    <t>Round 1</t>
  </si>
  <si>
    <t>Round 2</t>
  </si>
  <si>
    <t>tlOutputfinRev_R1</t>
  </si>
  <si>
    <t>tlOutputfinTotalExp_R1</t>
  </si>
  <si>
    <t>tlOutputfinRev_R2</t>
  </si>
  <si>
    <t>tlOutputfinTotalExp_R2</t>
  </si>
  <si>
    <t>decR1Event2</t>
  </si>
  <si>
    <t>decR1Event3</t>
  </si>
  <si>
    <t>AMED</t>
  </si>
  <si>
    <t>Care Center 1</t>
  </si>
  <si>
    <t>Care Center Simulation Experience</t>
  </si>
  <si>
    <t>Revenue Growth</t>
  </si>
  <si>
    <t>NIFO</t>
  </si>
  <si>
    <t>Stars</t>
  </si>
  <si>
    <t>Employee Engagement</t>
  </si>
  <si>
    <t>Referral Satisfaction</t>
  </si>
  <si>
    <t>DOO Utilzation</t>
  </si>
  <si>
    <t>tlOutputDBLOB1RevGrowth_R1</t>
  </si>
  <si>
    <t>tlOutputDBLOB1NIFO_R1</t>
  </si>
  <si>
    <t>tlOutputDBLOB1Stars_R1</t>
  </si>
  <si>
    <t>tlOutputDBLOB1ESAT_R1</t>
  </si>
  <si>
    <t>tlOutputDBLOB1CSAT_R1</t>
  </si>
  <si>
    <t>tlOutputDBLOB1Emp1Util_R1</t>
  </si>
  <si>
    <t>DOO Utilization</t>
  </si>
  <si>
    <t>tlOutputDBLOB1RevGrowth_R2</t>
  </si>
  <si>
    <t>tlOutputDBLOB1NIFO_R2</t>
  </si>
  <si>
    <t>tlOutputDBLOB1Stars_R2</t>
  </si>
  <si>
    <t>tlOutputDBLOB1ESAT_R2</t>
  </si>
  <si>
    <t>tlOutputDBLOB1CSAT_R2</t>
  </si>
  <si>
    <t>tlOutputDBLOB1Emp1Util_R2</t>
  </si>
  <si>
    <t>tlOutputDBLOB2RevGrowth_R1</t>
  </si>
  <si>
    <t>tlOutputDBLOB2NIFO_R1</t>
  </si>
  <si>
    <t>tlOutputDBLOB2Stars_R1</t>
  </si>
  <si>
    <t>tlOutputDBLOB2ESAT_R1</t>
  </si>
  <si>
    <t>tlOutputDBLOB2CSAT_R1</t>
  </si>
  <si>
    <t>tlOutputDBLOB2Emp1Util_R1</t>
  </si>
  <si>
    <t>tlOutputDBLOB2RevGrowth_R2</t>
  </si>
  <si>
    <t>tlOutputDBLOB2NIFO_R2</t>
  </si>
  <si>
    <t>tlOutputDBLOB2Stars_R2</t>
  </si>
  <si>
    <t>tlOutputDBLOB2ESAT_R2</t>
  </si>
  <si>
    <t>tlOutputDBLOB2CSAT_R2</t>
  </si>
  <si>
    <t>tlOutputDBLOB2Emp1Util_R2</t>
  </si>
  <si>
    <t>tlOutputDBRevGrowth_R1</t>
  </si>
  <si>
    <t>tlOutputDBRevGrowth_R2</t>
  </si>
  <si>
    <t>tlOutputDBNIFO_R1</t>
  </si>
  <si>
    <t>tlOutputDBNIFO_R2</t>
  </si>
  <si>
    <t>tlOutputDBStars_R1</t>
  </si>
  <si>
    <t>tlOutputDBStars_R2</t>
  </si>
  <si>
    <t>tlOutputDBESAT_R1</t>
  </si>
  <si>
    <t>tlOutputDBESAT_R2</t>
  </si>
  <si>
    <t>tlOutputDBCSAT_R1</t>
  </si>
  <si>
    <t>tlOutputDBCSAT_R2</t>
  </si>
  <si>
    <t>Primary Dashboard:</t>
  </si>
  <si>
    <t>Secondary Dashboard:</t>
  </si>
  <si>
    <t>Actuals</t>
  </si>
  <si>
    <t>Avg. Monthly Projections</t>
  </si>
  <si>
    <t>Admits &amp; Recerts</t>
  </si>
  <si>
    <t>Run-Rate</t>
  </si>
  <si>
    <t xml:space="preserve">Modification </t>
  </si>
  <si>
    <t>Medicare Admits</t>
  </si>
  <si>
    <t>PPS Admits</t>
  </si>
  <si>
    <t>Other Admits</t>
  </si>
  <si>
    <t>Medicare Recerts</t>
  </si>
  <si>
    <t>PPS Recerts</t>
  </si>
  <si>
    <t>Other Recerts</t>
  </si>
  <si>
    <t>Discipline</t>
  </si>
  <si>
    <t>Employee Status</t>
  </si>
  <si>
    <t>Employee</t>
  </si>
  <si>
    <t>Pay Method</t>
  </si>
  <si>
    <t>Weekly Prod.</t>
  </si>
  <si>
    <t>Weekly Prod. Mod.</t>
  </si>
  <si>
    <t>Proj. Weekly Prod.</t>
  </si>
  <si>
    <t xml:space="preserve">Avg. Weekly Missed </t>
  </si>
  <si>
    <t>Avg. Weekly Mileage</t>
  </si>
  <si>
    <t>Avg. Weekly Admin.</t>
  </si>
  <si>
    <t>RN</t>
  </si>
  <si>
    <t>Full-Time</t>
  </si>
  <si>
    <t>Per Visit</t>
  </si>
  <si>
    <t>Part-Time</t>
  </si>
  <si>
    <t>LPN</t>
  </si>
  <si>
    <t>OT</t>
  </si>
  <si>
    <t>PT</t>
  </si>
  <si>
    <t>Avg. Weekly Overtime</t>
  </si>
  <si>
    <t>Action 1</t>
  </si>
  <si>
    <t>Action 2</t>
  </si>
  <si>
    <t>Action 3</t>
  </si>
  <si>
    <t>Non-Discretionary</t>
  </si>
  <si>
    <t>Recruitment</t>
  </si>
  <si>
    <t>People Development</t>
  </si>
  <si>
    <t>Operations</t>
  </si>
  <si>
    <t>Clinical</t>
  </si>
  <si>
    <t>Referrals</t>
  </si>
  <si>
    <t>DOO Focus</t>
  </si>
  <si>
    <t>Base</t>
  </si>
  <si>
    <t>Plan</t>
  </si>
  <si>
    <t>Event 1</t>
  </si>
  <si>
    <t>Event 1 Choice</t>
  </si>
  <si>
    <t>Event 4 Choice</t>
  </si>
  <si>
    <t>Event 5 Choice</t>
  </si>
  <si>
    <t>tlInputR1Event1</t>
  </si>
  <si>
    <t>tlInputR1Event4</t>
  </si>
  <si>
    <t>tlInputR2Event1</t>
  </si>
  <si>
    <t>tlInputR2Event2</t>
  </si>
  <si>
    <t>tlInputR2Event3</t>
  </si>
  <si>
    <t>tlInputR2Event4</t>
  </si>
  <si>
    <t>tlInputR2Event5</t>
  </si>
  <si>
    <t>tlOutputR1Event1</t>
  </si>
  <si>
    <t>tlOutputR1Event2</t>
  </si>
  <si>
    <t>tlOutputR1Event3</t>
  </si>
  <si>
    <t>tlOutputR1Event4</t>
  </si>
  <si>
    <t>tlOutputR2Event1</t>
  </si>
  <si>
    <t>tlOutputR2Event2</t>
  </si>
  <si>
    <t>tlOutputR2Event3</t>
  </si>
  <si>
    <t>tlOutputR2Event4</t>
  </si>
  <si>
    <t>tlOutputR2Event5</t>
  </si>
  <si>
    <t>Admits</t>
  </si>
  <si>
    <t>Recerts</t>
  </si>
  <si>
    <t>Other</t>
  </si>
  <si>
    <t>Primary</t>
  </si>
  <si>
    <t>Staffing</t>
  </si>
  <si>
    <t>Clinician 1</t>
  </si>
  <si>
    <t>Clinician 2</t>
  </si>
  <si>
    <t>Clinician 3</t>
  </si>
  <si>
    <t>Clinician 4</t>
  </si>
  <si>
    <t>Clinician 5</t>
  </si>
  <si>
    <t>Clinician 6</t>
  </si>
  <si>
    <t>Clinician 7</t>
  </si>
  <si>
    <t>Clinician 8</t>
  </si>
  <si>
    <t>Clinician 9</t>
  </si>
  <si>
    <t>Clinician 10</t>
  </si>
  <si>
    <t>Event 2</t>
  </si>
  <si>
    <t>Event 3</t>
  </si>
  <si>
    <t>Event 4</t>
  </si>
  <si>
    <t>Event 5</t>
  </si>
  <si>
    <t>decR1Event1</t>
  </si>
  <si>
    <t>decR1Event4</t>
  </si>
  <si>
    <t>decR2Event1</t>
  </si>
  <si>
    <t>decR2Event2</t>
  </si>
  <si>
    <t>decR2Event3</t>
  </si>
  <si>
    <t>decR2Event4</t>
  </si>
  <si>
    <t>decR2Event5</t>
  </si>
  <si>
    <t>Action 4</t>
  </si>
  <si>
    <t>nmSeg1</t>
  </si>
  <si>
    <t>nmSeg2</t>
  </si>
  <si>
    <t>nmSeg3</t>
  </si>
  <si>
    <t>Medicare</t>
  </si>
  <si>
    <t>PPS</t>
  </si>
  <si>
    <t>&lt;--- Most Profitable</t>
  </si>
  <si>
    <t>&lt;--- Prospective Payment System (Medicare Advantage)</t>
  </si>
  <si>
    <t>&lt;--- Private Payer, make no money, might be negative profit.  They have to take a certain percentage otherwise referall satisfaction will fall.</t>
  </si>
  <si>
    <t>Disciple</t>
  </si>
  <si>
    <t>Avg Weekly Production</t>
  </si>
  <si>
    <t>Skilled Nursing</t>
  </si>
  <si>
    <t>Occupational Therapy</t>
  </si>
  <si>
    <t>Physical Therapy</t>
  </si>
  <si>
    <t>Dicipline</t>
  </si>
  <si>
    <t>Employment Status</t>
  </si>
  <si>
    <t>Job Family</t>
  </si>
  <si>
    <t>Quartery Demand</t>
  </si>
  <si>
    <t>Split</t>
  </si>
  <si>
    <t>Sim Split</t>
  </si>
  <si>
    <t>Vernon Vale  </t>
  </si>
  <si>
    <t>Edmond Estepp  </t>
  </si>
  <si>
    <t>Ginger Gault  </t>
  </si>
  <si>
    <t>Joy Jernigan  </t>
  </si>
  <si>
    <t>Elease Esters  </t>
  </si>
  <si>
    <t>Beatrice Ballew  </t>
  </si>
  <si>
    <t>Ellie Elizalde  </t>
  </si>
  <si>
    <t>Jestine Jeffers  </t>
  </si>
  <si>
    <t>Shelby Schoenfeld  </t>
  </si>
  <si>
    <t>Audry Amore  </t>
  </si>
  <si>
    <t>Ming Mines  </t>
  </si>
  <si>
    <t>Roseanna Roder  </t>
  </si>
  <si>
    <t>Chester Cheesman  </t>
  </si>
  <si>
    <t>Susie Sluder  </t>
  </si>
  <si>
    <t>Esteban Ervin  </t>
  </si>
  <si>
    <t>Jamison Jordon  </t>
  </si>
  <si>
    <t>Jerome Jurek  </t>
  </si>
  <si>
    <t>Marvis Martine  </t>
  </si>
  <si>
    <t>Tiana Teachout  </t>
  </si>
  <si>
    <t>Sherie Sea</t>
  </si>
  <si>
    <t>Visits per Episode</t>
  </si>
  <si>
    <t>Patients</t>
  </si>
  <si>
    <t>Demand Balancing - assume initial average care is 3 months</t>
  </si>
  <si>
    <t xml:space="preserve">Other Admits </t>
  </si>
  <si>
    <t xml:space="preserve">Other Recerts </t>
  </si>
  <si>
    <t>Actuals (Feb-Apr)</t>
  </si>
  <si>
    <t>% Split</t>
  </si>
  <si>
    <t>% Admits</t>
  </si>
  <si>
    <t>Sim Quartery Capacity</t>
  </si>
  <si>
    <t>Base Case - High Medicare Population, High admit %, low recert, low self insured, more profitable.  Clinicians spend more time with patents, physical therapy is a focus</t>
  </si>
  <si>
    <t>Base Case - Higher self insured population, more recerts, less physical therapy, more skilled nursing, lower profit</t>
  </si>
  <si>
    <t>Cost Per Visit</t>
  </si>
  <si>
    <t>Quarterly Visits</t>
  </si>
  <si>
    <t>SN - Medicare Admit</t>
  </si>
  <si>
    <t>SN - PSS Admit</t>
  </si>
  <si>
    <t>SN - Other Admit</t>
  </si>
  <si>
    <t>SN - Medicare Recert</t>
  </si>
  <si>
    <t>SN - PSS Recert</t>
  </si>
  <si>
    <t>SN - Other Recert</t>
  </si>
  <si>
    <t>PT - Medicare Admit</t>
  </si>
  <si>
    <t>PT - PSS Admit</t>
  </si>
  <si>
    <t>PT - Other Admit</t>
  </si>
  <si>
    <t>PT - Medicare Recert</t>
  </si>
  <si>
    <t>PT - PSS Recert</t>
  </si>
  <si>
    <t>PT - Other Recert</t>
  </si>
  <si>
    <t>OT - Medicare Admit</t>
  </si>
  <si>
    <t>OT - PSS Admit</t>
  </si>
  <si>
    <t>OT - Other Admit</t>
  </si>
  <si>
    <t>OT - Medicare Recert</t>
  </si>
  <si>
    <t>OT - PSS Recert</t>
  </si>
  <si>
    <t>OT - Other Recert</t>
  </si>
  <si>
    <t>Coverage</t>
  </si>
  <si>
    <t>Number of Patients</t>
  </si>
  <si>
    <t>Admit %</t>
  </si>
  <si>
    <t>Quarterly Revenue</t>
  </si>
  <si>
    <t>Price Per Visit</t>
  </si>
  <si>
    <t>Quarterly Cost</t>
  </si>
  <si>
    <t>Overhead</t>
  </si>
  <si>
    <t>Cost per employee</t>
  </si>
  <si>
    <t>Total Cost</t>
  </si>
  <si>
    <t>Profit</t>
  </si>
  <si>
    <t>Profit Margin</t>
  </si>
  <si>
    <t>Quartery Capacity</t>
  </si>
  <si>
    <t>Job Family Split</t>
  </si>
  <si>
    <t>Coverage Split</t>
  </si>
  <si>
    <t>Thank Your Referrals</t>
  </si>
  <si>
    <t>Performance Expectations</t>
  </si>
  <si>
    <t>Manage Productivity</t>
  </si>
  <si>
    <t>Avg Weekly Production (Visits)</t>
  </si>
  <si>
    <t>Quartery Demand (Visits)</t>
  </si>
  <si>
    <t>1st Year</t>
  </si>
  <si>
    <t>2nd Year</t>
  </si>
  <si>
    <t>Preceptor Programs</t>
  </si>
  <si>
    <t>&lt;--- 60 days at a time</t>
  </si>
  <si>
    <t>&lt;--- may not have therapy</t>
  </si>
  <si>
    <t>Revenue Per Visit</t>
  </si>
  <si>
    <t>nmEmp1</t>
  </si>
  <si>
    <t>nmEmp2</t>
  </si>
  <si>
    <t>nmEmp3</t>
  </si>
  <si>
    <t>obalLOB1Seg1Perc</t>
  </si>
  <si>
    <t>obalLOB1Seg2Perc</t>
  </si>
  <si>
    <t>obalLOB1Seg3Perc</t>
  </si>
  <si>
    <t>obalLOB1Emp1VisitPEp</t>
  </si>
  <si>
    <t>obalLOB1Emp2VisitPEp</t>
  </si>
  <si>
    <t>obalLOB1Emp3VisitPEp</t>
  </si>
  <si>
    <t>cbalLOB1Seg1Perc</t>
  </si>
  <si>
    <t>cbalLOB1Seg2Perc</t>
  </si>
  <si>
    <t>cbalLOB1Seg3Perc</t>
  </si>
  <si>
    <t>cbalLOB1Emp1VisitPEp</t>
  </si>
  <si>
    <t>cbalLOB1Emp2VisitPEp</t>
  </si>
  <si>
    <t>cbalLOB1Emp3VisitPEp</t>
  </si>
  <si>
    <t>mmLOB1MarketShare</t>
  </si>
  <si>
    <t>mmLOB2UnitsNew</t>
  </si>
  <si>
    <t>mmLOB2MarketShare</t>
  </si>
  <si>
    <t>mmLOB2ImpactTable</t>
  </si>
  <si>
    <t>mmLOB2ExplainTable</t>
  </si>
  <si>
    <t>Annual Number of Patients</t>
  </si>
  <si>
    <t>Gen-1</t>
  </si>
  <si>
    <t>paramTimeConversion</t>
  </si>
  <si>
    <t>calcLOB1Prod1Seg1Patients</t>
  </si>
  <si>
    <t>calcLOB1Prod1Seg2Patients</t>
  </si>
  <si>
    <t>calcLOB1Prod1Seg3Patients</t>
  </si>
  <si>
    <t>obalLOB1Prod2Seg1Perc</t>
  </si>
  <si>
    <t>obalLOB1Prod2Seg2Perc</t>
  </si>
  <si>
    <t>obalLOB1Prod2Seg3Perc</t>
  </si>
  <si>
    <t>cbalLOB1Prod2Seg1Perc</t>
  </si>
  <si>
    <t>cbalLOB1Prod2Seg2Perc</t>
  </si>
  <si>
    <t>cbalLOB1Prod2Seg3Perc</t>
  </si>
  <si>
    <t>tlInputLOB1SpecProg1_R1</t>
  </si>
  <si>
    <t>tlInputLOB1SpecProg1_R2</t>
  </si>
  <si>
    <t>tlInputLOB1SpecProg2_R1</t>
  </si>
  <si>
    <t>tlInputLOB1SpecProg2_R2</t>
  </si>
  <si>
    <t>tlInputLOB1SpecProg3_R1</t>
  </si>
  <si>
    <t>tlInputLOB1SpecProg3_R2</t>
  </si>
  <si>
    <t>tlInputLOB1SpecProg4_R1</t>
  </si>
  <si>
    <t>tlInputLOB1SpecProg4_R2</t>
  </si>
  <si>
    <t>tlOutputLOB1DOOBaseTime1_R1</t>
  </si>
  <si>
    <t>tlInputLOB1DOOAdjTime1_R1</t>
  </si>
  <si>
    <t>tlOutputLOB1DOOPlanTime1_R1</t>
  </si>
  <si>
    <t>tlOutputLOB1DOOBaseTime1_R2</t>
  </si>
  <si>
    <t>tlInputLOB1DOOAdjTime1_R2</t>
  </si>
  <si>
    <t>tlOutputLOB1DOOPlanTime1_R2</t>
  </si>
  <si>
    <t>tlOutputLOB1DOOBaseTime2_R1</t>
  </si>
  <si>
    <t>tlInputLOB1DOOAdjTime2_R1</t>
  </si>
  <si>
    <t>tlOutputLOB1DOOPlanTime2_R1</t>
  </si>
  <si>
    <t>tlOutputLOB1DOOBaseTime2_R2</t>
  </si>
  <si>
    <t>tlInputLOB1DOOAdjTime2_R2</t>
  </si>
  <si>
    <t>tlOutputLOB1DOOPlanTime2_R2</t>
  </si>
  <si>
    <t>tlOutputLOB1DOOBaseTime3_R1</t>
  </si>
  <si>
    <t>tlInputLOB1DOOAdjTime3_R1</t>
  </si>
  <si>
    <t>tlOutputLOB1DOOPlanTime3_R1</t>
  </si>
  <si>
    <t>tlOutputLOB1DOOBaseTime3_R2</t>
  </si>
  <si>
    <t>tlInputLOB1DOOAdjTime3_R2</t>
  </si>
  <si>
    <t>tlOutputLOB1DOOPlanTime3_R2</t>
  </si>
  <si>
    <t>tlOutputLOB1DOOBaseTime4_R1</t>
  </si>
  <si>
    <t>tlInputLOB1DOOAdjTime4_R1</t>
  </si>
  <si>
    <t>tlOutputLOB1DOOPlanTime4_R1</t>
  </si>
  <si>
    <t>tlOutputLOB1DOOBaseTime4_R2</t>
  </si>
  <si>
    <t>tlInputLOB1DOOAdjTime4_R2</t>
  </si>
  <si>
    <t>tlOutputLOB1DOOPlanTime4_R2</t>
  </si>
  <si>
    <t>tlOutputLOB1DOOBaseTime5_R1</t>
  </si>
  <si>
    <t>tlInputLOB1DOOAdjTime5_R1</t>
  </si>
  <si>
    <t>tlOutputLOB1DOOPlanTime5_R1</t>
  </si>
  <si>
    <t>tlOutputLOB1DOOBaseTime5_R2</t>
  </si>
  <si>
    <t>tlInputLOB1DOOAdjTime5_R2</t>
  </si>
  <si>
    <t>tlOutputLOB1DOOPlanTime5_R2</t>
  </si>
  <si>
    <t>tlOutputLOB1DOOBaseTime6_R1</t>
  </si>
  <si>
    <t>tlInputLOB1DOOAdjTime6_R1</t>
  </si>
  <si>
    <t>tlOutputLOB1DOOPlanTime6_R1</t>
  </si>
  <si>
    <t>tlOutputLOB1DOOBaseTime6_R2</t>
  </si>
  <si>
    <t>tlInputLOB1DOOAdjTime6_R2</t>
  </si>
  <si>
    <t>tlOutputLOB1DOOPlanTime6_R2</t>
  </si>
  <si>
    <t>tlOutputLOB1DOOTotalBaseTime_R1</t>
  </si>
  <si>
    <t>tlOutputLOB1DOOTotalPlanTime_R1</t>
  </si>
  <si>
    <t>tlOutputLOB1DOOTotalBaseTime_R2</t>
  </si>
  <si>
    <t>tlOutputLOB1DOOTotalPlanTime_R2</t>
  </si>
  <si>
    <t>tlOutputLOB1MonthP1_R1</t>
  </si>
  <si>
    <t>tlOutputLOB1MonthP2_R1</t>
  </si>
  <si>
    <t>tlOutputLOB1MonthP3_R1</t>
  </si>
  <si>
    <t>tlOutputLOB1MonthP1_R2</t>
  </si>
  <si>
    <t>tlOutputLOB1MonthP2_R2</t>
  </si>
  <si>
    <t>tlOutputLOB1MonthP3_R2</t>
  </si>
  <si>
    <t>tlOutputLOB1ProjectionP1_R1</t>
  </si>
  <si>
    <t>tlOutputLOB1ProjectionP2_R1</t>
  </si>
  <si>
    <t>tlOutputLOB1ProjectionP3_R1</t>
  </si>
  <si>
    <t>tlOutputLOB1ProjectionBase_R1</t>
  </si>
  <si>
    <t>tlOutputLOB1ProjectionFcst_R1</t>
  </si>
  <si>
    <t>tlOutputLOB1ProjectionP1_R2</t>
  </si>
  <si>
    <t>tlOutputLOB1ProjectionP2_R2</t>
  </si>
  <si>
    <t>tlOutputLOB1ProjectionP3_R2</t>
  </si>
  <si>
    <t>tlOutputLOB1ProjectionBase_R2</t>
  </si>
  <si>
    <t>tlOutputLOB1ProjectionFcst_R2</t>
  </si>
  <si>
    <t>tlOutputLOB1Prod1Seg1P1_R1</t>
  </si>
  <si>
    <t>tlOutputLOB1Prod1Seg1P2_R1</t>
  </si>
  <si>
    <t>tlOutputLOB1Prod1Seg1P3_R1</t>
  </si>
  <si>
    <t>tlOutputLOB1Prod1Seg1Base_R1</t>
  </si>
  <si>
    <t>tlInputLOB1Prod1Seg1Adj_R1</t>
  </si>
  <si>
    <t>tlOutputLOB1Prod1Seg1Fcst_R1</t>
  </si>
  <si>
    <t>tlOutputLOB1Prod1Seg1P1_R2</t>
  </si>
  <si>
    <t>tlOutputLOB1Prod1Seg1P2_R2</t>
  </si>
  <si>
    <t>tlOutputLOB1Prod1Seg1P3_R2</t>
  </si>
  <si>
    <t>tlOutputLOB1Prod1Seg1Base_R2</t>
  </si>
  <si>
    <t>tlInputLOB1Prod1Seg1Adj_R2</t>
  </si>
  <si>
    <t>tlOutputLOB1Prod1Seg1Fcst_R2</t>
  </si>
  <si>
    <t>tlOutputLOB1Prod1Seg2P1_R1</t>
  </si>
  <si>
    <t>tlOutputLOB1Prod1Seg2P2_R1</t>
  </si>
  <si>
    <t>tlOutputLOB1Prod1Seg2P3_R1</t>
  </si>
  <si>
    <t>tlOutputLOB1Prod1Seg2Base_R1</t>
  </si>
  <si>
    <t>tlInputLOB1Prod1Seg2Adj_R1</t>
  </si>
  <si>
    <t>tlOutputLOB1Prod1Seg2Fcst_R1</t>
  </si>
  <si>
    <t>tlOutputLOB1Prod1Seg2P1_R2</t>
  </si>
  <si>
    <t>tlOutputLOB1Prod1Seg2P2_R2</t>
  </si>
  <si>
    <t>tlOutputLOB1Prod1Seg2P3_R2</t>
  </si>
  <si>
    <t>tlOutputLOB1Prod1Seg2Base_R2</t>
  </si>
  <si>
    <t>tlInputLOB1Prod1Seg2Adj_R2</t>
  </si>
  <si>
    <t>tlOutputLOB1Prod1Seg2Fcst_R2</t>
  </si>
  <si>
    <t>tlOutputLOB1Prod1Seg3P1_R1</t>
  </si>
  <si>
    <t>tlOutputLOB1Prod1Seg3P2_R1</t>
  </si>
  <si>
    <t>tlOutputLOB1Prod1Seg3P3_R1</t>
  </si>
  <si>
    <t>tlOutputLOB1Prod1Seg3Base_R1</t>
  </si>
  <si>
    <t>tlInputLOB1Prod1Seg3Adj_R1</t>
  </si>
  <si>
    <t>tlOutputLOB1Prod1Seg3Fcst_R1</t>
  </si>
  <si>
    <t>tlOutputLOB1Prod1Seg3P1_R2</t>
  </si>
  <si>
    <t>tlOutputLOB1Prod1Seg3P2_R2</t>
  </si>
  <si>
    <t>tlOutputLOB1Prod1Seg3P3_R2</t>
  </si>
  <si>
    <t>tlOutputLOB1Prod1Seg3Base_R2</t>
  </si>
  <si>
    <t>tlInputLOB1Prod1Seg3Adj_R2</t>
  </si>
  <si>
    <t>tlOutputLOB1Prod1Seg3Fcst_R2</t>
  </si>
  <si>
    <t>tlOutputLOB1Prod2Seg1P1_R1</t>
  </si>
  <si>
    <t>tlOutputLOB1Prod2Seg1P2_R1</t>
  </si>
  <si>
    <t>tlOutputLOB1Prod2Seg1P3_R1</t>
  </si>
  <si>
    <t>tlOutputLOB1Prod2Seg1Base_R1</t>
  </si>
  <si>
    <t>tlInputLOB1Prod2Seg1Adj_R1</t>
  </si>
  <si>
    <t>tlOutputLOB1Prod2Seg1Fcst_R1</t>
  </si>
  <si>
    <t>tlOutputLOB1Prod2Seg1P1_R2</t>
  </si>
  <si>
    <t>tlOutputLOB1Prod2Seg1P2_R2</t>
  </si>
  <si>
    <t>tlOutputLOB1Prod2Seg1P3_R2</t>
  </si>
  <si>
    <t>tlOutputLOB1Prod2Seg1Base_R2</t>
  </si>
  <si>
    <t>tlInputLOB1Prod2Seg1Adj_R2</t>
  </si>
  <si>
    <t>tlOutputLOB1Prod2Seg1Fcst_R2</t>
  </si>
  <si>
    <t>tlOutputLOB1Prod2Seg2P1_R1</t>
  </si>
  <si>
    <t>tlOutputLOB1Prod2Seg2P2_R1</t>
  </si>
  <si>
    <t>tlOutputLOB1Prod2Seg2P3_R1</t>
  </si>
  <si>
    <t>tlOutputLOB1Prod2Seg2Base_R1</t>
  </si>
  <si>
    <t>tlInputLOB1Prod2Seg2Adj_R1</t>
  </si>
  <si>
    <t>tlOutputLOB1Prod2Seg2Fcst_R1</t>
  </si>
  <si>
    <t>tlOutputLOB1Prod2Seg2P1_R2</t>
  </si>
  <si>
    <t>tlOutputLOB1Prod2Seg2P2_R2</t>
  </si>
  <si>
    <t>tlOutputLOB1Prod2Seg2P3_R2</t>
  </si>
  <si>
    <t>tlOutputLOB1Prod2Seg2Base_R2</t>
  </si>
  <si>
    <t>tlInputLOB1Prod2Seg2Adj_R2</t>
  </si>
  <si>
    <t>tlOutputLOB1Prod2Seg2Fcst_R2</t>
  </si>
  <si>
    <t>tlOutputLOB1Prod2Seg3P1_R1</t>
  </si>
  <si>
    <t>tlOutputLOB1Prod2Seg3P2_R1</t>
  </si>
  <si>
    <t>tlOutputLOB1Prod2Seg3P3_R1</t>
  </si>
  <si>
    <t>tlOutputLOB1Prod2Seg3Base_R1</t>
  </si>
  <si>
    <t>tlInputLOB1Prod2Seg3Adj_R1</t>
  </si>
  <si>
    <t>tlOutputLOB1Prod2Seg3Fcst_R1</t>
  </si>
  <si>
    <t>tlOutputLOB1Prod2Seg3P1_R2</t>
  </si>
  <si>
    <t>tlOutputLOB1Prod2Seg3P2_R2</t>
  </si>
  <si>
    <t>tlOutputLOB1Prod2Seg3P3_R2</t>
  </si>
  <si>
    <t>tlOutputLOB1Prod2Seg3Base_R2</t>
  </si>
  <si>
    <t>tlInputLOB1Prod2Seg3Adj_R2</t>
  </si>
  <si>
    <t>tlOutputLOB1Prod2Seg3Fcst_R2</t>
  </si>
  <si>
    <t>tlInputLOB1Cln1Mtng_R1</t>
  </si>
  <si>
    <t>tlOutputLOB1Cln1Dis_R1</t>
  </si>
  <si>
    <t>tlOutputLOB1Cln1Status_R1</t>
  </si>
  <si>
    <t>tlOutputLOB1Cln1Name_R1</t>
  </si>
  <si>
    <t>tlOutputLOB1Cln1PayMethod_R1</t>
  </si>
  <si>
    <t>tlOutputLOB1Cln1WeekProd_R1</t>
  </si>
  <si>
    <t>tlOutputLOB1Cln1WeekProdProj_R1</t>
  </si>
  <si>
    <t>tlOutputLOB1Cln1WeekMiss_R1</t>
  </si>
  <si>
    <t>tlOutputLOB1Cln1WeekMile_R1</t>
  </si>
  <si>
    <t>tlOutputLOB1Cln1WeekAdmin_R1</t>
  </si>
  <si>
    <t>tlOutputLOB1Cln1WeekOT_R1</t>
  </si>
  <si>
    <t>tlInputLOB1Cln1Mtng_R2</t>
  </si>
  <si>
    <t>tlOutputLOB1Cln1Dis_R2</t>
  </si>
  <si>
    <t>tlOutputLOB1Cln1Status_R2</t>
  </si>
  <si>
    <t>tlOutputLOB1Cln1Name_R2</t>
  </si>
  <si>
    <t>tlOutputLOB1Cln1PayMethod_R2</t>
  </si>
  <si>
    <t>tlOutputLOB1Cln1WeekProd_R2</t>
  </si>
  <si>
    <t>tlOutputLOB1Cln1WeekProdProj_R2</t>
  </si>
  <si>
    <t>tlOutputLOB1Cln1WeekMiss_R2</t>
  </si>
  <si>
    <t>tlOutputLOB1Cln1WeekMile_R2</t>
  </si>
  <si>
    <t>tlOutputLOB1Cln1WeekAdmin_R2</t>
  </si>
  <si>
    <t>tlOutputLOB1Cln1WeekOT_R2</t>
  </si>
  <si>
    <t>tlInputLOB1Cln2Mtng_R1</t>
  </si>
  <si>
    <t>tlOutputLOB1Cln2Dis_R1</t>
  </si>
  <si>
    <t>tlOutputLOB1Cln2Status_R1</t>
  </si>
  <si>
    <t>tlOutputLOB1Cln2Name_R1</t>
  </si>
  <si>
    <t>tlOutputLOB1Cln2PayMethod_R1</t>
  </si>
  <si>
    <t>tlOutputLOB1Cln2WeekProd_R1</t>
  </si>
  <si>
    <t>tlOutputLOB1Cln2WeekProdProj_R1</t>
  </si>
  <si>
    <t>tlOutputLOB1Cln2WeekMiss_R1</t>
  </si>
  <si>
    <t>tlOutputLOB1Cln2WeekMile_R1</t>
  </si>
  <si>
    <t>tlOutputLOB1Cln2WeekAdmin_R1</t>
  </si>
  <si>
    <t>tlOutputLOB1Cln2WeekOT_R1</t>
  </si>
  <si>
    <t>tlInputLOB1Cln2Mtng_R2</t>
  </si>
  <si>
    <t>tlOutputLOB1Cln2Dis_R2</t>
  </si>
  <si>
    <t>tlOutputLOB1Cln2Status_R2</t>
  </si>
  <si>
    <t>tlOutputLOB1Cln2Name_R2</t>
  </si>
  <si>
    <t>tlOutputLOB1Cln2PayMethod_R2</t>
  </si>
  <si>
    <t>tlOutputLOB1Cln2WeekProd_R2</t>
  </si>
  <si>
    <t>tlOutputLOB1Cln2WeekProdProj_R2</t>
  </si>
  <si>
    <t>tlOutputLOB1Cln2WeekMiss_R2</t>
  </si>
  <si>
    <t>tlOutputLOB1Cln2WeekMile_R2</t>
  </si>
  <si>
    <t>tlOutputLOB1Cln2WeekAdmin_R2</t>
  </si>
  <si>
    <t>tlOutputLOB1Cln2WeekOT_R2</t>
  </si>
  <si>
    <t>tlInputLOB1Cln3Mtng_R1</t>
  </si>
  <si>
    <t>tlOutputLOB1Cln3Dis_R1</t>
  </si>
  <si>
    <t>tlOutputLOB1Cln3Status_R1</t>
  </si>
  <si>
    <t>tlOutputLOB1Cln3Name_R1</t>
  </si>
  <si>
    <t>tlOutputLOB1Cln3PayMethod_R1</t>
  </si>
  <si>
    <t>tlOutputLOB1Cln3WeekProd_R1</t>
  </si>
  <si>
    <t>tlOutputLOB1Cln3WeekProdProj_R1</t>
  </si>
  <si>
    <t>tlOutputLOB1Cln3WeekMiss_R1</t>
  </si>
  <si>
    <t>tlOutputLOB1Cln3WeekMile_R1</t>
  </si>
  <si>
    <t>tlOutputLOB1Cln3WeekAdmin_R1</t>
  </si>
  <si>
    <t>tlOutputLOB1Cln3WeekOT_R1</t>
  </si>
  <si>
    <t>tlInputLOB1Cln3Mtng_R2</t>
  </si>
  <si>
    <t>tlOutputLOB1Cln3Dis_R2</t>
  </si>
  <si>
    <t>tlOutputLOB1Cln3Status_R2</t>
  </si>
  <si>
    <t>tlOutputLOB1Cln3Name_R2</t>
  </si>
  <si>
    <t>tlOutputLOB1Cln3PayMethod_R2</t>
  </si>
  <si>
    <t>tlOutputLOB1Cln3WeekProd_R2</t>
  </si>
  <si>
    <t>tlOutputLOB1Cln3WeekProdProj_R2</t>
  </si>
  <si>
    <t>tlOutputLOB1Cln3WeekMiss_R2</t>
  </si>
  <si>
    <t>tlOutputLOB1Cln3WeekMile_R2</t>
  </si>
  <si>
    <t>tlOutputLOB1Cln3WeekAdmin_R2</t>
  </si>
  <si>
    <t>tlOutputLOB1Cln3WeekOT_R2</t>
  </si>
  <si>
    <t>tlInputLOB1Cln4Mtng_R1</t>
  </si>
  <si>
    <t>tlOutputLOB1Cln4Dis_R1</t>
  </si>
  <si>
    <t>tlOutputLOB1Cln4Status_R1</t>
  </si>
  <si>
    <t>tlOutputLOB1Cln4Name_R1</t>
  </si>
  <si>
    <t>tlOutputLOB1Cln4PayMethod_R1</t>
  </si>
  <si>
    <t>tlOutputLOB1Cln4WeekProd_R1</t>
  </si>
  <si>
    <t>tlOutputLOB1Cln4WeekProdProj_R1</t>
  </si>
  <si>
    <t>tlOutputLOB1Cln4WeekMiss_R1</t>
  </si>
  <si>
    <t>tlOutputLOB1Cln4WeekMile_R1</t>
  </si>
  <si>
    <t>tlOutputLOB1Cln4WeekAdmin_R1</t>
  </si>
  <si>
    <t>tlOutputLOB1Cln4WeekOT_R1</t>
  </si>
  <si>
    <t>tlInputLOB1Cln4Mtng_R2</t>
  </si>
  <si>
    <t>tlOutputLOB1Cln4Dis_R2</t>
  </si>
  <si>
    <t>tlOutputLOB1Cln4Status_R2</t>
  </si>
  <si>
    <t>tlOutputLOB1Cln4Name_R2</t>
  </si>
  <si>
    <t>tlOutputLOB1Cln4PayMethod_R2</t>
  </si>
  <si>
    <t>tlOutputLOB1Cln4WeekProd_R2</t>
  </si>
  <si>
    <t>tlOutputLOB1Cln4WeekProdProj_R2</t>
  </si>
  <si>
    <t>tlOutputLOB1Cln4WeekMiss_R2</t>
  </si>
  <si>
    <t>tlOutputLOB1Cln4WeekMile_R2</t>
  </si>
  <si>
    <t>tlOutputLOB1Cln4WeekAdmin_R2</t>
  </si>
  <si>
    <t>tlOutputLOB1Cln4WeekOT_R2</t>
  </si>
  <si>
    <t>tlInputLOB1Cln5Mtng_R1</t>
  </si>
  <si>
    <t>tlOutputLOB1Cln5Dis_R1</t>
  </si>
  <si>
    <t>tlOutputLOB1Cln5Status_R1</t>
  </si>
  <si>
    <t>tlOutputLOB1Cln5Name_R1</t>
  </si>
  <si>
    <t>tlOutputLOB1Cln5PayMethod_R1</t>
  </si>
  <si>
    <t>tlOutputLOB1Cln5WeekProd_R1</t>
  </si>
  <si>
    <t>tlOutputLOB1Cln5WeekProdProj_R1</t>
  </si>
  <si>
    <t>tlOutputLOB1Cln5WeekMiss_R1</t>
  </si>
  <si>
    <t>tlOutputLOB1Cln5WeekMile_R1</t>
  </si>
  <si>
    <t>tlOutputLOB1Cln5WeekAdmin_R1</t>
  </si>
  <si>
    <t>tlOutputLOB1Cln5WeekOT_R1</t>
  </si>
  <si>
    <t>tlInputLOB1Cln5Mtng_R2</t>
  </si>
  <si>
    <t>tlOutputLOB1Cln5Dis_R2</t>
  </si>
  <si>
    <t>tlOutputLOB1Cln5Status_R2</t>
  </si>
  <si>
    <t>tlOutputLOB1Cln5Name_R2</t>
  </si>
  <si>
    <t>tlOutputLOB1Cln5PayMethod_R2</t>
  </si>
  <si>
    <t>tlOutputLOB1Cln5WeekProd_R2</t>
  </si>
  <si>
    <t>tlOutputLOB1Cln5WeekProdProj_R2</t>
  </si>
  <si>
    <t>tlOutputLOB1Cln5WeekMiss_R2</t>
  </si>
  <si>
    <t>tlOutputLOB1Cln5WeekMile_R2</t>
  </si>
  <si>
    <t>tlOutputLOB1Cln5WeekAdmin_R2</t>
  </si>
  <si>
    <t>tlOutputLOB1Cln5WeekOT_R2</t>
  </si>
  <si>
    <t>tlInputLOB1Cln6Mtng_R1</t>
  </si>
  <si>
    <t>tlOutputLOB1Cln6Dis_R1</t>
  </si>
  <si>
    <t>tlOutputLOB1Cln6Status_R1</t>
  </si>
  <si>
    <t>tlOutputLOB1Cln6Name_R1</t>
  </si>
  <si>
    <t>tlOutputLOB1Cln6PayMethod_R1</t>
  </si>
  <si>
    <t>tlOutputLOB1Cln6WeekProd_R1</t>
  </si>
  <si>
    <t>tlOutputLOB1Cln6WeekProdProj_R1</t>
  </si>
  <si>
    <t>tlOutputLOB1Cln6WeekMiss_R1</t>
  </si>
  <si>
    <t>tlOutputLOB1Cln6WeekMile_R1</t>
  </si>
  <si>
    <t>tlOutputLOB1Cln6WeekAdmin_R1</t>
  </si>
  <si>
    <t>tlOutputLOB1Cln6WeekOT_R1</t>
  </si>
  <si>
    <t>tlInputLOB1Cln6Mtng_R2</t>
  </si>
  <si>
    <t>tlOutputLOB1Cln6Dis_R2</t>
  </si>
  <si>
    <t>tlOutputLOB1Cln6Status_R2</t>
  </si>
  <si>
    <t>tlOutputLOB1Cln6Name_R2</t>
  </si>
  <si>
    <t>tlOutputLOB1Cln6PayMethod_R2</t>
  </si>
  <si>
    <t>tlOutputLOB1Cln6WeekProd_R2</t>
  </si>
  <si>
    <t>tlOutputLOB1Cln6WeekProdProj_R2</t>
  </si>
  <si>
    <t>tlOutputLOB1Cln6WeekMiss_R2</t>
  </si>
  <si>
    <t>tlOutputLOB1Cln6WeekMile_R2</t>
  </si>
  <si>
    <t>tlOutputLOB1Cln6WeekAdmin_R2</t>
  </si>
  <si>
    <t>tlOutputLOB1Cln6WeekOT_R2</t>
  </si>
  <si>
    <t>tlInputLOB1Cln7Mtng_R1</t>
  </si>
  <si>
    <t>tlOutputLOB1Cln7Dis_R1</t>
  </si>
  <si>
    <t>tlOutputLOB1Cln7Status_R1</t>
  </si>
  <si>
    <t>tlOutputLOB1Cln7Name_R1</t>
  </si>
  <si>
    <t>tlOutputLOB1Cln7PayMethod_R1</t>
  </si>
  <si>
    <t>tlOutputLOB1Cln7WeekProd_R1</t>
  </si>
  <si>
    <t>tlOutputLOB1Cln7WeekProdProj_R1</t>
  </si>
  <si>
    <t>tlOutputLOB1Cln7WeekMiss_R1</t>
  </si>
  <si>
    <t>tlOutputLOB1Cln7WeekMile_R1</t>
  </si>
  <si>
    <t>tlOutputLOB1Cln7WeekAdmin_R1</t>
  </si>
  <si>
    <t>tlOutputLOB1Cln7WeekOT_R1</t>
  </si>
  <si>
    <t>tlInputLOB1Cln7Mtng_R2</t>
  </si>
  <si>
    <t>tlOutputLOB1Cln7Dis_R2</t>
  </si>
  <si>
    <t>tlOutputLOB1Cln7Status_R2</t>
  </si>
  <si>
    <t>tlOutputLOB1Cln7Name_R2</t>
  </si>
  <si>
    <t>tlOutputLOB1Cln7PayMethod_R2</t>
  </si>
  <si>
    <t>tlOutputLOB1Cln7WeekProd_R2</t>
  </si>
  <si>
    <t>tlOutputLOB1Cln7WeekProdProj_R2</t>
  </si>
  <si>
    <t>tlOutputLOB1Cln7WeekMiss_R2</t>
  </si>
  <si>
    <t>tlOutputLOB1Cln7WeekMile_R2</t>
  </si>
  <si>
    <t>tlOutputLOB1Cln7WeekAdmin_R2</t>
  </si>
  <si>
    <t>tlOutputLOB1Cln7WeekOT_R2</t>
  </si>
  <si>
    <t>tlInputLOB1Cln8Mtng_R1</t>
  </si>
  <si>
    <t>tlOutputLOB1Cln8Dis_R1</t>
  </si>
  <si>
    <t>tlOutputLOB1Cln8Status_R1</t>
  </si>
  <si>
    <t>tlOutputLOB1Cln8Name_R1</t>
  </si>
  <si>
    <t>tlOutputLOB1Cln8PayMethod_R1</t>
  </si>
  <si>
    <t>tlOutputLOB1Cln8WeekProd_R1</t>
  </si>
  <si>
    <t>tlOutputLOB1Cln8WeekProdProj_R1</t>
  </si>
  <si>
    <t>tlOutputLOB1Cln8WeekMiss_R1</t>
  </si>
  <si>
    <t>tlOutputLOB1Cln8WeekMile_R1</t>
  </si>
  <si>
    <t>tlOutputLOB1Cln8WeekAdmin_R1</t>
  </si>
  <si>
    <t>tlOutputLOB1Cln8WeekOT_R1</t>
  </si>
  <si>
    <t>tlInputLOB1Cln8Mtng_R2</t>
  </si>
  <si>
    <t>tlOutputLOB1Cln8Dis_R2</t>
  </si>
  <si>
    <t>tlOutputLOB1Cln8Status_R2</t>
  </si>
  <si>
    <t>tlOutputLOB1Cln8Name_R2</t>
  </si>
  <si>
    <t>tlOutputLOB1Cln8PayMethod_R2</t>
  </si>
  <si>
    <t>tlOutputLOB1Cln8WeekProd_R2</t>
  </si>
  <si>
    <t>tlOutputLOB1Cln8WeekProdProj_R2</t>
  </si>
  <si>
    <t>tlOutputLOB1Cln8WeekMiss_R2</t>
  </si>
  <si>
    <t>tlOutputLOB1Cln8WeekMile_R2</t>
  </si>
  <si>
    <t>tlOutputLOB1Cln8WeekAdmin_R2</t>
  </si>
  <si>
    <t>tlOutputLOB1Cln8WeekOT_R2</t>
  </si>
  <si>
    <t>tlInputLOB1Cln9Mtng_R1</t>
  </si>
  <si>
    <t>tlOutputLOB1Cln9Dis_R1</t>
  </si>
  <si>
    <t>tlOutputLOB1Cln9Status_R1</t>
  </si>
  <si>
    <t>tlOutputLOB1Cln9Name_R1</t>
  </si>
  <si>
    <t>tlOutputLOB1Cln9PayMethod_R1</t>
  </si>
  <si>
    <t>tlOutputLOB1Cln9WeekProd_R1</t>
  </si>
  <si>
    <t>tlOutputLOB1Cln9WeekProdProj_R1</t>
  </si>
  <si>
    <t>tlOutputLOB1Cln9WeekMiss_R1</t>
  </si>
  <si>
    <t>tlOutputLOB1Cln9WeekMile_R1</t>
  </si>
  <si>
    <t>tlOutputLOB1Cln9WeekAdmin_R1</t>
  </si>
  <si>
    <t>tlOutputLOB1Cln9WeekOT_R1</t>
  </si>
  <si>
    <t>tlInputLOB1Cln9Mtng_R2</t>
  </si>
  <si>
    <t>tlOutputLOB1Cln9Dis_R2</t>
  </si>
  <si>
    <t>tlOutputLOB1Cln9Status_R2</t>
  </si>
  <si>
    <t>tlOutputLOB1Cln9Name_R2</t>
  </si>
  <si>
    <t>tlOutputLOB1Cln9PayMethod_R2</t>
  </si>
  <si>
    <t>tlOutputLOB1Cln9WeekProd_R2</t>
  </si>
  <si>
    <t>tlOutputLOB1Cln9WeekProdProj_R2</t>
  </si>
  <si>
    <t>tlOutputLOB1Cln9WeekMiss_R2</t>
  </si>
  <si>
    <t>tlOutputLOB1Cln9WeekMile_R2</t>
  </si>
  <si>
    <t>tlOutputLOB1Cln9WeekAdmin_R2</t>
  </si>
  <si>
    <t>tlOutputLOB1Cln9WeekOT_R2</t>
  </si>
  <si>
    <t>tlInputLOB1Cln10Mtng_R1</t>
  </si>
  <si>
    <t>tlOutputLOB1Cln10Dis_R1</t>
  </si>
  <si>
    <t>tlOutputLOB1Cln10Status_R1</t>
  </si>
  <si>
    <t>tlOutputLOB1Cln10Name_R1</t>
  </si>
  <si>
    <t>tlOutputLOB1Cln10PayMethod_R1</t>
  </si>
  <si>
    <t>tlOutputLOB1Cln10WeekProd_R1</t>
  </si>
  <si>
    <t>tlOutputLOB1Cln10WeekProdProj_R1</t>
  </si>
  <si>
    <t>tlOutputLOB1Cln10WeekMiss_R1</t>
  </si>
  <si>
    <t>tlOutputLOB1Cln10WeekMile_R1</t>
  </si>
  <si>
    <t>tlOutputLOB1Cln10WeekAdmin_R1</t>
  </si>
  <si>
    <t>tlOutputLOB1Cln10WeekOT_R1</t>
  </si>
  <si>
    <t>tlInputLOB1Cln10Mtng_R2</t>
  </si>
  <si>
    <t>tlOutputLOB1Cln10Dis_R2</t>
  </si>
  <si>
    <t>tlOutputLOB1Cln10Status_R2</t>
  </si>
  <si>
    <t>tlOutputLOB1Cln10Name_R2</t>
  </si>
  <si>
    <t>tlOutputLOB1Cln10PayMethod_R2</t>
  </si>
  <si>
    <t>tlOutputLOB1Cln10WeekProd_R2</t>
  </si>
  <si>
    <t>tlOutputLOB1Cln10WeekProdProj_R2</t>
  </si>
  <si>
    <t>tlOutputLOB1Cln10WeekMiss_R2</t>
  </si>
  <si>
    <t>tlOutputLOB1Cln10WeekMile_R2</t>
  </si>
  <si>
    <t>tlOutputLOB1Cln10WeekAdmin_R2</t>
  </si>
  <si>
    <t>tlOutputLOB1Cln10WeekOT_R2</t>
  </si>
  <si>
    <t>tlInputLOB2SpecProg1_R1</t>
  </si>
  <si>
    <t>tlInputLOB2SpecProg1_R2</t>
  </si>
  <si>
    <t>tlInputLOB2SpecProg2_R1</t>
  </si>
  <si>
    <t>tlInputLOB2SpecProg2_R2</t>
  </si>
  <si>
    <t>tlInputLOB2SpecProg3_R1</t>
  </si>
  <si>
    <t>tlInputLOB2SpecProg3_R2</t>
  </si>
  <si>
    <t>tlInputLOB2SpecProg4_R1</t>
  </si>
  <si>
    <t>tlInputLOB2SpecProg4_R2</t>
  </si>
  <si>
    <t>tlOutputLOB2DOOBaseTime1_R1</t>
  </si>
  <si>
    <t>tlInputLOB2DOOAdjTime1_R1</t>
  </si>
  <si>
    <t>tlOutputLOB2DOOPlanTime1_R1</t>
  </si>
  <si>
    <t>tlOutputLOB2DOOBaseTime1_R2</t>
  </si>
  <si>
    <t>tlInputLOB2DOOAdjTime1_R2</t>
  </si>
  <si>
    <t>tlOutputLOB2DOOPlanTime1_R2</t>
  </si>
  <si>
    <t>tlOutputLOB2DOOBaseTime2_R1</t>
  </si>
  <si>
    <t>tlInputLOB2DOOAdjTime2_R1</t>
  </si>
  <si>
    <t>tlOutputLOB2DOOPlanTime2_R1</t>
  </si>
  <si>
    <t>tlOutputLOB2DOOBaseTime2_R2</t>
  </si>
  <si>
    <t>tlInputLOB2DOOAdjTime2_R2</t>
  </si>
  <si>
    <t>tlOutputLOB2DOOPlanTime2_R2</t>
  </si>
  <si>
    <t>tlOutputLOB2DOOBaseTime3_R1</t>
  </si>
  <si>
    <t>tlInputLOB2DOOAdjTime3_R1</t>
  </si>
  <si>
    <t>tlOutputLOB2DOOPlanTime3_R1</t>
  </si>
  <si>
    <t>tlOutputLOB2DOOBaseTime3_R2</t>
  </si>
  <si>
    <t>tlInputLOB2DOOAdjTime3_R2</t>
  </si>
  <si>
    <t>tlOutputLOB2DOOPlanTime3_R2</t>
  </si>
  <si>
    <t>tlOutputLOB2DOOBaseTime4_R1</t>
  </si>
  <si>
    <t>tlInputLOB2DOOAdjTime4_R1</t>
  </si>
  <si>
    <t>tlOutputLOB2DOOPlanTime4_R1</t>
  </si>
  <si>
    <t>tlOutputLOB2DOOBaseTime4_R2</t>
  </si>
  <si>
    <t>tlInputLOB2DOOAdjTime4_R2</t>
  </si>
  <si>
    <t>tlOutputLOB2DOOPlanTime4_R2</t>
  </si>
  <si>
    <t>tlOutputLOB2DOOBaseTime5_R1</t>
  </si>
  <si>
    <t>tlInputLOB2DOOAdjTime5_R1</t>
  </si>
  <si>
    <t>tlOutputLOB2DOOPlanTime5_R1</t>
  </si>
  <si>
    <t>tlOutputLOB2DOOBaseTime5_R2</t>
  </si>
  <si>
    <t>tlInputLOB2DOOAdjTime5_R2</t>
  </si>
  <si>
    <t>tlOutputLOB2DOOPlanTime5_R2</t>
  </si>
  <si>
    <t>tlOutputLOB2DOOBaseTime6_R1</t>
  </si>
  <si>
    <t>tlInputLOB2DOOAdjTime6_R1</t>
  </si>
  <si>
    <t>tlOutputLOB2DOOPlanTime6_R1</t>
  </si>
  <si>
    <t>tlOutputLOB2DOOBaseTime6_R2</t>
  </si>
  <si>
    <t>tlInputLOB2DOOAdjTime6_R2</t>
  </si>
  <si>
    <t>tlOutputLOB2DOOPlanTime6_R2</t>
  </si>
  <si>
    <t>tlOutputLOB2DOOTotalBaseTime_R1</t>
  </si>
  <si>
    <t>tlOutputLOB2DOOTotalPlanTime_R1</t>
  </si>
  <si>
    <t>tlOutputLOB2DOOTotalBaseTime_R2</t>
  </si>
  <si>
    <t>tlOutputLOB2DOOTotalPlanTime_R2</t>
  </si>
  <si>
    <t>tlOutputLOB2MonthP1_R1</t>
  </si>
  <si>
    <t>tlOutputLOB2MonthP2_R1</t>
  </si>
  <si>
    <t>tlOutputLOB2MonthP3_R1</t>
  </si>
  <si>
    <t>tlOutputLOB2MonthP1_R2</t>
  </si>
  <si>
    <t>tlOutputLOB2MonthP2_R2</t>
  </si>
  <si>
    <t>tlOutputLOB2MonthP3_R2</t>
  </si>
  <si>
    <t>tlOutputLOB2ProjectionP1_R1</t>
  </si>
  <si>
    <t>tlOutputLOB2ProjectionP2_R1</t>
  </si>
  <si>
    <t>tlOutputLOB2ProjectionP3_R1</t>
  </si>
  <si>
    <t>tlOutputLOB2ProjectionBase_R1</t>
  </si>
  <si>
    <t>tlOutputLOB2ProjectionFcst_R1</t>
  </si>
  <si>
    <t>tlOutputLOB2ProjectionP1_R2</t>
  </si>
  <si>
    <t>tlOutputLOB2ProjectionP2_R2</t>
  </si>
  <si>
    <t>tlOutputLOB2ProjectionP3_R2</t>
  </si>
  <si>
    <t>tlOutputLOB2ProjectionBase_R2</t>
  </si>
  <si>
    <t>tlOutputLOB2ProjectionFcst_R2</t>
  </si>
  <si>
    <t>tlOutputLOB2Prod1Seg1P1_R1</t>
  </si>
  <si>
    <t>tlOutputLOB2Prod1Seg1P2_R1</t>
  </si>
  <si>
    <t>tlOutputLOB2Prod1Seg1P3_R1</t>
  </si>
  <si>
    <t>tlOutputLOB2Prod1Seg1Base_R1</t>
  </si>
  <si>
    <t>tlInputLOB2Prod1Seg1Adj_R1</t>
  </si>
  <si>
    <t>tlOutputLOB2Prod1Seg1Fcst_R1</t>
  </si>
  <si>
    <t>tlOutputLOB2Prod1Seg1P1_R2</t>
  </si>
  <si>
    <t>tlOutputLOB2Prod1Seg1P2_R2</t>
  </si>
  <si>
    <t>tlOutputLOB2Prod1Seg1P3_R2</t>
  </si>
  <si>
    <t>tlOutputLOB2Prod1Seg1Base_R2</t>
  </si>
  <si>
    <t>tlInputLOB2Prod1Seg1Adj_R2</t>
  </si>
  <si>
    <t>tlOutputLOB2Prod1Seg1Fcst_R2</t>
  </si>
  <si>
    <t>tlOutputLOB2Prod1Seg2P1_R1</t>
  </si>
  <si>
    <t>tlOutputLOB2Prod1Seg2P2_R1</t>
  </si>
  <si>
    <t>tlOutputLOB2Prod1Seg2P3_R1</t>
  </si>
  <si>
    <t>tlOutputLOB2Prod1Seg2Base_R1</t>
  </si>
  <si>
    <t>tlInputLOB2Prod1Seg2Adj_R1</t>
  </si>
  <si>
    <t>tlOutputLOB2Prod1Seg2Fcst_R1</t>
  </si>
  <si>
    <t>tlOutputLOB2Prod1Seg2P1_R2</t>
  </si>
  <si>
    <t>tlOutputLOB2Prod1Seg2P2_R2</t>
  </si>
  <si>
    <t>tlOutputLOB2Prod1Seg2P3_R2</t>
  </si>
  <si>
    <t>tlOutputLOB2Prod1Seg2Base_R2</t>
  </si>
  <si>
    <t>tlInputLOB2Prod1Seg2Adj_R2</t>
  </si>
  <si>
    <t>tlOutputLOB2Prod1Seg2Fcst_R2</t>
  </si>
  <si>
    <t>tlOutputLOB2Prod1Seg3P1_R1</t>
  </si>
  <si>
    <t>tlOutputLOB2Prod1Seg3P2_R1</t>
  </si>
  <si>
    <t>tlOutputLOB2Prod1Seg3P3_R1</t>
  </si>
  <si>
    <t>tlOutputLOB2Prod1Seg3Base_R1</t>
  </si>
  <si>
    <t>tlInputLOB2Prod1Seg3Adj_R1</t>
  </si>
  <si>
    <t>tlOutputLOB2Prod1Seg3Fcst_R1</t>
  </si>
  <si>
    <t>tlOutputLOB2Prod1Seg3P1_R2</t>
  </si>
  <si>
    <t>tlOutputLOB2Prod1Seg3P2_R2</t>
  </si>
  <si>
    <t>tlOutputLOB2Prod1Seg3P3_R2</t>
  </si>
  <si>
    <t>tlOutputLOB2Prod1Seg3Base_R2</t>
  </si>
  <si>
    <t>tlInputLOB2Prod1Seg3Adj_R2</t>
  </si>
  <si>
    <t>tlOutputLOB2Prod1Seg3Fcst_R2</t>
  </si>
  <si>
    <t>tlOutputLOB2Prod2Seg1P1_R1</t>
  </si>
  <si>
    <t>tlOutputLOB2Prod2Seg1P2_R1</t>
  </si>
  <si>
    <t>tlOutputLOB2Prod2Seg1P3_R1</t>
  </si>
  <si>
    <t>tlOutputLOB2Prod2Seg1Base_R1</t>
  </si>
  <si>
    <t>tlInputLOB2Prod2Seg1Adj_R1</t>
  </si>
  <si>
    <t>tlOutputLOB2Prod2Seg1Fcst_R1</t>
  </si>
  <si>
    <t>tlOutputLOB2Prod2Seg1P1_R2</t>
  </si>
  <si>
    <t>tlOutputLOB2Prod2Seg1P2_R2</t>
  </si>
  <si>
    <t>tlOutputLOB2Prod2Seg1P3_R2</t>
  </si>
  <si>
    <t>tlOutputLOB2Prod2Seg1Base_R2</t>
  </si>
  <si>
    <t>tlInputLOB2Prod2Seg1Adj_R2</t>
  </si>
  <si>
    <t>tlOutputLOB2Prod2Seg1Fcst_R2</t>
  </si>
  <si>
    <t>tlOutputLOB2Prod2Seg2P1_R1</t>
  </si>
  <si>
    <t>tlOutputLOB2Prod2Seg2P2_R1</t>
  </si>
  <si>
    <t>tlOutputLOB2Prod2Seg2P3_R1</t>
  </si>
  <si>
    <t>tlOutputLOB2Prod2Seg2Base_R1</t>
  </si>
  <si>
    <t>tlInputLOB2Prod2Seg2Adj_R1</t>
  </si>
  <si>
    <t>tlOutputLOB2Prod2Seg2Fcst_R1</t>
  </si>
  <si>
    <t>tlOutputLOB2Prod2Seg2P1_R2</t>
  </si>
  <si>
    <t>tlOutputLOB2Prod2Seg2P2_R2</t>
  </si>
  <si>
    <t>tlOutputLOB2Prod2Seg2P3_R2</t>
  </si>
  <si>
    <t>tlOutputLOB2Prod2Seg2Base_R2</t>
  </si>
  <si>
    <t>tlInputLOB2Prod2Seg2Adj_R2</t>
  </si>
  <si>
    <t>tlOutputLOB2Prod2Seg2Fcst_R2</t>
  </si>
  <si>
    <t>tlOutputLOB2Prod2Seg3P1_R1</t>
  </si>
  <si>
    <t>tlOutputLOB2Prod2Seg3P2_R1</t>
  </si>
  <si>
    <t>tlOutputLOB2Prod2Seg3P3_R1</t>
  </si>
  <si>
    <t>tlOutputLOB2Prod2Seg3Base_R1</t>
  </si>
  <si>
    <t>tlInputLOB2Prod2Seg3Adj_R1</t>
  </si>
  <si>
    <t>tlOutputLOB2Prod2Seg3Fcst_R1</t>
  </si>
  <si>
    <t>tlOutputLOB2Prod2Seg3P1_R2</t>
  </si>
  <si>
    <t>tlOutputLOB2Prod2Seg3P2_R2</t>
  </si>
  <si>
    <t>tlOutputLOB2Prod2Seg3P3_R2</t>
  </si>
  <si>
    <t>tlOutputLOB2Prod2Seg3Base_R2</t>
  </si>
  <si>
    <t>tlInputLOB2Prod2Seg3Adj_R2</t>
  </si>
  <si>
    <t>tlOutputLOB2Prod2Seg3Fcst_R2</t>
  </si>
  <si>
    <t>tlInputLOB2Cln1Mtng_R1</t>
  </si>
  <si>
    <t>tlOutputLOB2Cln1Dis_R1</t>
  </si>
  <si>
    <t>tlOutputLOB2Cln1Status_R1</t>
  </si>
  <si>
    <t>tlOutputLOB2Cln1Name_R1</t>
  </si>
  <si>
    <t>tlOutputLOB2Cln1PayMethod_R1</t>
  </si>
  <si>
    <t>tlOutputLOB2Cln1WeekProd_R1</t>
  </si>
  <si>
    <t>tlOutputLOB2Cln1WeekProdProj_R1</t>
  </si>
  <si>
    <t>tlOutputLOB2Cln1WeekMiss_R1</t>
  </si>
  <si>
    <t>tlOutputLOB2Cln1WeekMile_R1</t>
  </si>
  <si>
    <t>tlOutputLOB2Cln1WeekAdmin_R1</t>
  </si>
  <si>
    <t>tlOutputLOB2Cln1WeekOT_R1</t>
  </si>
  <si>
    <t>tlInputLOB2Cln1Mtng_R2</t>
  </si>
  <si>
    <t>tlOutputLOB2Cln1WeekOT_R2</t>
  </si>
  <si>
    <t>tlInputLOB2Cln2Mtng_R1</t>
  </si>
  <si>
    <t>tlOutputLOB2Cln2Dis_R1</t>
  </si>
  <si>
    <t>tlOutputLOB2Cln2Status_R1</t>
  </si>
  <si>
    <t>tlOutputLOB2Cln2Name_R1</t>
  </si>
  <si>
    <t>tlOutputLOB2Cln2PayMethod_R1</t>
  </si>
  <si>
    <t>tlOutputLOB2Cln2WeekProd_R1</t>
  </si>
  <si>
    <t>tlOutputLOB2Cln2WeekProdProj_R1</t>
  </si>
  <si>
    <t>tlOutputLOB2Cln2WeekMiss_R1</t>
  </si>
  <si>
    <t>tlOutputLOB2Cln2WeekMile_R1</t>
  </si>
  <si>
    <t>tlOutputLOB2Cln2WeekAdmin_R1</t>
  </si>
  <si>
    <t>tlOutputLOB2Cln2WeekOT_R1</t>
  </si>
  <si>
    <t>tlInputLOB2Cln2Mtng_R2</t>
  </si>
  <si>
    <t>tlOutputLOB2Cln2WeekOT_R2</t>
  </si>
  <si>
    <t>tlInputLOB2Cln3Mtng_R1</t>
  </si>
  <si>
    <t>tlOutputLOB2Cln3Dis_R1</t>
  </si>
  <si>
    <t>tlOutputLOB2Cln3Status_R1</t>
  </si>
  <si>
    <t>tlOutputLOB2Cln3Name_R1</t>
  </si>
  <si>
    <t>tlOutputLOB2Cln3PayMethod_R1</t>
  </si>
  <si>
    <t>tlOutputLOB2Cln3WeekProd_R1</t>
  </si>
  <si>
    <t>tlOutputLOB2Cln3WeekProdProj_R1</t>
  </si>
  <si>
    <t>tlOutputLOB2Cln3WeekMiss_R1</t>
  </si>
  <si>
    <t>tlOutputLOB2Cln3WeekMile_R1</t>
  </si>
  <si>
    <t>tlOutputLOB2Cln3WeekAdmin_R1</t>
  </si>
  <si>
    <t>tlOutputLOB2Cln3WeekOT_R1</t>
  </si>
  <si>
    <t>tlInputLOB2Cln3Mtng_R2</t>
  </si>
  <si>
    <t>tlOutputLOB2Cln3WeekOT_R2</t>
  </si>
  <si>
    <t>tlInputLOB2Cln4Mtng_R1</t>
  </si>
  <si>
    <t>tlOutputLOB2Cln4Dis_R1</t>
  </si>
  <si>
    <t>tlOutputLOB2Cln4Status_R1</t>
  </si>
  <si>
    <t>tlOutputLOB2Cln4Name_R1</t>
  </si>
  <si>
    <t>tlOutputLOB2Cln4PayMethod_R1</t>
  </si>
  <si>
    <t>tlOutputLOB2Cln4WeekProd_R1</t>
  </si>
  <si>
    <t>tlOutputLOB2Cln4WeekProdProj_R1</t>
  </si>
  <si>
    <t>tlOutputLOB2Cln4WeekMiss_R1</t>
  </si>
  <si>
    <t>tlOutputLOB2Cln4WeekMile_R1</t>
  </si>
  <si>
    <t>tlOutputLOB2Cln4WeekAdmin_R1</t>
  </si>
  <si>
    <t>tlOutputLOB2Cln4WeekOT_R1</t>
  </si>
  <si>
    <t>tlInputLOB2Cln4Mtng_R2</t>
  </si>
  <si>
    <t>tlOutputLOB2Cln4WeekOT_R2</t>
  </si>
  <si>
    <t>tlInputLOB2Cln5Mtng_R1</t>
  </si>
  <si>
    <t>tlOutputLOB2Cln5Dis_R1</t>
  </si>
  <si>
    <t>tlOutputLOB2Cln5Status_R1</t>
  </si>
  <si>
    <t>tlOutputLOB2Cln5Name_R1</t>
  </si>
  <si>
    <t>tlOutputLOB2Cln5PayMethod_R1</t>
  </si>
  <si>
    <t>tlOutputLOB2Cln5WeekProd_R1</t>
  </si>
  <si>
    <t>tlOutputLOB2Cln5WeekProdProj_R1</t>
  </si>
  <si>
    <t>tlOutputLOB2Cln5WeekMiss_R1</t>
  </si>
  <si>
    <t>tlOutputLOB2Cln5WeekMile_R1</t>
  </si>
  <si>
    <t>tlOutputLOB2Cln5WeekAdmin_R1</t>
  </si>
  <si>
    <t>tlOutputLOB2Cln5WeekOT_R1</t>
  </si>
  <si>
    <t>tlInputLOB2Cln5Mtng_R2</t>
  </si>
  <si>
    <t>tlOutputLOB2Cln5WeekOT_R2</t>
  </si>
  <si>
    <t>tlInputLOB2Cln6Mtng_R1</t>
  </si>
  <si>
    <t>tlOutputLOB2Cln6Dis_R1</t>
  </si>
  <si>
    <t>tlOutputLOB2Cln6Status_R1</t>
  </si>
  <si>
    <t>tlOutputLOB2Cln6Name_R1</t>
  </si>
  <si>
    <t>tlOutputLOB2Cln6PayMethod_R1</t>
  </si>
  <si>
    <t>tlOutputLOB2Cln6WeekProd_R1</t>
  </si>
  <si>
    <t>tlOutputLOB2Cln6WeekProdProj_R1</t>
  </si>
  <si>
    <t>tlOutputLOB2Cln6WeekMiss_R1</t>
  </si>
  <si>
    <t>tlOutputLOB2Cln6WeekMile_R1</t>
  </si>
  <si>
    <t>tlOutputLOB2Cln6WeekAdmin_R1</t>
  </si>
  <si>
    <t>tlOutputLOB2Cln6WeekOT_R1</t>
  </si>
  <si>
    <t>tlInputLOB2Cln6Mtng_R2</t>
  </si>
  <si>
    <t>tlOutputLOB2Cln6WeekOT_R2</t>
  </si>
  <si>
    <t>tlInputLOB2Cln7Mtng_R1</t>
  </si>
  <si>
    <t>tlOutputLOB2Cln7Dis_R1</t>
  </si>
  <si>
    <t>tlOutputLOB2Cln7Status_R1</t>
  </si>
  <si>
    <t>tlOutputLOB2Cln7Name_R1</t>
  </si>
  <si>
    <t>tlOutputLOB2Cln7PayMethod_R1</t>
  </si>
  <si>
    <t>tlOutputLOB2Cln7WeekProd_R1</t>
  </si>
  <si>
    <t>tlOutputLOB2Cln7WeekProdProj_R1</t>
  </si>
  <si>
    <t>tlOutputLOB2Cln7WeekMiss_R1</t>
  </si>
  <si>
    <t>tlOutputLOB2Cln7WeekMile_R1</t>
  </si>
  <si>
    <t>tlOutputLOB2Cln7WeekAdmin_R1</t>
  </si>
  <si>
    <t>tlOutputLOB2Cln7WeekOT_R1</t>
  </si>
  <si>
    <t>tlInputLOB2Cln7Mtng_R2</t>
  </si>
  <si>
    <t>tlOutputLOB2Cln7WeekOT_R2</t>
  </si>
  <si>
    <t>tlInputLOB2Cln8Mtng_R1</t>
  </si>
  <si>
    <t>tlOutputLOB2Cln8Dis_R1</t>
  </si>
  <si>
    <t>tlOutputLOB2Cln8Status_R1</t>
  </si>
  <si>
    <t>tlOutputLOB2Cln8Name_R1</t>
  </si>
  <si>
    <t>tlOutputLOB2Cln8PayMethod_R1</t>
  </si>
  <si>
    <t>tlOutputLOB2Cln8WeekProd_R1</t>
  </si>
  <si>
    <t>tlOutputLOB2Cln8WeekProdProj_R1</t>
  </si>
  <si>
    <t>tlOutputLOB2Cln8WeekMiss_R1</t>
  </si>
  <si>
    <t>tlOutputLOB2Cln8WeekMile_R1</t>
  </si>
  <si>
    <t>tlOutputLOB2Cln8WeekAdmin_R1</t>
  </si>
  <si>
    <t>tlOutputLOB2Cln8WeekOT_R1</t>
  </si>
  <si>
    <t>tlInputLOB2Cln8Mtng_R2</t>
  </si>
  <si>
    <t>tlOutputLOB2Cln8WeekOT_R2</t>
  </si>
  <si>
    <t>tlInputLOB2Cln9Mtng_R1</t>
  </si>
  <si>
    <t>tlOutputLOB2Cln9Dis_R1</t>
  </si>
  <si>
    <t>tlOutputLOB2Cln9Status_R1</t>
  </si>
  <si>
    <t>tlOutputLOB2Cln9Name_R1</t>
  </si>
  <si>
    <t>tlOutputLOB2Cln9PayMethod_R1</t>
  </si>
  <si>
    <t>tlOutputLOB2Cln9WeekProd_R1</t>
  </si>
  <si>
    <t>tlOutputLOB2Cln9WeekProdProj_R1</t>
  </si>
  <si>
    <t>tlOutputLOB2Cln9WeekMiss_R1</t>
  </si>
  <si>
    <t>tlOutputLOB2Cln9WeekMile_R1</t>
  </si>
  <si>
    <t>tlOutputLOB2Cln9WeekAdmin_R1</t>
  </si>
  <si>
    <t>tlOutputLOB2Cln9WeekOT_R1</t>
  </si>
  <si>
    <t>tlInputLOB2Cln9Mtng_R2</t>
  </si>
  <si>
    <t>tlOutputLOB2Cln9WeekOT_R2</t>
  </si>
  <si>
    <t>tlInputLOB2Cln10Mtng_R1</t>
  </si>
  <si>
    <t>tlOutputLOB2Cln10Dis_R1</t>
  </si>
  <si>
    <t>tlOutputLOB2Cln10Status_R1</t>
  </si>
  <si>
    <t>tlOutputLOB2Cln10Name_R1</t>
  </si>
  <si>
    <t>tlOutputLOB2Cln10PayMethod_R1</t>
  </si>
  <si>
    <t>tlOutputLOB2Cln10WeekProd_R1</t>
  </si>
  <si>
    <t>tlOutputLOB2Cln10WeekProdProj_R1</t>
  </si>
  <si>
    <t>tlOutputLOB2Cln10WeekMiss_R1</t>
  </si>
  <si>
    <t>tlOutputLOB2Cln10WeekMile_R1</t>
  </si>
  <si>
    <t>tlOutputLOB2Cln10WeekAdmin_R1</t>
  </si>
  <si>
    <t>tlOutputLOB2Cln10WeekOT_R1</t>
  </si>
  <si>
    <t>tlInputLOB2Cln10Mtng_R2</t>
  </si>
  <si>
    <t>tlOutputLOB2Cln10WeekOT_R2</t>
  </si>
  <si>
    <t>decLOB1SpecProg1_R1</t>
  </si>
  <si>
    <t>decLOB1SpecProg1_R2</t>
  </si>
  <si>
    <t>decLOB1SpecProg2_R1</t>
  </si>
  <si>
    <t>decLOB1SpecProg2_R2</t>
  </si>
  <si>
    <t>decLOB1SpecProg3_R1</t>
  </si>
  <si>
    <t>decLOB1SpecProg3_R2</t>
  </si>
  <si>
    <t>decLOB1SpecProg4_R1</t>
  </si>
  <si>
    <t>decLOB1SpecProg4_R2</t>
  </si>
  <si>
    <t>decLOB1DOOAdjTime1_R1</t>
  </si>
  <si>
    <t>decLOB1DOOAdjTime1_R2</t>
  </si>
  <si>
    <t>decLOB1DOOAdjTime2_R1</t>
  </si>
  <si>
    <t>decLOB1DOOAdjTime2_R2</t>
  </si>
  <si>
    <t>decLOB1DOOAdjTime3_R1</t>
  </si>
  <si>
    <t>decLOB1DOOAdjTime3_R2</t>
  </si>
  <si>
    <t>decLOB1DOOAdjTime4_R1</t>
  </si>
  <si>
    <t>decLOB1DOOAdjTime4_R2</t>
  </si>
  <si>
    <t>decLOB1DOOAdjTime5_R1</t>
  </si>
  <si>
    <t>decLOB1DOOAdjTime5_R2</t>
  </si>
  <si>
    <t>decLOB1DOOAdjTime6_R1</t>
  </si>
  <si>
    <t>decLOB1DOOAdjTime6_R2</t>
  </si>
  <si>
    <t>decLOB1Cln1Mtng_R1</t>
  </si>
  <si>
    <t>decLOB1Cln1Mtng_R2</t>
  </si>
  <si>
    <t>decLOB1Cln2Mtng_R1</t>
  </si>
  <si>
    <t>decLOB1Cln2Mtng_R2</t>
  </si>
  <si>
    <t>decLOB1Cln3Mtng_R1</t>
  </si>
  <si>
    <t>decLOB1Cln3Mtng_R2</t>
  </si>
  <si>
    <t>decLOB1Cln4Mtng_R1</t>
  </si>
  <si>
    <t>decLOB1Cln4Mtng_R2</t>
  </si>
  <si>
    <t>decLOB1Cln5Mtng_R1</t>
  </si>
  <si>
    <t>decLOB1Cln5Mtng_R2</t>
  </si>
  <si>
    <t>decLOB1Cln6Mtng_R1</t>
  </si>
  <si>
    <t>decLOB1Cln6Mtng_R2</t>
  </si>
  <si>
    <t>decLOB1Cln7Mtng_R1</t>
  </si>
  <si>
    <t>decLOB1Cln7Mtng_R2</t>
  </si>
  <si>
    <t>decLOB1Cln8Mtng_R1</t>
  </si>
  <si>
    <t>decLOB1Cln8Mtng_R2</t>
  </si>
  <si>
    <t>decLOB1Cln9Mtng_R1</t>
  </si>
  <si>
    <t>decLOB1Cln9Mtng_R2</t>
  </si>
  <si>
    <t>decLOB1Cln10Mtng_R1</t>
  </si>
  <si>
    <t>decLOB1Cln10Mtng_R2</t>
  </si>
  <si>
    <t>decLOB2SpecProg1_R1</t>
  </si>
  <si>
    <t>decLOB2SpecProg1_R2</t>
  </si>
  <si>
    <t>decLOB2SpecProg2_R1</t>
  </si>
  <si>
    <t>decLOB2SpecProg2_R2</t>
  </si>
  <si>
    <t>decLOB2SpecProg3_R1</t>
  </si>
  <si>
    <t>decLOB2SpecProg3_R2</t>
  </si>
  <si>
    <t>decLOB2SpecProg4_R1</t>
  </si>
  <si>
    <t>decLOB2SpecProg4_R2</t>
  </si>
  <si>
    <t>decLOB2DOOAdjTime1_R1</t>
  </si>
  <si>
    <t>decLOB2DOOAdjTime1_R2</t>
  </si>
  <si>
    <t>decLOB2DOOAdjTime2_R1</t>
  </si>
  <si>
    <t>decLOB2DOOAdjTime2_R2</t>
  </si>
  <si>
    <t>decLOB2DOOAdjTime3_R1</t>
  </si>
  <si>
    <t>decLOB2DOOAdjTime3_R2</t>
  </si>
  <si>
    <t>decLOB2DOOAdjTime4_R1</t>
  </si>
  <si>
    <t>decLOB2DOOAdjTime4_R2</t>
  </si>
  <si>
    <t>decLOB2DOOAdjTime5_R1</t>
  </si>
  <si>
    <t>decLOB2DOOAdjTime5_R2</t>
  </si>
  <si>
    <t>decLOB2DOOAdjTime6_R1</t>
  </si>
  <si>
    <t>decLOB2DOOAdjTime6_R2</t>
  </si>
  <si>
    <t>decLOB2Cln1Mtng_R1</t>
  </si>
  <si>
    <t>decLOB2Cln1Mtng_R2</t>
  </si>
  <si>
    <t>decLOB2Cln2Mtng_R1</t>
  </si>
  <si>
    <t>decLOB2Cln2Mtng_R2</t>
  </si>
  <si>
    <t>decLOB2Cln3Mtng_R1</t>
  </si>
  <si>
    <t>decLOB2Cln3Mtng_R2</t>
  </si>
  <si>
    <t>decLOB2Cln4Mtng_R1</t>
  </si>
  <si>
    <t>decLOB2Cln4Mtng_R2</t>
  </si>
  <si>
    <t>decLOB2Cln5Mtng_R1</t>
  </si>
  <si>
    <t>decLOB2Cln5Mtng_R2</t>
  </si>
  <si>
    <t>decLOB2Cln6Mtng_R1</t>
  </si>
  <si>
    <t>decLOB2Cln6Mtng_R2</t>
  </si>
  <si>
    <t>decLOB2Cln7Mtng_R1</t>
  </si>
  <si>
    <t>decLOB2Cln7Mtng_R2</t>
  </si>
  <si>
    <t>decLOB2Cln8Mtng_R1</t>
  </si>
  <si>
    <t>decLOB2Cln8Mtng_R2</t>
  </si>
  <si>
    <t>decLOB2Cln9Mtng_R1</t>
  </si>
  <si>
    <t>decLOB2Cln9Mtng_R2</t>
  </si>
  <si>
    <t>decLOB2Cln10Mtng_R1</t>
  </si>
  <si>
    <t>decLOB2Cln10Mtng_R2</t>
  </si>
  <si>
    <t>decLOB1Prod1Seg1Adj_R1</t>
  </si>
  <si>
    <t>decLOB1Prod1Seg1Adj_R2</t>
  </si>
  <si>
    <t>decLOB2Prod1Seg1Adj_R1</t>
  </si>
  <si>
    <t>decLOB2Prod1Seg1Adj_R2</t>
  </si>
  <si>
    <t>decLOB1Prod1Seg2Adj_R1</t>
  </si>
  <si>
    <t>decLOB1Prod1Seg2Adj_R2</t>
  </si>
  <si>
    <t>decLOB2Prod1Seg2Adj_R1</t>
  </si>
  <si>
    <t>decLOB2Prod1Seg2Adj_R2</t>
  </si>
  <si>
    <t>decLOB1Prod1Seg3Adj_R1</t>
  </si>
  <si>
    <t>decLOB1Prod1Seg3Adj_R2</t>
  </si>
  <si>
    <t>decLOB2Prod1Seg3Adj_R1</t>
  </si>
  <si>
    <t>decLOB2Prod1Seg3Adj_R2</t>
  </si>
  <si>
    <t>decLOB1Prod2Seg1Adj_R1</t>
  </si>
  <si>
    <t>decLOB1Prod2Seg1Adj_R2</t>
  </si>
  <si>
    <t>decLOB2Prod2Seg1Adj_R1</t>
  </si>
  <si>
    <t>decLOB2Prod2Seg1Adj_R2</t>
  </si>
  <si>
    <t>decLOB1Prod2Seg2Adj_R1</t>
  </si>
  <si>
    <t>decLOB1Prod2Seg2Adj_R2</t>
  </si>
  <si>
    <t>decLOB2Prod2Seg2Adj_R1</t>
  </si>
  <si>
    <t>decLOB2Prod2Seg2Adj_R2</t>
  </si>
  <si>
    <t>decLOB1Prod2Seg3Adj_R1</t>
  </si>
  <si>
    <t>decLOB1Prod2Seg3Adj_R2</t>
  </si>
  <si>
    <t>decLOB2Prod2Seg3Adj_R1</t>
  </si>
  <si>
    <t>decLOB2Prod2Seg3Adj_R2</t>
  </si>
  <si>
    <t>calcLOB1Prod2Seg1Patients</t>
  </si>
  <si>
    <t>calcLOB1Prod2Seg2Patients</t>
  </si>
  <si>
    <t>calcLOB1Prod2Seg3Patients</t>
  </si>
  <si>
    <t>Annual Patient Visits</t>
  </si>
  <si>
    <t>calcLOB1Prod1Seg1Emp1Visits</t>
  </si>
  <si>
    <t>calcLOB1Prod1Seg2Emp1Visits</t>
  </si>
  <si>
    <t>calcLOB1Prod1Seg3Emp1Visits</t>
  </si>
  <si>
    <t>calcLOB1Prod2Seg1Emp1Visits</t>
  </si>
  <si>
    <t>calcLOB1Prod2Seg2Emp1Visits</t>
  </si>
  <si>
    <t>calcLOB1Prod2Seg3Emp1Visits</t>
  </si>
  <si>
    <t>calcLOB1Prod1Seg1Emp2Visits</t>
  </si>
  <si>
    <t>calcLOB1Prod1Seg2Emp2Visits</t>
  </si>
  <si>
    <t>calcLOB1Prod1Seg3Emp2Visits</t>
  </si>
  <si>
    <t>calcLOB1Prod2Seg1Emp2Visits</t>
  </si>
  <si>
    <t>calcLOB1Prod2Seg2Emp2Visits</t>
  </si>
  <si>
    <t>calcLOB1Prod2Seg3Emp2Visits</t>
  </si>
  <si>
    <t>calcLOB1Prod1Seg1Emp3Visits</t>
  </si>
  <si>
    <t>calcLOB1Prod1Seg2Emp3Visits</t>
  </si>
  <si>
    <t>calcLOB1Prod1Seg3Emp3Visits</t>
  </si>
  <si>
    <t>calcLOB1Prod2Seg1Emp3Visits</t>
  </si>
  <si>
    <t>calcLOB1Prod2Seg2Emp3Visits</t>
  </si>
  <si>
    <t>calcLOB1Prod2Seg3Emp3Visits</t>
  </si>
  <si>
    <t>Staff Capacity</t>
  </si>
  <si>
    <t>calcLOB1Emp1Visits</t>
  </si>
  <si>
    <t>calcLOB1Emp2Visits</t>
  </si>
  <si>
    <t>calcLOB1Emp3Visits</t>
  </si>
  <si>
    <t>Staff Disciple</t>
  </si>
  <si>
    <t>Clinician 11</t>
  </si>
  <si>
    <t>Clinician 12</t>
  </si>
  <si>
    <t>dataTableCC1Staff</t>
  </si>
  <si>
    <t>dataTableCC2Staff</t>
  </si>
  <si>
    <t>obalLOB1DiscClinician1</t>
  </si>
  <si>
    <t>obalLOB1DiscClinician2</t>
  </si>
  <si>
    <t>obalLOB1DiscClinician3</t>
  </si>
  <si>
    <t>obalLOB1DiscClinician4</t>
  </si>
  <si>
    <t>obalLOB1DiscClinician5</t>
  </si>
  <si>
    <t>obalLOB1DiscClinician6</t>
  </si>
  <si>
    <t>obalLOB1DiscClinician7</t>
  </si>
  <si>
    <t>obalLOB1DiscClinician8</t>
  </si>
  <si>
    <t>obalLOB1DiscClinician9</t>
  </si>
  <si>
    <t>obalLOB1DiscClinician10</t>
  </si>
  <si>
    <t>obalLOB1DiscClinician11</t>
  </si>
  <si>
    <t>obalLOB1DiscClinician12</t>
  </si>
  <si>
    <t>cbalLOB1DiscClinician1</t>
  </si>
  <si>
    <t>cbalLOB1DiscClinician2</t>
  </si>
  <si>
    <t>cbalLOB1DiscClinician3</t>
  </si>
  <si>
    <t>cbalLOB1DiscClinician4</t>
  </si>
  <si>
    <t>cbalLOB1DiscClinician5</t>
  </si>
  <si>
    <t>cbalLOB1DiscClinician6</t>
  </si>
  <si>
    <t>cbalLOB1DiscClinician7</t>
  </si>
  <si>
    <t>cbalLOB1DiscClinician8</t>
  </si>
  <si>
    <t>cbalLOB1DiscClinician9</t>
  </si>
  <si>
    <t>cbalLOB1DiscClinician10</t>
  </si>
  <si>
    <t>cbalLOB1DiscClinician11</t>
  </si>
  <si>
    <t>cbalLOB1DiscClinician12</t>
  </si>
  <si>
    <t>Staff Employment Status</t>
  </si>
  <si>
    <t>obalLOB1EmpStatClinician1</t>
  </si>
  <si>
    <t>obalLOB1EmpStatClinician2</t>
  </si>
  <si>
    <t>obalLOB1EmpStatClinician3</t>
  </si>
  <si>
    <t>obalLOB1EmpStatClinician4</t>
  </si>
  <si>
    <t>obalLOB1EmpStatClinician5</t>
  </si>
  <si>
    <t>obalLOB1EmpStatClinician6</t>
  </si>
  <si>
    <t>obalLOB1EmpStatClinician7</t>
  </si>
  <si>
    <t>obalLOB1EmpStatClinician8</t>
  </si>
  <si>
    <t>obalLOB1EmpStatClinician9</t>
  </si>
  <si>
    <t>obalLOB1EmpStatClinician10</t>
  </si>
  <si>
    <t>obalLOB1EmpStatClinician11</t>
  </si>
  <si>
    <t>obalLOB1EmpStatClinician12</t>
  </si>
  <si>
    <t>cbalLOB1EmpStatClinician1</t>
  </si>
  <si>
    <t>cbalLOB1EmpStatClinician2</t>
  </si>
  <si>
    <t>cbalLOB1EmpStatClinician3</t>
  </si>
  <si>
    <t>cbalLOB1EmpStatClinician4</t>
  </si>
  <si>
    <t>cbalLOB1EmpStatClinician5</t>
  </si>
  <si>
    <t>cbalLOB1EmpStatClinician6</t>
  </si>
  <si>
    <t>cbalLOB1EmpStatClinician7</t>
  </si>
  <si>
    <t>cbalLOB1EmpStatClinician8</t>
  </si>
  <si>
    <t>cbalLOB1EmpStatClinician9</t>
  </si>
  <si>
    <t>cbalLOB1EmpStatClinician10</t>
  </si>
  <si>
    <t>cbalLOB1EmpStatClinician11</t>
  </si>
  <si>
    <t>cbalLOB1EmpStatClinician12</t>
  </si>
  <si>
    <t>Staff Avg Weekly Production</t>
  </si>
  <si>
    <t>obalLOB1AvgProdClinician1</t>
  </si>
  <si>
    <t>obalLOB1AvgProdClinician2</t>
  </si>
  <si>
    <t>obalLOB1AvgProdClinician3</t>
  </si>
  <si>
    <t>obalLOB1AvgProdClinician4</t>
  </si>
  <si>
    <t>obalLOB1AvgProdClinician5</t>
  </si>
  <si>
    <t>obalLOB1AvgProdClinician6</t>
  </si>
  <si>
    <t>obalLOB1AvgProdClinician7</t>
  </si>
  <si>
    <t>obalLOB1AvgProdClinician8</t>
  </si>
  <si>
    <t>obalLOB1AvgProdClinician9</t>
  </si>
  <si>
    <t>obalLOB1AvgProdClinician10</t>
  </si>
  <si>
    <t>obalLOB1AvgProdClinician11</t>
  </si>
  <si>
    <t>obalLOB1AvgProdClinician12</t>
  </si>
  <si>
    <t>cbalLOB1AvgProdClinician1</t>
  </si>
  <si>
    <t>cbalLOB1AvgProdClinician2</t>
  </si>
  <si>
    <t>cbalLOB1AvgProdClinician3</t>
  </si>
  <si>
    <t>cbalLOB1AvgProdClinician4</t>
  </si>
  <si>
    <t>cbalLOB1AvgProdClinician5</t>
  </si>
  <si>
    <t>cbalLOB1AvgProdClinician6</t>
  </si>
  <si>
    <t>cbalLOB1AvgProdClinician7</t>
  </si>
  <si>
    <t>cbalLOB1AvgProdClinician8</t>
  </si>
  <si>
    <t>cbalLOB1AvgProdClinician9</t>
  </si>
  <si>
    <t>cbalLOB1AvgProdClinician10</t>
  </si>
  <si>
    <t>cbalLOB1AvgProdClinician11</t>
  </si>
  <si>
    <t>cbalLOB1AvgProdClinician12</t>
  </si>
  <si>
    <t>nmDisc1</t>
  </si>
  <si>
    <t>nmDisc2</t>
  </si>
  <si>
    <t>nmDisc3</t>
  </si>
  <si>
    <t>nmDisc4</t>
  </si>
  <si>
    <t>OPEN</t>
  </si>
  <si>
    <t>calcLOB1Emp1Capacity</t>
  </si>
  <si>
    <t>calcLOB1Emp2Capacity</t>
  </si>
  <si>
    <t>calcLOB1Emp3Capacity</t>
  </si>
  <si>
    <t>Total Patients</t>
  </si>
  <si>
    <t>calcLOB1Patients</t>
  </si>
  <si>
    <t>Utilization</t>
  </si>
  <si>
    <t>Base Weekly Production</t>
  </si>
  <si>
    <t>Total Base Production</t>
  </si>
  <si>
    <t>Gross Allocated Production</t>
  </si>
  <si>
    <t>% Missed</t>
  </si>
  <si>
    <t>obalLOB1AvgMissPercClinician1</t>
  </si>
  <si>
    <t>obalLOB1AvgMissPercClinician2</t>
  </si>
  <si>
    <t>obalLOB1AvgMissPercClinician3</t>
  </si>
  <si>
    <t>obalLOB1AvgMissPercClinician4</t>
  </si>
  <si>
    <t>obalLOB1AvgMissPercClinician5</t>
  </si>
  <si>
    <t>obalLOB1AvgMissPercClinician6</t>
  </si>
  <si>
    <t>obalLOB1AvgMissPercClinician7</t>
  </si>
  <si>
    <t>obalLOB1AvgMissPercClinician8</t>
  </si>
  <si>
    <t>obalLOB1AvgMissPercClinician9</t>
  </si>
  <si>
    <t>obalLOB1AvgMissPercClinician10</t>
  </si>
  <si>
    <t>obalLOB1AvgMissPercClinician11</t>
  </si>
  <si>
    <t>obalLOB1AvgMissPercClinician12</t>
  </si>
  <si>
    <t>Staff Avg % of Missed Visits</t>
  </si>
  <si>
    <t>cbalLOB1AvgMissPercClinician1</t>
  </si>
  <si>
    <t>cbalLOB1AvgMissPercClinician2</t>
  </si>
  <si>
    <t>cbalLOB1AvgMissPercClinician3</t>
  </si>
  <si>
    <t>cbalLOB1AvgMissPercClinician4</t>
  </si>
  <si>
    <t>cbalLOB1AvgMissPercClinician5</t>
  </si>
  <si>
    <t>cbalLOB1AvgMissPercClinician6</t>
  </si>
  <si>
    <t>cbalLOB1AvgMissPercClinician7</t>
  </si>
  <si>
    <t>cbalLOB1AvgMissPercClinician8</t>
  </si>
  <si>
    <t>cbalLOB1AvgMissPercClinician9</t>
  </si>
  <si>
    <t>cbalLOB1AvgMissPercClinician10</t>
  </si>
  <si>
    <t>cbalLOB1AvgMissPercClinician11</t>
  </si>
  <si>
    <t>cbalLOB1AvgMissPercClinician12</t>
  </si>
  <si>
    <t>Missed Visits</t>
  </si>
  <si>
    <t>Base Weekly Allocation</t>
  </si>
  <si>
    <t>Net Allocated Production</t>
  </si>
  <si>
    <t>Overtime</t>
  </si>
  <si>
    <t>Gen-2</t>
  </si>
  <si>
    <t>Work Weeks Per Year</t>
  </si>
  <si>
    <t>paramWorkWeeksPYear</t>
  </si>
  <si>
    <t>TPTal Base Production</t>
  </si>
  <si>
    <t>Projected Weekly Production</t>
  </si>
  <si>
    <t>Average Weekly Missed Visits</t>
  </si>
  <si>
    <t>calcLOB1Clinician1Disc1Emp1BaseProd</t>
  </si>
  <si>
    <t>calcLOB1Clinician2Disc1Emp1BaseProd</t>
  </si>
  <si>
    <t>calcLOB1Clinician3Disc1Emp1BaseProd</t>
  </si>
  <si>
    <t>calcLOB1Clinician4Disc1Emp1BaseProd</t>
  </si>
  <si>
    <t>calcLOB1Clinician5Disc1Emp1BaseProd</t>
  </si>
  <si>
    <t>calcLOB1Clinician6Disc1Emp1BaseProd</t>
  </si>
  <si>
    <t>calcLOB1Clinician7Disc1Emp1BaseProd</t>
  </si>
  <si>
    <t>calcLOB1Clinician8Disc1Emp1BaseProd</t>
  </si>
  <si>
    <t>calcLOB1Clinician9Disc1Emp1BaseProd</t>
  </si>
  <si>
    <t>calcLOB1Clinician10Disc1Emp1BaseProd</t>
  </si>
  <si>
    <t>calcLOB1Clinician11Disc1Emp1BaseProd</t>
  </si>
  <si>
    <t>calcLOB1Clinician12Disc1Emp1BaseProd</t>
  </si>
  <si>
    <t>calcLOB1Clinician1Disc2Emp1BaseProd</t>
  </si>
  <si>
    <t>calcLOB1Clinician2Disc2Emp1BaseProd</t>
  </si>
  <si>
    <t>calcLOB1Clinician3Disc2Emp1BaseProd</t>
  </si>
  <si>
    <t>calcLOB1Clinician4Disc2Emp1BaseProd</t>
  </si>
  <si>
    <t>calcLOB1Clinician5Disc2Emp1BaseProd</t>
  </si>
  <si>
    <t>calcLOB1Clinician6Disc2Emp1BaseProd</t>
  </si>
  <si>
    <t>calcLOB1Clinician7Disc2Emp1BaseProd</t>
  </si>
  <si>
    <t>calcLOB1Clinician8Disc2Emp1BaseProd</t>
  </si>
  <si>
    <t>calcLOB1Clinician9Disc2Emp1BaseProd</t>
  </si>
  <si>
    <t>calcLOB1Clinician10Disc2Emp1BaseProd</t>
  </si>
  <si>
    <t>calcLOB1Clinician11Disc2Emp1BaseProd</t>
  </si>
  <si>
    <t>calcLOB1Clinician12Disc2Emp1BaseProd</t>
  </si>
  <si>
    <t>calcLOB1Emp1BaseProdCapacity</t>
  </si>
  <si>
    <t>calcLOB1Clinician1Disc1Emp1AllowPerc</t>
  </si>
  <si>
    <t>calcLOB1Clinician2Disc1Emp1AllowPerc</t>
  </si>
  <si>
    <t>calcLOB1Clinician3Disc1Emp1AllowPerc</t>
  </si>
  <si>
    <t>calcLOB1Clinician4Disc1Emp1AllowPerc</t>
  </si>
  <si>
    <t>calcLOB1Clinician5Disc1Emp1AllowPerc</t>
  </si>
  <si>
    <t>calcLOB1Clinician6Disc1Emp1AllowPerc</t>
  </si>
  <si>
    <t>calcLOB1Clinician7Disc1Emp1AllowPerc</t>
  </si>
  <si>
    <t>calcLOB1Clinician8Disc1Emp1AllowPerc</t>
  </si>
  <si>
    <t>calcLOB1Clinician9Disc1Emp1AllowPerc</t>
  </si>
  <si>
    <t>calcLOB1Clinician10Disc1Emp1AllowPerc</t>
  </si>
  <si>
    <t>calcLOB1Clinician11Disc1Emp1AllowPerc</t>
  </si>
  <si>
    <t>calcLOB1Clinician12Disc1Emp1AllowPerc</t>
  </si>
  <si>
    <t>calcLOB1Clinician1Disc2Emp1AllowPerc</t>
  </si>
  <si>
    <t>calcLOB1Clinician2Disc2Emp1AllowPerc</t>
  </si>
  <si>
    <t>calcLOB1Clinician3Disc2Emp1AllowPerc</t>
  </si>
  <si>
    <t>calcLOB1Clinician4Disc2Emp1AllowPerc</t>
  </si>
  <si>
    <t>calcLOB1Clinician5Disc2Emp1AllowPerc</t>
  </si>
  <si>
    <t>calcLOB1Clinician6Disc2Emp1AllowPerc</t>
  </si>
  <si>
    <t>calcLOB1Clinician7Disc2Emp1AllowPerc</t>
  </si>
  <si>
    <t>calcLOB1Clinician8Disc2Emp1AllowPerc</t>
  </si>
  <si>
    <t>calcLOB1Clinician9Disc2Emp1AllowPerc</t>
  </si>
  <si>
    <t>calcLOB1Clinician10Disc2Emp1AllowPerc</t>
  </si>
  <si>
    <t>calcLOB1Clinician11Disc2Emp1AllowPerc</t>
  </si>
  <si>
    <t>calcLOB1Clinician12Disc2Emp1AllowPerc</t>
  </si>
  <si>
    <t>calcLOB1Clinician1Disc1Emp1GrossProd</t>
  </si>
  <si>
    <t>calcLOB1Clinician2Disc1Emp1GrossProd</t>
  </si>
  <si>
    <t>calcLOB1Clinician3Disc1Emp1GrossProd</t>
  </si>
  <si>
    <t>calcLOB1Clinician4Disc1Emp1GrossProd</t>
  </si>
  <si>
    <t>calcLOB1Clinician5Disc1Emp1GrossProd</t>
  </si>
  <si>
    <t>calcLOB1Clinician6Disc1Emp1GrossProd</t>
  </si>
  <si>
    <t>calcLOB1Clinician7Disc1Emp1GrossProd</t>
  </si>
  <si>
    <t>calcLOB1Clinician8Disc1Emp1GrossProd</t>
  </si>
  <si>
    <t>calcLOB1Clinician9Disc1Emp1GrossProd</t>
  </si>
  <si>
    <t>calcLOB1Clinician10Disc1Emp1GrossProd</t>
  </si>
  <si>
    <t>calcLOB1Clinician11Disc1Emp1GrossProd</t>
  </si>
  <si>
    <t>calcLOB1Clinician12Disc1Emp1GrossProd</t>
  </si>
  <si>
    <t>calcLOB1Clinician1Disc2Emp1GrossProd</t>
  </si>
  <si>
    <t>calcLOB1Clinician2Disc2Emp1GrossProd</t>
  </si>
  <si>
    <t>calcLOB1Clinician3Disc2Emp1GrossProd</t>
  </si>
  <si>
    <t>calcLOB1Clinician4Disc2Emp1GrossProd</t>
  </si>
  <si>
    <t>calcLOB1Clinician5Disc2Emp1GrossProd</t>
  </si>
  <si>
    <t>calcLOB1Clinician6Disc2Emp1GrossProd</t>
  </si>
  <si>
    <t>calcLOB1Clinician7Disc2Emp1GrossProd</t>
  </si>
  <si>
    <t>calcLOB1Clinician8Disc2Emp1GrossProd</t>
  </si>
  <si>
    <t>calcLOB1Clinician9Disc2Emp1GrossProd</t>
  </si>
  <si>
    <t>calcLOB1Clinician10Disc2Emp1GrossProd</t>
  </si>
  <si>
    <t>calcLOB1Clinician11Disc2Emp1GrossProd</t>
  </si>
  <si>
    <t>calcLOB1Clinician12Disc2Emp1GrossProd</t>
  </si>
  <si>
    <t>calcLOB1Clinician1Disc1Emp1MissVisits</t>
  </si>
  <si>
    <t>calcLOB1Clinician2Disc1Emp1MissVisits</t>
  </si>
  <si>
    <t>calcLOB1Clinician3Disc1Emp1MissVisits</t>
  </si>
  <si>
    <t>calcLOB1Clinician4Disc1Emp1MissVisits</t>
  </si>
  <si>
    <t>calcLOB1Clinician5Disc1Emp1MissVisits</t>
  </si>
  <si>
    <t>calcLOB1Clinician6Disc1Emp1MissVisits</t>
  </si>
  <si>
    <t>calcLOB1Clinician7Disc1Emp1MissVisits</t>
  </si>
  <si>
    <t>calcLOB1Clinician8Disc1Emp1MissVisits</t>
  </si>
  <si>
    <t>calcLOB1Clinician9Disc1Emp1MissVisits</t>
  </si>
  <si>
    <t>calcLOB1Clinician10Disc1Emp1MissVisits</t>
  </si>
  <si>
    <t>calcLOB1Clinician11Disc1Emp1MissVisits</t>
  </si>
  <si>
    <t>calcLOB1Clinician12Disc1Emp1MissVisits</t>
  </si>
  <si>
    <t>calcLOB1Clinician1Disc2Emp1MissVisits</t>
  </si>
  <si>
    <t>calcLOB1Clinician2Disc2Emp1MissVisits</t>
  </si>
  <si>
    <t>calcLOB1Clinician3Disc2Emp1MissVisits</t>
  </si>
  <si>
    <t>calcLOB1Clinician4Disc2Emp1MissVisits</t>
  </si>
  <si>
    <t>calcLOB1Clinician5Disc2Emp1MissVisits</t>
  </si>
  <si>
    <t>calcLOB1Clinician6Disc2Emp1MissVisits</t>
  </si>
  <si>
    <t>calcLOB1Clinician7Disc2Emp1MissVisits</t>
  </si>
  <si>
    <t>calcLOB1Clinician8Disc2Emp1MissVisits</t>
  </si>
  <si>
    <t>calcLOB1Clinician9Disc2Emp1MissVisits</t>
  </si>
  <si>
    <t>calcLOB1Clinician10Disc2Emp1MissVisits</t>
  </si>
  <si>
    <t>calcLOB1Clinician11Disc2Emp1MissVisits</t>
  </si>
  <si>
    <t>calcLOB1Clinician12Disc2Emp1MissVisits</t>
  </si>
  <si>
    <t>calcLOB1Clinician1Disc1Emp1NetProd</t>
  </si>
  <si>
    <t>calcLOB1Clinician2Disc1Emp1NetProd</t>
  </si>
  <si>
    <t>calcLOB1Clinician3Disc1Emp1NetProd</t>
  </si>
  <si>
    <t>calcLOB1Clinician4Disc1Emp1NetProd</t>
  </si>
  <si>
    <t>calcLOB1Clinician5Disc1Emp1NetProd</t>
  </si>
  <si>
    <t>calcLOB1Clinician6Disc1Emp1NetProd</t>
  </si>
  <si>
    <t>calcLOB1Clinician7Disc1Emp1NetProd</t>
  </si>
  <si>
    <t>calcLOB1Clinician8Disc1Emp1NetProd</t>
  </si>
  <si>
    <t>calcLOB1Clinician9Disc1Emp1NetProd</t>
  </si>
  <si>
    <t>calcLOB1Clinician10Disc1Emp1NetProd</t>
  </si>
  <si>
    <t>calcLOB1Clinician11Disc1Emp1NetProd</t>
  </si>
  <si>
    <t>calcLOB1Clinician12Disc1Emp1NetProd</t>
  </si>
  <si>
    <t>calcLOB1Clinician1Disc2Emp1NetProd</t>
  </si>
  <si>
    <t>calcLOB1Clinician2Disc2Emp1NetProd</t>
  </si>
  <si>
    <t>calcLOB1Clinician3Disc2Emp1NetProd</t>
  </si>
  <si>
    <t>calcLOB1Clinician4Disc2Emp1NetProd</t>
  </si>
  <si>
    <t>calcLOB1Clinician5Disc2Emp1NetProd</t>
  </si>
  <si>
    <t>calcLOB1Clinician6Disc2Emp1NetProd</t>
  </si>
  <si>
    <t>calcLOB1Clinician7Disc2Emp1NetProd</t>
  </si>
  <si>
    <t>calcLOB1Clinician8Disc2Emp1NetProd</t>
  </si>
  <si>
    <t>calcLOB1Clinician9Disc2Emp1NetProd</t>
  </si>
  <si>
    <t>calcLOB1Clinician10Disc2Emp1NetProd</t>
  </si>
  <si>
    <t>calcLOB1Clinician11Disc2Emp1NetProd</t>
  </si>
  <si>
    <t>calcLOB1Clinician12Disc2Emp1NetProd</t>
  </si>
  <si>
    <t>calcLOB1Clinician1Disc1Emp1OverTIme</t>
  </si>
  <si>
    <t>calcLOB1Clinician2Disc1Emp1OverTIme</t>
  </si>
  <si>
    <t>calcLOB1Clinician3Disc1Emp1OverTIme</t>
  </si>
  <si>
    <t>calcLOB1Clinician4Disc1Emp1OverTIme</t>
  </si>
  <si>
    <t>calcLOB1Clinician5Disc1Emp1OverTIme</t>
  </si>
  <si>
    <t>calcLOB1Clinician6Disc1Emp1OverTIme</t>
  </si>
  <si>
    <t>calcLOB1Clinician7Disc1Emp1OverTIme</t>
  </si>
  <si>
    <t>calcLOB1Clinician8Disc1Emp1OverTIme</t>
  </si>
  <si>
    <t>calcLOB1Clinician9Disc1Emp1OverTIme</t>
  </si>
  <si>
    <t>calcLOB1Clinician10Disc1Emp1OverTIme</t>
  </si>
  <si>
    <t>calcLOB1Clinician11Disc1Emp1OverTIme</t>
  </si>
  <si>
    <t>calcLOB1Clinician12Disc1Emp1OverTIme</t>
  </si>
  <si>
    <t>calcLOB1Clinician1Disc2Emp1OverTIme</t>
  </si>
  <si>
    <t>calcLOB1Clinician2Disc2Emp1OverTIme</t>
  </si>
  <si>
    <t>calcLOB1Clinician3Disc2Emp1OverTIme</t>
  </si>
  <si>
    <t>calcLOB1Clinician4Disc2Emp1OverTIme</t>
  </si>
  <si>
    <t>calcLOB1Clinician5Disc2Emp1OverTIme</t>
  </si>
  <si>
    <t>calcLOB1Clinician6Disc2Emp1OverTIme</t>
  </si>
  <si>
    <t>calcLOB1Clinician7Disc2Emp1OverTIme</t>
  </si>
  <si>
    <t>calcLOB1Clinician8Disc2Emp1OverTIme</t>
  </si>
  <si>
    <t>calcLOB1Clinician9Disc2Emp1OverTIme</t>
  </si>
  <si>
    <t>calcLOB1Clinician10Disc2Emp1OverTIme</t>
  </si>
  <si>
    <t>calcLOB1Clinician11Disc2Emp1OverTIme</t>
  </si>
  <si>
    <t>calcLOB1Clinician12Disc2Emp1OverTIme</t>
  </si>
  <si>
    <t>calcLOB1Clinician1Emp2BaseProd</t>
  </si>
  <si>
    <t>calcLOB1Clinician2Emp2BaseProd</t>
  </si>
  <si>
    <t>calcLOB1Clinician3Emp2BaseProd</t>
  </si>
  <si>
    <t>calcLOB1Clinician4Emp2BaseProd</t>
  </si>
  <si>
    <t>calcLOB1Clinician5Emp2BaseProd</t>
  </si>
  <si>
    <t>calcLOB1Clinician6Emp2BaseProd</t>
  </si>
  <si>
    <t>calcLOB1Clinician7Emp2BaseProd</t>
  </si>
  <si>
    <t>calcLOB1Clinician8Emp2BaseProd</t>
  </si>
  <si>
    <t>calcLOB1Clinician9Emp2BaseProd</t>
  </si>
  <si>
    <t>calcLOB1Clinician10Emp2BaseProd</t>
  </si>
  <si>
    <t>calcLOB1Clinician11Emp2BaseProd</t>
  </si>
  <si>
    <t>calcLOB1Clinician12Emp2BaseProd</t>
  </si>
  <si>
    <t>calcLOB1Emp2BaseProdCapacity</t>
  </si>
  <si>
    <t>calcLOB1Clinician1Emp2AllowPerc</t>
  </si>
  <si>
    <t>calcLOB1Clinician2Emp2AllowPerc</t>
  </si>
  <si>
    <t>calcLOB1Clinician3Emp2AllowPerc</t>
  </si>
  <si>
    <t>calcLOB1Clinician4Emp2AllowPerc</t>
  </si>
  <si>
    <t>calcLOB1Clinician5Emp2AllowPerc</t>
  </si>
  <si>
    <t>calcLOB1Clinician6Emp2AllowPerc</t>
  </si>
  <si>
    <t>calcLOB1Clinician7Emp2AllowPerc</t>
  </si>
  <si>
    <t>calcLOB1Clinician8Emp2AllowPerc</t>
  </si>
  <si>
    <t>calcLOB1Clinician9Emp2AllowPerc</t>
  </si>
  <si>
    <t>calcLOB1Clinician10Emp2AllowPerc</t>
  </si>
  <si>
    <t>calcLOB1Clinician11Emp2AllowPerc</t>
  </si>
  <si>
    <t>calcLOB1Clinician12Emp2AllowPerc</t>
  </si>
  <si>
    <t>calcLOB1Clinician1Emp2GrossProd</t>
  </si>
  <si>
    <t>calcLOB1Clinician2Emp2GrossProd</t>
  </si>
  <si>
    <t>calcLOB1Clinician3Emp2GrossProd</t>
  </si>
  <si>
    <t>calcLOB1Clinician4Emp2GrossProd</t>
  </si>
  <si>
    <t>calcLOB1Clinician5Emp2GrossProd</t>
  </si>
  <si>
    <t>calcLOB1Clinician6Emp2GrossProd</t>
  </si>
  <si>
    <t>calcLOB1Clinician7Emp2GrossProd</t>
  </si>
  <si>
    <t>calcLOB1Clinician8Emp2GrossProd</t>
  </si>
  <si>
    <t>calcLOB1Clinician9Emp2GrossProd</t>
  </si>
  <si>
    <t>calcLOB1Clinician10Emp2GrossProd</t>
  </si>
  <si>
    <t>calcLOB1Clinician11Emp2GrossProd</t>
  </si>
  <si>
    <t>calcLOB1Clinician12Emp2GrossProd</t>
  </si>
  <si>
    <t>calcLOB1Clinician1Emp2MissVisits</t>
  </si>
  <si>
    <t>calcLOB1Clinician2Emp2MissVisits</t>
  </si>
  <si>
    <t>calcLOB1Clinician3Emp2MissVisits</t>
  </si>
  <si>
    <t>calcLOB1Clinician4Emp2MissVisits</t>
  </si>
  <si>
    <t>calcLOB1Clinician5Emp2MissVisits</t>
  </si>
  <si>
    <t>calcLOB1Clinician6Emp2MissVisits</t>
  </si>
  <si>
    <t>calcLOB1Clinician7Emp2MissVisits</t>
  </si>
  <si>
    <t>calcLOB1Clinician8Emp2MissVisits</t>
  </si>
  <si>
    <t>calcLOB1Clinician9Emp2MissVisits</t>
  </si>
  <si>
    <t>calcLOB1Clinician10Emp2MissVisits</t>
  </si>
  <si>
    <t>calcLOB1Clinician11Emp2MissVisits</t>
  </si>
  <si>
    <t>calcLOB1Clinician12Emp2MissVisits</t>
  </si>
  <si>
    <t>calcLOB1Clinician1Emp2NetProd</t>
  </si>
  <si>
    <t>calcLOB1Clinician2Emp2NetProd</t>
  </si>
  <si>
    <t>calcLOB1Clinician3Emp2NetProd</t>
  </si>
  <si>
    <t>calcLOB1Clinician4Emp2NetProd</t>
  </si>
  <si>
    <t>calcLOB1Clinician5Emp2NetProd</t>
  </si>
  <si>
    <t>calcLOB1Clinician6Emp2NetProd</t>
  </si>
  <si>
    <t>calcLOB1Clinician7Emp2NetProd</t>
  </si>
  <si>
    <t>calcLOB1Clinician8Emp2NetProd</t>
  </si>
  <si>
    <t>calcLOB1Clinician9Emp2NetProd</t>
  </si>
  <si>
    <t>calcLOB1Clinician10Emp2NetProd</t>
  </si>
  <si>
    <t>calcLOB1Clinician11Emp2NetProd</t>
  </si>
  <si>
    <t>calcLOB1Clinician12Emp2NetProd</t>
  </si>
  <si>
    <t>calcLOB1Clinician1Emp2OverTIme</t>
  </si>
  <si>
    <t>calcLOB1Clinician2Emp2OverTIme</t>
  </si>
  <si>
    <t>calcLOB1Clinician3Emp2OverTIme</t>
  </si>
  <si>
    <t>calcLOB1Clinician4Emp2OverTIme</t>
  </si>
  <si>
    <t>calcLOB1Clinician5Emp2OverTIme</t>
  </si>
  <si>
    <t>calcLOB1Clinician6Emp2OverTIme</t>
  </si>
  <si>
    <t>calcLOB1Clinician7Emp2OverTIme</t>
  </si>
  <si>
    <t>calcLOB1Clinician8Emp2OverTIme</t>
  </si>
  <si>
    <t>calcLOB1Clinician9Emp2OverTIme</t>
  </si>
  <si>
    <t>calcLOB1Clinician10Emp2OverTIme</t>
  </si>
  <si>
    <t>calcLOB1Clinician11Emp2OverTIme</t>
  </si>
  <si>
    <t>calcLOB1Clinician12Emp2OverTIme</t>
  </si>
  <si>
    <t>calcLOB1Clinician1Emp3BaseProd</t>
  </si>
  <si>
    <t>calcLOB1Clinician2Emp3BaseProd</t>
  </si>
  <si>
    <t>calcLOB1Clinician3Emp3BaseProd</t>
  </si>
  <si>
    <t>calcLOB1Clinician4Emp3BaseProd</t>
  </si>
  <si>
    <t>calcLOB1Clinician5Emp3BaseProd</t>
  </si>
  <si>
    <t>calcLOB1Clinician6Emp3BaseProd</t>
  </si>
  <si>
    <t>calcLOB1Clinician7Emp3BaseProd</t>
  </si>
  <si>
    <t>calcLOB1Clinician8Emp3BaseProd</t>
  </si>
  <si>
    <t>calcLOB1Clinician9Emp3BaseProd</t>
  </si>
  <si>
    <t>calcLOB1Clinician10Emp3BaseProd</t>
  </si>
  <si>
    <t>calcLOB1Clinician11Emp3BaseProd</t>
  </si>
  <si>
    <t>calcLOB1Clinician12Emp3BaseProd</t>
  </si>
  <si>
    <t>calcLOB1Emp3BaseProdCapacity</t>
  </si>
  <si>
    <t>calcLOB1Clinician1Emp3AllowPerc</t>
  </si>
  <si>
    <t>calcLOB1Clinician2Emp3AllowPerc</t>
  </si>
  <si>
    <t>calcLOB1Clinician3Emp3AllowPerc</t>
  </si>
  <si>
    <t>calcLOB1Clinician4Emp3AllowPerc</t>
  </si>
  <si>
    <t>calcLOB1Clinician5Emp3AllowPerc</t>
  </si>
  <si>
    <t>calcLOB1Clinician6Emp3AllowPerc</t>
  </si>
  <si>
    <t>calcLOB1Clinician7Emp3AllowPerc</t>
  </si>
  <si>
    <t>calcLOB1Clinician8Emp3AllowPerc</t>
  </si>
  <si>
    <t>calcLOB1Clinician9Emp3AllowPerc</t>
  </si>
  <si>
    <t>calcLOB1Clinician10Emp3AllowPerc</t>
  </si>
  <si>
    <t>calcLOB1Clinician11Emp3AllowPerc</t>
  </si>
  <si>
    <t>calcLOB1Clinician12Emp3AllowPerc</t>
  </si>
  <si>
    <t>calcLOB1Clinician1Emp3GrossProd</t>
  </si>
  <si>
    <t>calcLOB1Clinician2Emp3GrossProd</t>
  </si>
  <si>
    <t>calcLOB1Clinician3Emp3GrossProd</t>
  </si>
  <si>
    <t>calcLOB1Clinician4Emp3GrossProd</t>
  </si>
  <si>
    <t>calcLOB1Clinician5Emp3GrossProd</t>
  </si>
  <si>
    <t>calcLOB1Clinician6Emp3GrossProd</t>
  </si>
  <si>
    <t>calcLOB1Clinician7Emp3GrossProd</t>
  </si>
  <si>
    <t>calcLOB1Clinician8Emp3GrossProd</t>
  </si>
  <si>
    <t>calcLOB1Clinician9Emp3GrossProd</t>
  </si>
  <si>
    <t>calcLOB1Clinician10Emp3GrossProd</t>
  </si>
  <si>
    <t>calcLOB1Clinician11Emp3GrossProd</t>
  </si>
  <si>
    <t>calcLOB1Clinician12Emp3GrossProd</t>
  </si>
  <si>
    <t>calcLOB1Clinician1Emp3MissVisits</t>
  </si>
  <si>
    <t>calcLOB1Clinician2Emp3MissVisits</t>
  </si>
  <si>
    <t>calcLOB1Clinician3Emp3MissVisits</t>
  </si>
  <si>
    <t>calcLOB1Clinician4Emp3MissVisits</t>
  </si>
  <si>
    <t>calcLOB1Clinician5Emp3MissVisits</t>
  </si>
  <si>
    <t>calcLOB1Clinician6Emp3MissVisits</t>
  </si>
  <si>
    <t>calcLOB1Clinician7Emp3MissVisits</t>
  </si>
  <si>
    <t>calcLOB1Clinician8Emp3MissVisits</t>
  </si>
  <si>
    <t>calcLOB1Clinician9Emp3MissVisits</t>
  </si>
  <si>
    <t>calcLOB1Clinician10Emp3MissVisits</t>
  </si>
  <si>
    <t>calcLOB1Clinician11Emp3MissVisits</t>
  </si>
  <si>
    <t>calcLOB1Clinician12Emp3MissVisits</t>
  </si>
  <si>
    <t>calcLOB1Clinician1Emp3NetProd</t>
  </si>
  <si>
    <t>calcLOB1Clinician2Emp3NetProd</t>
  </si>
  <si>
    <t>calcLOB1Clinician3Emp3NetProd</t>
  </si>
  <si>
    <t>calcLOB1Clinician4Emp3NetProd</t>
  </si>
  <si>
    <t>calcLOB1Clinician5Emp3NetProd</t>
  </si>
  <si>
    <t>calcLOB1Clinician6Emp3NetProd</t>
  </si>
  <si>
    <t>calcLOB1Clinician7Emp3NetProd</t>
  </si>
  <si>
    <t>calcLOB1Clinician8Emp3NetProd</t>
  </si>
  <si>
    <t>calcLOB1Clinician9Emp3NetProd</t>
  </si>
  <si>
    <t>calcLOB1Clinician10Emp3NetProd</t>
  </si>
  <si>
    <t>calcLOB1Clinician11Emp3NetProd</t>
  </si>
  <si>
    <t>calcLOB1Clinician12Emp3NetProd</t>
  </si>
  <si>
    <t>calcLOB1Clinician1Emp3OverTIme</t>
  </si>
  <si>
    <t>calcLOB1Clinician2Emp3OverTIme</t>
  </si>
  <si>
    <t>calcLOB1Clinician3Emp3OverTIme</t>
  </si>
  <si>
    <t>calcLOB1Clinician4Emp3OverTIme</t>
  </si>
  <si>
    <t>calcLOB1Clinician5Emp3OverTIme</t>
  </si>
  <si>
    <t>calcLOB1Clinician6Emp3OverTIme</t>
  </si>
  <si>
    <t>calcLOB1Clinician7Emp3OverTIme</t>
  </si>
  <si>
    <t>calcLOB1Clinician8Emp3OverTIme</t>
  </si>
  <si>
    <t>calcLOB1Clinician9Emp3OverTIme</t>
  </si>
  <si>
    <t>calcLOB1Clinician10Emp3OverTIme</t>
  </si>
  <si>
    <t>calcLOB1Clinician11Emp3OverTIme</t>
  </si>
  <si>
    <t>calcLOB1Clinician12Emp3OverTIme</t>
  </si>
  <si>
    <t>calcLOB1Clinician1BaseProd</t>
  </si>
  <si>
    <t>calcLOB1Clinician2BaseProd</t>
  </si>
  <si>
    <t>calcLOB1Clinician3BaseProd</t>
  </si>
  <si>
    <t>calcLOB1Clinician4BaseProd</t>
  </si>
  <si>
    <t>calcLOB1Clinician5BaseProd</t>
  </si>
  <si>
    <t>calcLOB1Clinician6BaseProd</t>
  </si>
  <si>
    <t>calcLOB1Clinician7BaseProd</t>
  </si>
  <si>
    <t>calcLOB1Clinician8BaseProd</t>
  </si>
  <si>
    <t>calcLOB1Clinician9BaseProd</t>
  </si>
  <si>
    <t>calcLOB1Clinician10BaseProd</t>
  </si>
  <si>
    <t>calcLOB1Clinician11BaseProd</t>
  </si>
  <si>
    <t>calcLOB1Clinician12BaseProd</t>
  </si>
  <si>
    <t>calcLOB1Clinician1GrossProd</t>
  </si>
  <si>
    <t>calcLOB1Clinician2GrossProd</t>
  </si>
  <si>
    <t>calcLOB1Clinician3GrossProd</t>
  </si>
  <si>
    <t>calcLOB1Clinician4GrossProd</t>
  </si>
  <si>
    <t>calcLOB1Clinician5GrossProd</t>
  </si>
  <si>
    <t>calcLOB1Clinician6GrossProd</t>
  </si>
  <si>
    <t>calcLOB1Clinician7GrossProd</t>
  </si>
  <si>
    <t>calcLOB1Clinician8GrossProd</t>
  </si>
  <si>
    <t>calcLOB1Clinician9GrossProd</t>
  </si>
  <si>
    <t>calcLOB1Clinician10GrossProd</t>
  </si>
  <si>
    <t>calcLOB1Clinician11GrossProd</t>
  </si>
  <si>
    <t>calcLOB1Clinician12GrossProd</t>
  </si>
  <si>
    <t>calcLOB1Clinician1MissVisits</t>
  </si>
  <si>
    <t>calcLOB1Clinician2MissVisits</t>
  </si>
  <si>
    <t>calcLOB1Clinician3MissVisits</t>
  </si>
  <si>
    <t>calcLOB1Clinician4MissVisits</t>
  </si>
  <si>
    <t>calcLOB1Clinician5MissVisits</t>
  </si>
  <si>
    <t>calcLOB1Clinician6MissVisits</t>
  </si>
  <si>
    <t>calcLOB1Clinician7MissVisits</t>
  </si>
  <si>
    <t>calcLOB1Clinician8MissVisits</t>
  </si>
  <si>
    <t>calcLOB1Clinician9MissVisits</t>
  </si>
  <si>
    <t>calcLOB1Clinician10MissVisits</t>
  </si>
  <si>
    <t>calcLOB1Clinician11MissVisits</t>
  </si>
  <si>
    <t>calcLOB1Clinician12MissVisits</t>
  </si>
  <si>
    <t>Average Weekly Overtime</t>
  </si>
  <si>
    <t>calcLOB1Clinician1OverTime</t>
  </si>
  <si>
    <t>calcLOB1Clinician2OverTime</t>
  </si>
  <si>
    <t>calcLOB1Clinician3OverTime</t>
  </si>
  <si>
    <t>calcLOB1Clinician4OverTime</t>
  </si>
  <si>
    <t>calcLOB1Clinician5OverTime</t>
  </si>
  <si>
    <t>calcLOB1Clinician6OverTime</t>
  </si>
  <si>
    <t>calcLOB1Clinician7OverTime</t>
  </si>
  <si>
    <t>calcLOB1Clinician8OverTime</t>
  </si>
  <si>
    <t>calcLOB1Clinician9OverTime</t>
  </si>
  <si>
    <t>calcLOB1Clinician10OverTime</t>
  </si>
  <si>
    <t>calcLOB1Clinician11OverTime</t>
  </si>
  <si>
    <t>calcLOB1Clinician12OverTime</t>
  </si>
  <si>
    <t>xxLOB1BaseVolume</t>
  </si>
  <si>
    <t>xxLOB2BaseVolume</t>
  </si>
  <si>
    <t>dataMMLOB1UnitsNew</t>
  </si>
  <si>
    <t>dataMMLOB2UnitsNew</t>
  </si>
  <si>
    <t>obalLOB1MarketShare</t>
  </si>
  <si>
    <t>cbalLOB1MarketShare</t>
  </si>
  <si>
    <t>tblMMLOB1Drivers</t>
  </si>
  <si>
    <t>tblMMLOB2Drivers</t>
  </si>
  <si>
    <t>calcLOB1Prod1Seg1RunRate</t>
  </si>
  <si>
    <t>calcLOB1Prod1Seg2RunRate</t>
  </si>
  <si>
    <t>calcLOB1Prod1Seg3RunRate</t>
  </si>
  <si>
    <t>calcLOB1Prod2Seg1RunRate</t>
  </si>
  <si>
    <t>calcLOB1Prod2Seg2RunRate</t>
  </si>
  <si>
    <t>calcLOB1Prod2Seg3RunRate</t>
  </si>
  <si>
    <t>calcLOB1RunRate</t>
  </si>
  <si>
    <t>Months</t>
  </si>
  <si>
    <t>Avg Weekly Miles</t>
  </si>
  <si>
    <t>Avg Weekly Admin</t>
  </si>
  <si>
    <t>Staff Name</t>
  </si>
  <si>
    <t>obalLOB1NameClinician1</t>
  </si>
  <si>
    <t>obalLOB1NameClinician2</t>
  </si>
  <si>
    <t>obalLOB1NameClinician3</t>
  </si>
  <si>
    <t>obalLOB1NameClinician4</t>
  </si>
  <si>
    <t>obalLOB1NameClinician5</t>
  </si>
  <si>
    <t>obalLOB1NameClinician6</t>
  </si>
  <si>
    <t>obalLOB1NameClinician7</t>
  </si>
  <si>
    <t>obalLOB1NameClinician8</t>
  </si>
  <si>
    <t>obalLOB1NameClinician9</t>
  </si>
  <si>
    <t>obalLOB1NameClinician10</t>
  </si>
  <si>
    <t>obalLOB1NameClinician11</t>
  </si>
  <si>
    <t>obalLOB1NameClinician12</t>
  </si>
  <si>
    <t>cbalLOB1NameClinician1</t>
  </si>
  <si>
    <t>cbalLOB1NameClinician2</t>
  </si>
  <si>
    <t>cbalLOB1NameClinician3</t>
  </si>
  <si>
    <t>cbalLOB1NameClinician4</t>
  </si>
  <si>
    <t>cbalLOB1NameClinician5</t>
  </si>
  <si>
    <t>cbalLOB1NameClinician6</t>
  </si>
  <si>
    <t>cbalLOB1NameClinician7</t>
  </si>
  <si>
    <t>cbalLOB1NameClinician8</t>
  </si>
  <si>
    <t>cbalLOB1NameClinician9</t>
  </si>
  <si>
    <t>cbalLOB1NameClinician10</t>
  </si>
  <si>
    <t>cbalLOB1NameClinician11</t>
  </si>
  <si>
    <t>cbalLOB1NameClinician12</t>
  </si>
  <si>
    <t>Staff Avg Weekly Mileage</t>
  </si>
  <si>
    <t>obalLOB1MileageClinician1</t>
  </si>
  <si>
    <t>obalLOB1MileageClinician2</t>
  </si>
  <si>
    <t>obalLOB1MileageClinician3</t>
  </si>
  <si>
    <t>obalLOB1MileageClinician4</t>
  </si>
  <si>
    <t>obalLOB1MileageClinician5</t>
  </si>
  <si>
    <t>obalLOB1MileageClinician6</t>
  </si>
  <si>
    <t>obalLOB1MileageClinician7</t>
  </si>
  <si>
    <t>obalLOB1MileageClinician8</t>
  </si>
  <si>
    <t>obalLOB1MileageClinician9</t>
  </si>
  <si>
    <t>obalLOB1MileageClinician10</t>
  </si>
  <si>
    <t>obalLOB1MileageClinician11</t>
  </si>
  <si>
    <t>obalLOB1MileageClinician12</t>
  </si>
  <si>
    <t>cbalLOB1MileageClinician1</t>
  </si>
  <si>
    <t>cbalLOB1MileageClinician2</t>
  </si>
  <si>
    <t>cbalLOB1MileageClinician3</t>
  </si>
  <si>
    <t>cbalLOB1MileageClinician4</t>
  </si>
  <si>
    <t>cbalLOB1MileageClinician5</t>
  </si>
  <si>
    <t>cbalLOB1MileageClinician6</t>
  </si>
  <si>
    <t>cbalLOB1MileageClinician7</t>
  </si>
  <si>
    <t>cbalLOB1MileageClinician8</t>
  </si>
  <si>
    <t>cbalLOB1MileageClinician9</t>
  </si>
  <si>
    <t>cbalLOB1MileageClinician10</t>
  </si>
  <si>
    <t>cbalLOB1MileageClinician11</t>
  </si>
  <si>
    <t>cbalLOB1MileageClinician12</t>
  </si>
  <si>
    <t>Staff Avg Weekly Admin Time</t>
  </si>
  <si>
    <t>obalLOB1AdminTimeClinician1</t>
  </si>
  <si>
    <t>obalLOB1AdminTimeClinician2</t>
  </si>
  <si>
    <t>obalLOB1AdminTimeClinician3</t>
  </si>
  <si>
    <t>obalLOB1AdminTimeClinician4</t>
  </si>
  <si>
    <t>obalLOB1AdminTimeClinician5</t>
  </si>
  <si>
    <t>obalLOB1AdminTimeClinician6</t>
  </si>
  <si>
    <t>obalLOB1AdminTimeClinician7</t>
  </si>
  <si>
    <t>obalLOB1AdminTimeClinician8</t>
  </si>
  <si>
    <t>obalLOB1AdminTimeClinician9</t>
  </si>
  <si>
    <t>obalLOB1AdminTimeClinician10</t>
  </si>
  <si>
    <t>obalLOB1AdminTimeClinician11</t>
  </si>
  <si>
    <t>obalLOB1AdminTimeClinician12</t>
  </si>
  <si>
    <t>cbalLOB1AdminTimeClinician1</t>
  </si>
  <si>
    <t>cbalLOB1AdminTimeClinician2</t>
  </si>
  <si>
    <t>cbalLOB1AdminTimeClinician3</t>
  </si>
  <si>
    <t>cbalLOB1AdminTimeClinician4</t>
  </si>
  <si>
    <t>cbalLOB1AdminTimeClinician5</t>
  </si>
  <si>
    <t>cbalLOB1AdminTimeClinician6</t>
  </si>
  <si>
    <t>cbalLOB1AdminTimeClinician7</t>
  </si>
  <si>
    <t>cbalLOB1AdminTimeClinician8</t>
  </si>
  <si>
    <t>cbalLOB1AdminTimeClinician9</t>
  </si>
  <si>
    <t>cbalLOB1AdminTimeClinician10</t>
  </si>
  <si>
    <t>cbalLOB1AdminTimeClinician11</t>
  </si>
  <si>
    <t>cbalLOB1AdminTimeClinician12</t>
  </si>
  <si>
    <t>obalLOB2Seg1Perc</t>
  </si>
  <si>
    <t>obalLOB2Seg2Perc</t>
  </si>
  <si>
    <t>obalLOB2Seg3Perc</t>
  </si>
  <si>
    <t>obalLOB2Emp1VisitPEp</t>
  </si>
  <si>
    <t>obalLOB2Emp2VisitPEp</t>
  </si>
  <si>
    <t>obalLOB2Emp3VisitPEp</t>
  </si>
  <si>
    <t>obalLOB2Prod2Seg1Perc</t>
  </si>
  <si>
    <t>obalLOB2Prod2Seg2Perc</t>
  </si>
  <si>
    <t>obalLOB2Prod2Seg3Perc</t>
  </si>
  <si>
    <t>obalLOB2MarketShare</t>
  </si>
  <si>
    <t>obalLOB2DiscClinician1</t>
  </si>
  <si>
    <t>obalLOB2DiscClinician2</t>
  </si>
  <si>
    <t>obalLOB2DiscClinician3</t>
  </si>
  <si>
    <t>obalLOB2DiscClinician4</t>
  </si>
  <si>
    <t>obalLOB2DiscClinician5</t>
  </si>
  <si>
    <t>obalLOB2DiscClinician6</t>
  </si>
  <si>
    <t>obalLOB2DiscClinician7</t>
  </si>
  <si>
    <t>obalLOB2DiscClinician8</t>
  </si>
  <si>
    <t>obalLOB2DiscClinician9</t>
  </si>
  <si>
    <t>obalLOB2DiscClinician10</t>
  </si>
  <si>
    <t>obalLOB2DiscClinician11</t>
  </si>
  <si>
    <t>obalLOB2DiscClinician12</t>
  </si>
  <si>
    <t>obalLOB2EmpStatClinician1</t>
  </si>
  <si>
    <t>obalLOB2EmpStatClinician2</t>
  </si>
  <si>
    <t>obalLOB2EmpStatClinician3</t>
  </si>
  <si>
    <t>obalLOB2EmpStatClinician4</t>
  </si>
  <si>
    <t>obalLOB2EmpStatClinician5</t>
  </si>
  <si>
    <t>obalLOB2EmpStatClinician6</t>
  </si>
  <si>
    <t>obalLOB2EmpStatClinician7</t>
  </si>
  <si>
    <t>obalLOB2EmpStatClinician8</t>
  </si>
  <si>
    <t>obalLOB2EmpStatClinician9</t>
  </si>
  <si>
    <t>obalLOB2EmpStatClinician10</t>
  </si>
  <si>
    <t>obalLOB2EmpStatClinician11</t>
  </si>
  <si>
    <t>obalLOB2EmpStatClinician12</t>
  </si>
  <si>
    <t>obalLOB2NameClinician1</t>
  </si>
  <si>
    <t>obalLOB2NameClinician2</t>
  </si>
  <si>
    <t>obalLOB2NameClinician3</t>
  </si>
  <si>
    <t>obalLOB2NameClinician4</t>
  </si>
  <si>
    <t>obalLOB2NameClinician5</t>
  </si>
  <si>
    <t>obalLOB2NameClinician6</t>
  </si>
  <si>
    <t>obalLOB2NameClinician7</t>
  </si>
  <si>
    <t>obalLOB2NameClinician8</t>
  </si>
  <si>
    <t>obalLOB2NameClinician9</t>
  </si>
  <si>
    <t>obalLOB2NameClinician10</t>
  </si>
  <si>
    <t>obalLOB2NameClinician11</t>
  </si>
  <si>
    <t>obalLOB2NameClinician12</t>
  </si>
  <si>
    <t>obalLOB2AvgProdClinician1</t>
  </si>
  <si>
    <t>obalLOB2AvgProdClinician2</t>
  </si>
  <si>
    <t>obalLOB2AvgProdClinician3</t>
  </si>
  <si>
    <t>obalLOB2AvgProdClinician4</t>
  </si>
  <si>
    <t>obalLOB2AvgProdClinician5</t>
  </si>
  <si>
    <t>obalLOB2AvgProdClinician6</t>
  </si>
  <si>
    <t>obalLOB2AvgProdClinician7</t>
  </si>
  <si>
    <t>obalLOB2AvgProdClinician8</t>
  </si>
  <si>
    <t>obalLOB2AvgProdClinician9</t>
  </si>
  <si>
    <t>obalLOB2AvgProdClinician10</t>
  </si>
  <si>
    <t>obalLOB2AvgProdClinician11</t>
  </si>
  <si>
    <t>obalLOB2AvgProdClinician12</t>
  </si>
  <si>
    <t>obalLOB2MileageClinician1</t>
  </si>
  <si>
    <t>obalLOB2MileageClinician2</t>
  </si>
  <si>
    <t>obalLOB2MileageClinician3</t>
  </si>
  <si>
    <t>obalLOB2MileageClinician4</t>
  </si>
  <si>
    <t>obalLOB2MileageClinician5</t>
  </si>
  <si>
    <t>obalLOB2MileageClinician6</t>
  </si>
  <si>
    <t>obalLOB2MileageClinician7</t>
  </si>
  <si>
    <t>obalLOB2MileageClinician8</t>
  </si>
  <si>
    <t>obalLOB2MileageClinician9</t>
  </si>
  <si>
    <t>obalLOB2MileageClinician10</t>
  </si>
  <si>
    <t>obalLOB2MileageClinician11</t>
  </si>
  <si>
    <t>obalLOB2MileageClinician12</t>
  </si>
  <si>
    <t>obalLOB2AvgMissPercClinician1</t>
  </si>
  <si>
    <t>obalLOB2AvgMissPercClinician2</t>
  </si>
  <si>
    <t>obalLOB2AvgMissPercClinician3</t>
  </si>
  <si>
    <t>obalLOB2AvgMissPercClinician4</t>
  </si>
  <si>
    <t>obalLOB2AvgMissPercClinician5</t>
  </si>
  <si>
    <t>obalLOB2AvgMissPercClinician6</t>
  </si>
  <si>
    <t>obalLOB2AvgMissPercClinician7</t>
  </si>
  <si>
    <t>obalLOB2AvgMissPercClinician8</t>
  </si>
  <si>
    <t>obalLOB2AvgMissPercClinician9</t>
  </si>
  <si>
    <t>obalLOB2AvgMissPercClinician10</t>
  </si>
  <si>
    <t>obalLOB2AvgMissPercClinician11</t>
  </si>
  <si>
    <t>obalLOB2AvgMissPercClinician12</t>
  </si>
  <si>
    <t>obalLOB2AdminTimeClinician1</t>
  </si>
  <si>
    <t>obalLOB2AdminTimeClinician2</t>
  </si>
  <si>
    <t>obalLOB2AdminTimeClinician3</t>
  </si>
  <si>
    <t>obalLOB2AdminTimeClinician4</t>
  </si>
  <si>
    <t>obalLOB2AdminTimeClinician5</t>
  </si>
  <si>
    <t>obalLOB2AdminTimeClinician6</t>
  </si>
  <si>
    <t>obalLOB2AdminTimeClinician7</t>
  </si>
  <si>
    <t>obalLOB2AdminTimeClinician8</t>
  </si>
  <si>
    <t>obalLOB2AdminTimeClinician9</t>
  </si>
  <si>
    <t>obalLOB2AdminTimeClinician10</t>
  </si>
  <si>
    <t>obalLOB2AdminTimeClinician11</t>
  </si>
  <si>
    <t>obalLOB2AdminTimeClinician12</t>
  </si>
  <si>
    <t>cbalLOB2Seg1Perc</t>
  </si>
  <si>
    <t>cbalLOB2Seg2Perc</t>
  </si>
  <si>
    <t>cbalLOB2Seg3Perc</t>
  </si>
  <si>
    <t>cbalLOB2Emp1VisitPEp</t>
  </si>
  <si>
    <t>cbalLOB2Emp2VisitPEp</t>
  </si>
  <si>
    <t>cbalLOB2Emp3VisitPEp</t>
  </si>
  <si>
    <t>cbalLOB2Prod2Seg1Perc</t>
  </si>
  <si>
    <t>cbalLOB2Prod2Seg2Perc</t>
  </si>
  <si>
    <t>cbalLOB2Prod2Seg3Perc</t>
  </si>
  <si>
    <t>cbalLOB2MarketShare</t>
  </si>
  <si>
    <t>cbalLOB2DiscClinician1</t>
  </si>
  <si>
    <t>cbalLOB2DiscClinician2</t>
  </si>
  <si>
    <t>cbalLOB2DiscClinician3</t>
  </si>
  <si>
    <t>cbalLOB2DiscClinician4</t>
  </si>
  <si>
    <t>cbalLOB2DiscClinician5</t>
  </si>
  <si>
    <t>cbalLOB2DiscClinician6</t>
  </si>
  <si>
    <t>cbalLOB2DiscClinician7</t>
  </si>
  <si>
    <t>cbalLOB2DiscClinician8</t>
  </si>
  <si>
    <t>cbalLOB2DiscClinician9</t>
  </si>
  <si>
    <t>cbalLOB2DiscClinician10</t>
  </si>
  <si>
    <t>cbalLOB2DiscClinician11</t>
  </si>
  <si>
    <t>cbalLOB2DiscClinician12</t>
  </si>
  <si>
    <t>cbalLOB2EmpStatClinician1</t>
  </si>
  <si>
    <t>cbalLOB2EmpStatClinician2</t>
  </si>
  <si>
    <t>cbalLOB2EmpStatClinician3</t>
  </si>
  <si>
    <t>cbalLOB2EmpStatClinician4</t>
  </si>
  <si>
    <t>cbalLOB2EmpStatClinician5</t>
  </si>
  <si>
    <t>cbalLOB2EmpStatClinician6</t>
  </si>
  <si>
    <t>cbalLOB2EmpStatClinician7</t>
  </si>
  <si>
    <t>cbalLOB2EmpStatClinician8</t>
  </si>
  <si>
    <t>cbalLOB2EmpStatClinician9</t>
  </si>
  <si>
    <t>cbalLOB2EmpStatClinician10</t>
  </si>
  <si>
    <t>cbalLOB2EmpStatClinician11</t>
  </si>
  <si>
    <t>cbalLOB2EmpStatClinician12</t>
  </si>
  <si>
    <t>cbalLOB2NameClinician1</t>
  </si>
  <si>
    <t>cbalLOB2NameClinician2</t>
  </si>
  <si>
    <t>cbalLOB2NameClinician3</t>
  </si>
  <si>
    <t>cbalLOB2NameClinician4</t>
  </si>
  <si>
    <t>cbalLOB2NameClinician5</t>
  </si>
  <si>
    <t>cbalLOB2NameClinician6</t>
  </si>
  <si>
    <t>cbalLOB2NameClinician7</t>
  </si>
  <si>
    <t>cbalLOB2NameClinician8</t>
  </si>
  <si>
    <t>cbalLOB2NameClinician9</t>
  </si>
  <si>
    <t>cbalLOB2NameClinician10</t>
  </si>
  <si>
    <t>cbalLOB2NameClinician11</t>
  </si>
  <si>
    <t>cbalLOB2NameClinician12</t>
  </si>
  <si>
    <t>cbalLOB2AvgProdClinician1</t>
  </si>
  <si>
    <t>cbalLOB2AvgProdClinician2</t>
  </si>
  <si>
    <t>cbalLOB2AvgProdClinician3</t>
  </si>
  <si>
    <t>cbalLOB2AvgProdClinician4</t>
  </si>
  <si>
    <t>cbalLOB2AvgProdClinician5</t>
  </si>
  <si>
    <t>cbalLOB2AvgProdClinician6</t>
  </si>
  <si>
    <t>cbalLOB2AvgProdClinician7</t>
  </si>
  <si>
    <t>cbalLOB2AvgProdClinician8</t>
  </si>
  <si>
    <t>cbalLOB2AvgProdClinician9</t>
  </si>
  <si>
    <t>cbalLOB2AvgProdClinician10</t>
  </si>
  <si>
    <t>cbalLOB2AvgProdClinician11</t>
  </si>
  <si>
    <t>cbalLOB2AvgProdClinician12</t>
  </si>
  <si>
    <t>cbalLOB2MileageClinician1</t>
  </si>
  <si>
    <t>cbalLOB2MileageClinician2</t>
  </si>
  <si>
    <t>cbalLOB2MileageClinician3</t>
  </si>
  <si>
    <t>cbalLOB2MileageClinician4</t>
  </si>
  <si>
    <t>cbalLOB2MileageClinician5</t>
  </si>
  <si>
    <t>cbalLOB2MileageClinician6</t>
  </si>
  <si>
    <t>cbalLOB2MileageClinician7</t>
  </si>
  <si>
    <t>cbalLOB2MileageClinician8</t>
  </si>
  <si>
    <t>cbalLOB2MileageClinician9</t>
  </si>
  <si>
    <t>cbalLOB2MileageClinician10</t>
  </si>
  <si>
    <t>cbalLOB2MileageClinician11</t>
  </si>
  <si>
    <t>cbalLOB2MileageClinician12</t>
  </si>
  <si>
    <t>cbalLOB2AvgMissPercClinician1</t>
  </si>
  <si>
    <t>cbalLOB2AvgMissPercClinician2</t>
  </si>
  <si>
    <t>cbalLOB2AvgMissPercClinician3</t>
  </si>
  <si>
    <t>cbalLOB2AvgMissPercClinician4</t>
  </si>
  <si>
    <t>cbalLOB2AvgMissPercClinician5</t>
  </si>
  <si>
    <t>cbalLOB2AvgMissPercClinician6</t>
  </si>
  <si>
    <t>cbalLOB2AvgMissPercClinician7</t>
  </si>
  <si>
    <t>cbalLOB2AvgMissPercClinician8</t>
  </si>
  <si>
    <t>cbalLOB2AvgMissPercClinician9</t>
  </si>
  <si>
    <t>cbalLOB2AvgMissPercClinician10</t>
  </si>
  <si>
    <t>cbalLOB2AvgMissPercClinician11</t>
  </si>
  <si>
    <t>cbalLOB2AvgMissPercClinician12</t>
  </si>
  <si>
    <t>cbalLOB2AdminTimeClinician1</t>
  </si>
  <si>
    <t>cbalLOB2AdminTimeClinician2</t>
  </si>
  <si>
    <t>cbalLOB2AdminTimeClinician3</t>
  </si>
  <si>
    <t>cbalLOB2AdminTimeClinician4</t>
  </si>
  <si>
    <t>cbalLOB2AdminTimeClinician5</t>
  </si>
  <si>
    <t>cbalLOB2AdminTimeClinician6</t>
  </si>
  <si>
    <t>cbalLOB2AdminTimeClinician7</t>
  </si>
  <si>
    <t>cbalLOB2AdminTimeClinician8</t>
  </si>
  <si>
    <t>cbalLOB2AdminTimeClinician9</t>
  </si>
  <si>
    <t>cbalLOB2AdminTimeClinician10</t>
  </si>
  <si>
    <t>cbalLOB2AdminTimeClinician11</t>
  </si>
  <si>
    <t>cbalLOB2AdminTimeClinician12</t>
  </si>
  <si>
    <t>Run Rate</t>
  </si>
  <si>
    <t>calcLOB2Prod1Seg1RunRate</t>
  </si>
  <si>
    <t>calcLOB2Prod1Seg2RunRate</t>
  </si>
  <si>
    <t>calcLOB2Prod1Seg3RunRate</t>
  </si>
  <si>
    <t>calcLOB2Prod2Seg1RunRate</t>
  </si>
  <si>
    <t>calcLOB2Prod2Seg2RunRate</t>
  </si>
  <si>
    <t>calcLOB2Prod2Seg3RunRate</t>
  </si>
  <si>
    <t>calcLOB2RunRate</t>
  </si>
  <si>
    <t>calcLOB2Prod1Seg1Patients</t>
  </si>
  <si>
    <t>calcLOB2Prod1Seg2Patients</t>
  </si>
  <si>
    <t>calcLOB2Prod1Seg3Patients</t>
  </si>
  <si>
    <t>calcLOB2Prod2Seg1Patients</t>
  </si>
  <si>
    <t>calcLOB2Prod2Seg2Patients</t>
  </si>
  <si>
    <t>calcLOB2Prod2Seg3Patients</t>
  </si>
  <si>
    <t>calcLOB2Patients</t>
  </si>
  <si>
    <t>calcLOB2Prod1Seg1Emp1Visits</t>
  </si>
  <si>
    <t>calcLOB2Prod1Seg2Emp1Visits</t>
  </si>
  <si>
    <t>calcLOB2Prod1Seg3Emp1Visits</t>
  </si>
  <si>
    <t>calcLOB2Prod2Seg1Emp1Visits</t>
  </si>
  <si>
    <t>calcLOB2Prod2Seg2Emp1Visits</t>
  </si>
  <si>
    <t>calcLOB2Prod2Seg3Emp1Visits</t>
  </si>
  <si>
    <t>calcLOB2Emp1Visits</t>
  </si>
  <si>
    <t>calcLOB2Prod1Seg1Emp2Visits</t>
  </si>
  <si>
    <t>calcLOB2Prod1Seg2Emp2Visits</t>
  </si>
  <si>
    <t>calcLOB2Prod1Seg3Emp2Visits</t>
  </si>
  <si>
    <t>calcLOB2Prod2Seg1Emp2Visits</t>
  </si>
  <si>
    <t>calcLOB2Prod2Seg2Emp2Visits</t>
  </si>
  <si>
    <t>calcLOB2Prod2Seg3Emp2Visits</t>
  </si>
  <si>
    <t>calcLOB2Emp2Visits</t>
  </si>
  <si>
    <t>calcLOB2Prod1Seg1Emp3Visits</t>
  </si>
  <si>
    <t>calcLOB2Prod1Seg2Emp3Visits</t>
  </si>
  <si>
    <t>calcLOB2Prod1Seg3Emp3Visits</t>
  </si>
  <si>
    <t>calcLOB2Prod2Seg1Emp3Visits</t>
  </si>
  <si>
    <t>calcLOB2Prod2Seg2Emp3Visits</t>
  </si>
  <si>
    <t>calcLOB2Prod2Seg3Emp3Visits</t>
  </si>
  <si>
    <t>calcLOB2Emp3Visits</t>
  </si>
  <si>
    <t>calcLOB2Emp1Capacity</t>
  </si>
  <si>
    <t>calcLOB2Emp2Capacity</t>
  </si>
  <si>
    <t>calcLOB2Emp3Capacity</t>
  </si>
  <si>
    <t>calcLOB2Clinician1Disc1Emp1BaseProd</t>
  </si>
  <si>
    <t>calcLOB2Clinician2Disc1Emp1BaseProd</t>
  </si>
  <si>
    <t>calcLOB2Clinician3Disc1Emp1BaseProd</t>
  </si>
  <si>
    <t>calcLOB2Clinician4Disc1Emp1BaseProd</t>
  </si>
  <si>
    <t>calcLOB2Clinician5Disc1Emp1BaseProd</t>
  </si>
  <si>
    <t>calcLOB2Clinician6Disc1Emp1BaseProd</t>
  </si>
  <si>
    <t>calcLOB2Clinician7Disc1Emp1BaseProd</t>
  </si>
  <si>
    <t>calcLOB2Clinician8Disc1Emp1BaseProd</t>
  </si>
  <si>
    <t>calcLOB2Clinician9Disc1Emp1BaseProd</t>
  </si>
  <si>
    <t>calcLOB2Clinician10Disc1Emp1BaseProd</t>
  </si>
  <si>
    <t>calcLOB2Clinician11Disc1Emp1BaseProd</t>
  </si>
  <si>
    <t>calcLOB2Clinician12Disc1Emp1BaseProd</t>
  </si>
  <si>
    <t>calcLOB2Clinician1Disc2Emp1BaseProd</t>
  </si>
  <si>
    <t>calcLOB2Clinician2Disc2Emp1BaseProd</t>
  </si>
  <si>
    <t>calcLOB2Clinician3Disc2Emp1BaseProd</t>
  </si>
  <si>
    <t>calcLOB2Clinician4Disc2Emp1BaseProd</t>
  </si>
  <si>
    <t>calcLOB2Clinician5Disc2Emp1BaseProd</t>
  </si>
  <si>
    <t>calcLOB2Clinician6Disc2Emp1BaseProd</t>
  </si>
  <si>
    <t>calcLOB2Clinician7Disc2Emp1BaseProd</t>
  </si>
  <si>
    <t>calcLOB2Clinician8Disc2Emp1BaseProd</t>
  </si>
  <si>
    <t>calcLOB2Clinician9Disc2Emp1BaseProd</t>
  </si>
  <si>
    <t>calcLOB2Clinician10Disc2Emp1BaseProd</t>
  </si>
  <si>
    <t>calcLOB2Clinician11Disc2Emp1BaseProd</t>
  </si>
  <si>
    <t>calcLOB2Clinician12Disc2Emp1BaseProd</t>
  </si>
  <si>
    <t>calcLOB2Emp1BaseProdCapacity</t>
  </si>
  <si>
    <t>calcLOB2Clinician1Disc1Emp1AllowPerc</t>
  </si>
  <si>
    <t>calcLOB2Clinician2Disc1Emp1AllowPerc</t>
  </si>
  <si>
    <t>calcLOB2Clinician3Disc1Emp1AllowPerc</t>
  </si>
  <si>
    <t>calcLOB2Clinician4Disc1Emp1AllowPerc</t>
  </si>
  <si>
    <t>calcLOB2Clinician5Disc1Emp1AllowPerc</t>
  </si>
  <si>
    <t>calcLOB2Clinician6Disc1Emp1AllowPerc</t>
  </si>
  <si>
    <t>calcLOB2Clinician7Disc1Emp1AllowPerc</t>
  </si>
  <si>
    <t>calcLOB2Clinician8Disc1Emp1AllowPerc</t>
  </si>
  <si>
    <t>calcLOB2Clinician9Disc1Emp1AllowPerc</t>
  </si>
  <si>
    <t>calcLOB2Clinician10Disc1Emp1AllowPerc</t>
  </si>
  <si>
    <t>calcLOB2Clinician11Disc1Emp1AllowPerc</t>
  </si>
  <si>
    <t>calcLOB2Clinician12Disc1Emp1AllowPerc</t>
  </si>
  <si>
    <t>calcLOB2Clinician1Disc2Emp1AllowPerc</t>
  </si>
  <si>
    <t>calcLOB2Clinician2Disc2Emp1AllowPerc</t>
  </si>
  <si>
    <t>calcLOB2Clinician3Disc2Emp1AllowPerc</t>
  </si>
  <si>
    <t>calcLOB2Clinician4Disc2Emp1AllowPerc</t>
  </si>
  <si>
    <t>calcLOB2Clinician5Disc2Emp1AllowPerc</t>
  </si>
  <si>
    <t>calcLOB2Clinician6Disc2Emp1AllowPerc</t>
  </si>
  <si>
    <t>calcLOB2Clinician7Disc2Emp1AllowPerc</t>
  </si>
  <si>
    <t>calcLOB2Clinician8Disc2Emp1AllowPerc</t>
  </si>
  <si>
    <t>calcLOB2Clinician9Disc2Emp1AllowPerc</t>
  </si>
  <si>
    <t>calcLOB2Clinician10Disc2Emp1AllowPerc</t>
  </si>
  <si>
    <t>calcLOB2Clinician11Disc2Emp1AllowPerc</t>
  </si>
  <si>
    <t>calcLOB2Clinician12Disc2Emp1AllowPerc</t>
  </si>
  <si>
    <t>calcLOB2Clinician1Disc1Emp1GrossProd</t>
  </si>
  <si>
    <t>calcLOB2Clinician2Disc1Emp1GrossProd</t>
  </si>
  <si>
    <t>calcLOB2Clinician3Disc1Emp1GrossProd</t>
  </si>
  <si>
    <t>calcLOB2Clinician4Disc1Emp1GrossProd</t>
  </si>
  <si>
    <t>calcLOB2Clinician5Disc1Emp1GrossProd</t>
  </si>
  <si>
    <t>calcLOB2Clinician6Disc1Emp1GrossProd</t>
  </si>
  <si>
    <t>calcLOB2Clinician7Disc1Emp1GrossProd</t>
  </si>
  <si>
    <t>calcLOB2Clinician8Disc1Emp1GrossProd</t>
  </si>
  <si>
    <t>calcLOB2Clinician9Disc1Emp1GrossProd</t>
  </si>
  <si>
    <t>calcLOB2Clinician10Disc1Emp1GrossProd</t>
  </si>
  <si>
    <t>calcLOB2Clinician11Disc1Emp1GrossProd</t>
  </si>
  <si>
    <t>calcLOB2Clinician12Disc1Emp1GrossProd</t>
  </si>
  <si>
    <t>calcLOB2Clinician1Disc2Emp1GrossProd</t>
  </si>
  <si>
    <t>calcLOB2Clinician2Disc2Emp1GrossProd</t>
  </si>
  <si>
    <t>calcLOB2Clinician3Disc2Emp1GrossProd</t>
  </si>
  <si>
    <t>calcLOB2Clinician4Disc2Emp1GrossProd</t>
  </si>
  <si>
    <t>calcLOB2Clinician5Disc2Emp1GrossProd</t>
  </si>
  <si>
    <t>calcLOB2Clinician6Disc2Emp1GrossProd</t>
  </si>
  <si>
    <t>calcLOB2Clinician7Disc2Emp1GrossProd</t>
  </si>
  <si>
    <t>calcLOB2Clinician8Disc2Emp1GrossProd</t>
  </si>
  <si>
    <t>calcLOB2Clinician9Disc2Emp1GrossProd</t>
  </si>
  <si>
    <t>calcLOB2Clinician10Disc2Emp1GrossProd</t>
  </si>
  <si>
    <t>calcLOB2Clinician11Disc2Emp1GrossProd</t>
  </si>
  <si>
    <t>calcLOB2Clinician12Disc2Emp1GrossProd</t>
  </si>
  <si>
    <t>calcLOB2Clinician1Disc1Emp1MissVisits</t>
  </si>
  <si>
    <t>calcLOB2Clinician2Disc1Emp1MissVisits</t>
  </si>
  <si>
    <t>calcLOB2Clinician3Disc1Emp1MissVisits</t>
  </si>
  <si>
    <t>calcLOB2Clinician4Disc1Emp1MissVisits</t>
  </si>
  <si>
    <t>calcLOB2Clinician5Disc1Emp1MissVisits</t>
  </si>
  <si>
    <t>calcLOB2Clinician6Disc1Emp1MissVisits</t>
  </si>
  <si>
    <t>calcLOB2Clinician7Disc1Emp1MissVisits</t>
  </si>
  <si>
    <t>calcLOB2Clinician8Disc1Emp1MissVisits</t>
  </si>
  <si>
    <t>calcLOB2Clinician9Disc1Emp1MissVisits</t>
  </si>
  <si>
    <t>calcLOB2Clinician10Disc1Emp1MissVisits</t>
  </si>
  <si>
    <t>calcLOB2Clinician11Disc1Emp1MissVisits</t>
  </si>
  <si>
    <t>calcLOB2Clinician12Disc1Emp1MissVisits</t>
  </si>
  <si>
    <t>calcLOB2Clinician1Disc2Emp1MissVisits</t>
  </si>
  <si>
    <t>calcLOB2Clinician2Disc2Emp1MissVisits</t>
  </si>
  <si>
    <t>calcLOB2Clinician3Disc2Emp1MissVisits</t>
  </si>
  <si>
    <t>calcLOB2Clinician4Disc2Emp1MissVisits</t>
  </si>
  <si>
    <t>calcLOB2Clinician5Disc2Emp1MissVisits</t>
  </si>
  <si>
    <t>calcLOB2Clinician6Disc2Emp1MissVisits</t>
  </si>
  <si>
    <t>calcLOB2Clinician7Disc2Emp1MissVisits</t>
  </si>
  <si>
    <t>calcLOB2Clinician8Disc2Emp1MissVisits</t>
  </si>
  <si>
    <t>calcLOB2Clinician9Disc2Emp1MissVisits</t>
  </si>
  <si>
    <t>calcLOB2Clinician10Disc2Emp1MissVisits</t>
  </si>
  <si>
    <t>calcLOB2Clinician11Disc2Emp1MissVisits</t>
  </si>
  <si>
    <t>calcLOB2Clinician12Disc2Emp1MissVisits</t>
  </si>
  <si>
    <t>calcLOB2Clinician1Disc1Emp1NetProd</t>
  </si>
  <si>
    <t>calcLOB2Clinician2Disc1Emp1NetProd</t>
  </si>
  <si>
    <t>calcLOB2Clinician3Disc1Emp1NetProd</t>
  </si>
  <si>
    <t>calcLOB2Clinician4Disc1Emp1NetProd</t>
  </si>
  <si>
    <t>calcLOB2Clinician5Disc1Emp1NetProd</t>
  </si>
  <si>
    <t>calcLOB2Clinician6Disc1Emp1NetProd</t>
  </si>
  <si>
    <t>calcLOB2Clinician7Disc1Emp1NetProd</t>
  </si>
  <si>
    <t>calcLOB2Clinician8Disc1Emp1NetProd</t>
  </si>
  <si>
    <t>calcLOB2Clinician9Disc1Emp1NetProd</t>
  </si>
  <si>
    <t>calcLOB2Clinician10Disc1Emp1NetProd</t>
  </si>
  <si>
    <t>calcLOB2Clinician11Disc1Emp1NetProd</t>
  </si>
  <si>
    <t>calcLOB2Clinician12Disc1Emp1NetProd</t>
  </si>
  <si>
    <t>calcLOB2Clinician1Disc2Emp1NetProd</t>
  </si>
  <si>
    <t>calcLOB2Clinician2Disc2Emp1NetProd</t>
  </si>
  <si>
    <t>calcLOB2Clinician3Disc2Emp1NetProd</t>
  </si>
  <si>
    <t>calcLOB2Clinician4Disc2Emp1NetProd</t>
  </si>
  <si>
    <t>calcLOB2Clinician5Disc2Emp1NetProd</t>
  </si>
  <si>
    <t>calcLOB2Clinician6Disc2Emp1NetProd</t>
  </si>
  <si>
    <t>calcLOB2Clinician7Disc2Emp1NetProd</t>
  </si>
  <si>
    <t>calcLOB2Clinician8Disc2Emp1NetProd</t>
  </si>
  <si>
    <t>calcLOB2Clinician9Disc2Emp1NetProd</t>
  </si>
  <si>
    <t>calcLOB2Clinician10Disc2Emp1NetProd</t>
  </si>
  <si>
    <t>calcLOB2Clinician11Disc2Emp1NetProd</t>
  </si>
  <si>
    <t>calcLOB2Clinician12Disc2Emp1NetProd</t>
  </si>
  <si>
    <t>calcLOB2Clinician1Disc1Emp1OverTIme</t>
  </si>
  <si>
    <t>calcLOB2Clinician2Disc1Emp1OverTIme</t>
  </si>
  <si>
    <t>calcLOB2Clinician3Disc1Emp1OverTIme</t>
  </si>
  <si>
    <t>calcLOB2Clinician4Disc1Emp1OverTIme</t>
  </si>
  <si>
    <t>calcLOB2Clinician5Disc1Emp1OverTIme</t>
  </si>
  <si>
    <t>calcLOB2Clinician6Disc1Emp1OverTIme</t>
  </si>
  <si>
    <t>calcLOB2Clinician7Disc1Emp1OverTIme</t>
  </si>
  <si>
    <t>calcLOB2Clinician8Disc1Emp1OverTIme</t>
  </si>
  <si>
    <t>calcLOB2Clinician9Disc1Emp1OverTIme</t>
  </si>
  <si>
    <t>calcLOB2Clinician10Disc1Emp1OverTIme</t>
  </si>
  <si>
    <t>calcLOB2Clinician11Disc1Emp1OverTIme</t>
  </si>
  <si>
    <t>calcLOB2Clinician12Disc1Emp1OverTIme</t>
  </si>
  <si>
    <t>calcLOB2Clinician1Disc2Emp1OverTIme</t>
  </si>
  <si>
    <t>calcLOB2Clinician2Disc2Emp1OverTIme</t>
  </si>
  <si>
    <t>calcLOB2Clinician3Disc2Emp1OverTIme</t>
  </si>
  <si>
    <t>calcLOB2Clinician4Disc2Emp1OverTIme</t>
  </si>
  <si>
    <t>calcLOB2Clinician5Disc2Emp1OverTIme</t>
  </si>
  <si>
    <t>calcLOB2Clinician6Disc2Emp1OverTIme</t>
  </si>
  <si>
    <t>calcLOB2Clinician7Disc2Emp1OverTIme</t>
  </si>
  <si>
    <t>calcLOB2Clinician8Disc2Emp1OverTIme</t>
  </si>
  <si>
    <t>calcLOB2Clinician9Disc2Emp1OverTIme</t>
  </si>
  <si>
    <t>calcLOB2Clinician10Disc2Emp1OverTIme</t>
  </si>
  <si>
    <t>calcLOB2Clinician11Disc2Emp1OverTIme</t>
  </si>
  <si>
    <t>calcLOB2Clinician12Disc2Emp1OverTIme</t>
  </si>
  <si>
    <t>calcLOB2Clinician1Emp2BaseProd</t>
  </si>
  <si>
    <t>calcLOB2Clinician2Emp2BaseProd</t>
  </si>
  <si>
    <t>calcLOB2Clinician3Emp2BaseProd</t>
  </si>
  <si>
    <t>calcLOB2Clinician4Emp2BaseProd</t>
  </si>
  <si>
    <t>calcLOB2Clinician5Emp2BaseProd</t>
  </si>
  <si>
    <t>calcLOB2Clinician6Emp2BaseProd</t>
  </si>
  <si>
    <t>calcLOB2Clinician7Emp2BaseProd</t>
  </si>
  <si>
    <t>calcLOB2Clinician8Emp2BaseProd</t>
  </si>
  <si>
    <t>calcLOB2Clinician9Emp2BaseProd</t>
  </si>
  <si>
    <t>calcLOB2Clinician10Emp2BaseProd</t>
  </si>
  <si>
    <t>calcLOB2Clinician11Emp2BaseProd</t>
  </si>
  <si>
    <t>calcLOB2Clinician12Emp2BaseProd</t>
  </si>
  <si>
    <t>calcLOB2Emp2BaseProdCapacity</t>
  </si>
  <si>
    <t>calcLOB2Clinician1Emp2AllowPerc</t>
  </si>
  <si>
    <t>calcLOB2Clinician2Emp2AllowPerc</t>
  </si>
  <si>
    <t>calcLOB2Clinician3Emp2AllowPerc</t>
  </si>
  <si>
    <t>calcLOB2Clinician4Emp2AllowPerc</t>
  </si>
  <si>
    <t>calcLOB2Clinician5Emp2AllowPerc</t>
  </si>
  <si>
    <t>calcLOB2Clinician6Emp2AllowPerc</t>
  </si>
  <si>
    <t>calcLOB2Clinician7Emp2AllowPerc</t>
  </si>
  <si>
    <t>calcLOB2Clinician8Emp2AllowPerc</t>
  </si>
  <si>
    <t>calcLOB2Clinician9Emp2AllowPerc</t>
  </si>
  <si>
    <t>calcLOB2Clinician10Emp2AllowPerc</t>
  </si>
  <si>
    <t>calcLOB2Clinician11Emp2AllowPerc</t>
  </si>
  <si>
    <t>calcLOB2Clinician12Emp2AllowPerc</t>
  </si>
  <si>
    <t>calcLOB2Clinician1Emp2GrossProd</t>
  </si>
  <si>
    <t>calcLOB2Clinician2Emp2GrossProd</t>
  </si>
  <si>
    <t>calcLOB2Clinician3Emp2GrossProd</t>
  </si>
  <si>
    <t>calcLOB2Clinician4Emp2GrossProd</t>
  </si>
  <si>
    <t>calcLOB2Clinician5Emp2GrossProd</t>
  </si>
  <si>
    <t>calcLOB2Clinician6Emp2GrossProd</t>
  </si>
  <si>
    <t>calcLOB2Clinician7Emp2GrossProd</t>
  </si>
  <si>
    <t>calcLOB2Clinician8Emp2GrossProd</t>
  </si>
  <si>
    <t>calcLOB2Clinician9Emp2GrossProd</t>
  </si>
  <si>
    <t>calcLOB2Clinician10Emp2GrossProd</t>
  </si>
  <si>
    <t>calcLOB2Clinician11Emp2GrossProd</t>
  </si>
  <si>
    <t>calcLOB2Clinician12Emp2GrossProd</t>
  </si>
  <si>
    <t>calcLOB2Clinician1Emp2MissVisits</t>
  </si>
  <si>
    <t>calcLOB2Clinician2Emp2MissVisits</t>
  </si>
  <si>
    <t>calcLOB2Clinician3Emp2MissVisits</t>
  </si>
  <si>
    <t>calcLOB2Clinician4Emp2MissVisits</t>
  </si>
  <si>
    <t>calcLOB2Clinician5Emp2MissVisits</t>
  </si>
  <si>
    <t>calcLOB2Clinician6Emp2MissVisits</t>
  </si>
  <si>
    <t>calcLOB2Clinician7Emp2MissVisits</t>
  </si>
  <si>
    <t>calcLOB2Clinician8Emp2MissVisits</t>
  </si>
  <si>
    <t>calcLOB2Clinician9Emp2MissVisits</t>
  </si>
  <si>
    <t>calcLOB2Clinician10Emp2MissVisits</t>
  </si>
  <si>
    <t>calcLOB2Clinician11Emp2MissVisits</t>
  </si>
  <si>
    <t>calcLOB2Clinician12Emp2MissVisits</t>
  </si>
  <si>
    <t>calcLOB2Clinician1Emp2NetProd</t>
  </si>
  <si>
    <t>calcLOB2Clinician2Emp2NetProd</t>
  </si>
  <si>
    <t>calcLOB2Clinician3Emp2NetProd</t>
  </si>
  <si>
    <t>calcLOB2Clinician4Emp2NetProd</t>
  </si>
  <si>
    <t>calcLOB2Clinician5Emp2NetProd</t>
  </si>
  <si>
    <t>calcLOB2Clinician6Emp2NetProd</t>
  </si>
  <si>
    <t>calcLOB2Clinician7Emp2NetProd</t>
  </si>
  <si>
    <t>calcLOB2Clinician8Emp2NetProd</t>
  </si>
  <si>
    <t>calcLOB2Clinician9Emp2NetProd</t>
  </si>
  <si>
    <t>calcLOB2Clinician10Emp2NetProd</t>
  </si>
  <si>
    <t>calcLOB2Clinician11Emp2NetProd</t>
  </si>
  <si>
    <t>calcLOB2Clinician12Emp2NetProd</t>
  </si>
  <si>
    <t>calcLOB2Clinician1Emp2OverTIme</t>
  </si>
  <si>
    <t>calcLOB2Clinician2Emp2OverTIme</t>
  </si>
  <si>
    <t>calcLOB2Clinician3Emp2OverTIme</t>
  </si>
  <si>
    <t>calcLOB2Clinician4Emp2OverTIme</t>
  </si>
  <si>
    <t>calcLOB2Clinician5Emp2OverTIme</t>
  </si>
  <si>
    <t>calcLOB2Clinician6Emp2OverTIme</t>
  </si>
  <si>
    <t>calcLOB2Clinician7Emp2OverTIme</t>
  </si>
  <si>
    <t>calcLOB2Clinician8Emp2OverTIme</t>
  </si>
  <si>
    <t>calcLOB2Clinician9Emp2OverTIme</t>
  </si>
  <si>
    <t>calcLOB2Clinician10Emp2OverTIme</t>
  </si>
  <si>
    <t>calcLOB2Clinician11Emp2OverTIme</t>
  </si>
  <si>
    <t>calcLOB2Clinician12Emp2OverTIme</t>
  </si>
  <si>
    <t>calcLOB2Clinician1Emp3BaseProd</t>
  </si>
  <si>
    <t>calcLOB2Clinician2Emp3BaseProd</t>
  </si>
  <si>
    <t>calcLOB2Clinician3Emp3BaseProd</t>
  </si>
  <si>
    <t>calcLOB2Clinician4Emp3BaseProd</t>
  </si>
  <si>
    <t>calcLOB2Clinician5Emp3BaseProd</t>
  </si>
  <si>
    <t>calcLOB2Clinician6Emp3BaseProd</t>
  </si>
  <si>
    <t>calcLOB2Clinician7Emp3BaseProd</t>
  </si>
  <si>
    <t>calcLOB2Clinician8Emp3BaseProd</t>
  </si>
  <si>
    <t>calcLOB2Clinician9Emp3BaseProd</t>
  </si>
  <si>
    <t>calcLOB2Clinician10Emp3BaseProd</t>
  </si>
  <si>
    <t>calcLOB2Clinician11Emp3BaseProd</t>
  </si>
  <si>
    <t>calcLOB2Clinician12Emp3BaseProd</t>
  </si>
  <si>
    <t>calcLOB2Emp3BaseProdCapacity</t>
  </si>
  <si>
    <t>calcLOB2Clinician1Emp3AllowPerc</t>
  </si>
  <si>
    <t>calcLOB2Clinician2Emp3AllowPerc</t>
  </si>
  <si>
    <t>calcLOB2Clinician3Emp3AllowPerc</t>
  </si>
  <si>
    <t>calcLOB2Clinician4Emp3AllowPerc</t>
  </si>
  <si>
    <t>calcLOB2Clinician5Emp3AllowPerc</t>
  </si>
  <si>
    <t>calcLOB2Clinician6Emp3AllowPerc</t>
  </si>
  <si>
    <t>calcLOB2Clinician7Emp3AllowPerc</t>
  </si>
  <si>
    <t>calcLOB2Clinician8Emp3AllowPerc</t>
  </si>
  <si>
    <t>calcLOB2Clinician9Emp3AllowPerc</t>
  </si>
  <si>
    <t>calcLOB2Clinician10Emp3AllowPerc</t>
  </si>
  <si>
    <t>calcLOB2Clinician11Emp3AllowPerc</t>
  </si>
  <si>
    <t>calcLOB2Clinician12Emp3AllowPerc</t>
  </si>
  <si>
    <t>calcLOB2Clinician1Emp3GrossProd</t>
  </si>
  <si>
    <t>calcLOB2Clinician2Emp3GrossProd</t>
  </si>
  <si>
    <t>calcLOB2Clinician3Emp3GrossProd</t>
  </si>
  <si>
    <t>calcLOB2Clinician4Emp3GrossProd</t>
  </si>
  <si>
    <t>calcLOB2Clinician5Emp3GrossProd</t>
  </si>
  <si>
    <t>calcLOB2Clinician6Emp3GrossProd</t>
  </si>
  <si>
    <t>calcLOB2Clinician7Emp3GrossProd</t>
  </si>
  <si>
    <t>calcLOB2Clinician8Emp3GrossProd</t>
  </si>
  <si>
    <t>calcLOB2Clinician9Emp3GrossProd</t>
  </si>
  <si>
    <t>calcLOB2Clinician10Emp3GrossProd</t>
  </si>
  <si>
    <t>calcLOB2Clinician11Emp3GrossProd</t>
  </si>
  <si>
    <t>calcLOB2Clinician12Emp3GrossProd</t>
  </si>
  <si>
    <t>calcLOB2Clinician1Emp3MissVisits</t>
  </si>
  <si>
    <t>calcLOB2Clinician2Emp3MissVisits</t>
  </si>
  <si>
    <t>calcLOB2Clinician3Emp3MissVisits</t>
  </si>
  <si>
    <t>calcLOB2Clinician4Emp3MissVisits</t>
  </si>
  <si>
    <t>calcLOB2Clinician5Emp3MissVisits</t>
  </si>
  <si>
    <t>calcLOB2Clinician6Emp3MissVisits</t>
  </si>
  <si>
    <t>calcLOB2Clinician7Emp3MissVisits</t>
  </si>
  <si>
    <t>calcLOB2Clinician8Emp3MissVisits</t>
  </si>
  <si>
    <t>calcLOB2Clinician9Emp3MissVisits</t>
  </si>
  <si>
    <t>calcLOB2Clinician10Emp3MissVisits</t>
  </si>
  <si>
    <t>calcLOB2Clinician11Emp3MissVisits</t>
  </si>
  <si>
    <t>calcLOB2Clinician12Emp3MissVisits</t>
  </si>
  <si>
    <t>calcLOB2Clinician1Emp3NetProd</t>
  </si>
  <si>
    <t>calcLOB2Clinician2Emp3NetProd</t>
  </si>
  <si>
    <t>calcLOB2Clinician3Emp3NetProd</t>
  </si>
  <si>
    <t>calcLOB2Clinician4Emp3NetProd</t>
  </si>
  <si>
    <t>calcLOB2Clinician5Emp3NetProd</t>
  </si>
  <si>
    <t>calcLOB2Clinician6Emp3NetProd</t>
  </si>
  <si>
    <t>calcLOB2Clinician7Emp3NetProd</t>
  </si>
  <si>
    <t>calcLOB2Clinician8Emp3NetProd</t>
  </si>
  <si>
    <t>calcLOB2Clinician9Emp3NetProd</t>
  </si>
  <si>
    <t>calcLOB2Clinician10Emp3NetProd</t>
  </si>
  <si>
    <t>calcLOB2Clinician11Emp3NetProd</t>
  </si>
  <si>
    <t>calcLOB2Clinician12Emp3NetProd</t>
  </si>
  <si>
    <t>calcLOB2Clinician1Emp3OverTIme</t>
  </si>
  <si>
    <t>calcLOB2Clinician2Emp3OverTIme</t>
  </si>
  <si>
    <t>calcLOB2Clinician3Emp3OverTIme</t>
  </si>
  <si>
    <t>calcLOB2Clinician4Emp3OverTIme</t>
  </si>
  <si>
    <t>calcLOB2Clinician5Emp3OverTIme</t>
  </si>
  <si>
    <t>calcLOB2Clinician6Emp3OverTIme</t>
  </si>
  <si>
    <t>calcLOB2Clinician7Emp3OverTIme</t>
  </si>
  <si>
    <t>calcLOB2Clinician8Emp3OverTIme</t>
  </si>
  <si>
    <t>calcLOB2Clinician9Emp3OverTIme</t>
  </si>
  <si>
    <t>calcLOB2Clinician10Emp3OverTIme</t>
  </si>
  <si>
    <t>calcLOB2Clinician11Emp3OverTIme</t>
  </si>
  <si>
    <t>calcLOB2Clinician12Emp3OverTIme</t>
  </si>
  <si>
    <t>calcLOB2Clinician1BaseProd</t>
  </si>
  <si>
    <t>calcLOB2Clinician2BaseProd</t>
  </si>
  <si>
    <t>calcLOB2Clinician3BaseProd</t>
  </si>
  <si>
    <t>calcLOB2Clinician4BaseProd</t>
  </si>
  <si>
    <t>calcLOB2Clinician5BaseProd</t>
  </si>
  <si>
    <t>calcLOB2Clinician6BaseProd</t>
  </si>
  <si>
    <t>calcLOB2Clinician7BaseProd</t>
  </si>
  <si>
    <t>calcLOB2Clinician8BaseProd</t>
  </si>
  <si>
    <t>calcLOB2Clinician9BaseProd</t>
  </si>
  <si>
    <t>calcLOB2Clinician10BaseProd</t>
  </si>
  <si>
    <t>calcLOB2Clinician11BaseProd</t>
  </si>
  <si>
    <t>calcLOB2Clinician12BaseProd</t>
  </si>
  <si>
    <t>calcLOB2Clinician1GrossProd</t>
  </si>
  <si>
    <t>calcLOB2Clinician2GrossProd</t>
  </si>
  <si>
    <t>calcLOB2Clinician3GrossProd</t>
  </si>
  <si>
    <t>calcLOB2Clinician4GrossProd</t>
  </si>
  <si>
    <t>calcLOB2Clinician5GrossProd</t>
  </si>
  <si>
    <t>calcLOB2Clinician6GrossProd</t>
  </si>
  <si>
    <t>calcLOB2Clinician7GrossProd</t>
  </si>
  <si>
    <t>calcLOB2Clinician8GrossProd</t>
  </si>
  <si>
    <t>calcLOB2Clinician9GrossProd</t>
  </si>
  <si>
    <t>calcLOB2Clinician10GrossProd</t>
  </si>
  <si>
    <t>calcLOB2Clinician11GrossProd</t>
  </si>
  <si>
    <t>calcLOB2Clinician12GrossProd</t>
  </si>
  <si>
    <t>calcLOB2Clinician1MissVisits</t>
  </si>
  <si>
    <t>calcLOB2Clinician2MissVisits</t>
  </si>
  <si>
    <t>calcLOB2Clinician3MissVisits</t>
  </si>
  <si>
    <t>calcLOB2Clinician4MissVisits</t>
  </si>
  <si>
    <t>calcLOB2Clinician5MissVisits</t>
  </si>
  <si>
    <t>calcLOB2Clinician6MissVisits</t>
  </si>
  <si>
    <t>calcLOB2Clinician7MissVisits</t>
  </si>
  <si>
    <t>calcLOB2Clinician8MissVisits</t>
  </si>
  <si>
    <t>calcLOB2Clinician9MissVisits</t>
  </si>
  <si>
    <t>calcLOB2Clinician10MissVisits</t>
  </si>
  <si>
    <t>calcLOB2Clinician11MissVisits</t>
  </si>
  <si>
    <t>calcLOB2Clinician12MissVisits</t>
  </si>
  <si>
    <t>calcLOB2Clinician1OverTime</t>
  </si>
  <si>
    <t>calcLOB2Clinician2OverTime</t>
  </si>
  <si>
    <t>calcLOB2Clinician3OverTime</t>
  </si>
  <si>
    <t>calcLOB2Clinician4OverTime</t>
  </si>
  <si>
    <t>calcLOB2Clinician5OverTime</t>
  </si>
  <si>
    <t>calcLOB2Clinician6OverTime</t>
  </si>
  <si>
    <t>calcLOB2Clinician7OverTime</t>
  </si>
  <si>
    <t>calcLOB2Clinician8OverTime</t>
  </si>
  <si>
    <t>calcLOB2Clinician9OverTime</t>
  </si>
  <si>
    <t>calcLOB2Clinician10OverTime</t>
  </si>
  <si>
    <t>calcLOB2Clinician11OverTime</t>
  </si>
  <si>
    <t>calcLOB2Clinician12OverTime</t>
  </si>
  <si>
    <t>cbalLOB1Emp1CostPVisit</t>
  </si>
  <si>
    <t>cbalLOB1Emp2CostPVisit</t>
  </si>
  <si>
    <t>cbalLOB1Emp3CostPVisit</t>
  </si>
  <si>
    <t>obalLOB1Emp1CostPVisit</t>
  </si>
  <si>
    <t>obalLOB1Emp2CostPVisit</t>
  </si>
  <si>
    <t>obalLOB1Emp3CostPVisit</t>
  </si>
  <si>
    <t>calcLOB1Emp1NetProduction</t>
  </si>
  <si>
    <t>Actual Patient Visits</t>
  </si>
  <si>
    <t>Total Net Production</t>
  </si>
  <si>
    <t>calcLOB1Emp2NetProduction</t>
  </si>
  <si>
    <t>calcLOB1Emp3NetProduction</t>
  </si>
  <si>
    <t>calcLOB1Prod1Seg1Emp1ActualVisits</t>
  </si>
  <si>
    <t>calcLOB1Prod1Seg2Emp1ActualVisits</t>
  </si>
  <si>
    <t>calcLOB1Prod1Seg3Emp1ActualVisits</t>
  </si>
  <si>
    <t>calcLOB1Prod2Seg1Emp1ActualVisits</t>
  </si>
  <si>
    <t>calcLOB1Prod2Seg2Emp1ActualVisits</t>
  </si>
  <si>
    <t>calcLOB1Prod2Seg3Emp1ActualVisits</t>
  </si>
  <si>
    <t>calcLOB1Emp1ActualVisits</t>
  </si>
  <si>
    <t>calcLOB1Prod1Seg1Emp2ActualVisits</t>
  </si>
  <si>
    <t>calcLOB1Prod1Seg2Emp2ActualVisits</t>
  </si>
  <si>
    <t>calcLOB1Prod1Seg3Emp2ActualVisits</t>
  </si>
  <si>
    <t>calcLOB1Prod2Seg1Emp2ActualVisits</t>
  </si>
  <si>
    <t>calcLOB1Prod2Seg2Emp2ActualVisits</t>
  </si>
  <si>
    <t>calcLOB1Prod2Seg3Emp2ActualVisits</t>
  </si>
  <si>
    <t>calcLOB1Emp2ActualVisits</t>
  </si>
  <si>
    <t>calcLOB1Prod1Seg1Emp3ActualVisits</t>
  </si>
  <si>
    <t>calcLOB1Prod1Seg2Emp3ActualVisits</t>
  </si>
  <si>
    <t>calcLOB1Prod1Seg3Emp3ActualVisits</t>
  </si>
  <si>
    <t>calcLOB1Prod2Seg1Emp3ActualVisits</t>
  </si>
  <si>
    <t>calcLOB1Prod2Seg2Emp3ActualVisits</t>
  </si>
  <si>
    <t>calcLOB1Prod2Seg3Emp3ActualVisits</t>
  </si>
  <si>
    <t>calcLOB1Emp3ActualVisits</t>
  </si>
  <si>
    <t>obalLOB1Emp1Seg1RevPVisit</t>
  </si>
  <si>
    <t>obalLOB1Emp1Seg2RevPVisit</t>
  </si>
  <si>
    <t>obalLOB1Emp1Seg3RevPVisit</t>
  </si>
  <si>
    <t>cbalLOB1Emp1Seg1RevPVisit</t>
  </si>
  <si>
    <t>cbalLOB1Emp1Seg2RevPVisit</t>
  </si>
  <si>
    <t>cbalLOB1Emp1Seg3RevPVisit</t>
  </si>
  <si>
    <t>obalLOB1Emp2Seg1RevPVisit</t>
  </si>
  <si>
    <t>obalLOB1Emp2Seg2RevPVisit</t>
  </si>
  <si>
    <t>obalLOB1Emp2Seg3RevPVisit</t>
  </si>
  <si>
    <t>cbalLOB1Emp2Seg1RevPVisit</t>
  </si>
  <si>
    <t>cbalLOB1Emp2Seg2RevPVisit</t>
  </si>
  <si>
    <t>cbalLOB1Emp2Seg3RevPVisit</t>
  </si>
  <si>
    <t>obalLOB1Emp3Seg1RevPVisit</t>
  </si>
  <si>
    <t>obalLOB1Emp3Seg2RevPVisit</t>
  </si>
  <si>
    <t>obalLOB1Emp3Seg3RevPVisit</t>
  </si>
  <si>
    <t>cbalLOB1Emp3Seg1RevPVisit</t>
  </si>
  <si>
    <t>cbalLOB1Emp3Seg2RevPVisit</t>
  </si>
  <si>
    <t>cbalLOB1Emp3Seg3RevPVisit</t>
  </si>
  <si>
    <t>finPNLLOB1Rev</t>
  </si>
  <si>
    <t>Clincial Cost</t>
  </si>
  <si>
    <t>Clinical Cost</t>
  </si>
  <si>
    <t>finPNLLOB1ServiceCost</t>
  </si>
  <si>
    <t>finPNLLOB1GrossProfit</t>
  </si>
  <si>
    <t>Overhead Cost Full-Time</t>
  </si>
  <si>
    <t>Overhead Cost Part-Time</t>
  </si>
  <si>
    <t>obalLOB1FullEmpOverhead</t>
  </si>
  <si>
    <t>obalLOB1PartEmpOverhead</t>
  </si>
  <si>
    <t>cbalLOB1FullEmpOverhead</t>
  </si>
  <si>
    <t>cbalLOB1PartEmpOverhead</t>
  </si>
  <si>
    <t>Employee Count</t>
  </si>
  <si>
    <t>calLOB1FullEmp</t>
  </si>
  <si>
    <t>calLOB1PartEmp</t>
  </si>
  <si>
    <t>Overhead Cost</t>
  </si>
  <si>
    <t>finPNLLOB1FullEmpOverhead</t>
  </si>
  <si>
    <t>finPNLLOB1PartEmpOverhead</t>
  </si>
  <si>
    <t>finPNLEmpOverhead</t>
  </si>
  <si>
    <t>Operating Profit</t>
  </si>
  <si>
    <t>Operating Margin</t>
  </si>
  <si>
    <t>finPNLLOB1EmpOverhead</t>
  </si>
  <si>
    <t>finPNLLOB1OpProfit</t>
  </si>
  <si>
    <t>finPNLLOB1OpMargin</t>
  </si>
  <si>
    <t>obalLOB2Emp1Seg1RevPVisit</t>
  </si>
  <si>
    <t>obalLOB2Emp1Seg2RevPVisit</t>
  </si>
  <si>
    <t>obalLOB2Emp1Seg3RevPVisit</t>
  </si>
  <si>
    <t>obalLOB2Emp2Seg1RevPVisit</t>
  </si>
  <si>
    <t>obalLOB2Emp2Seg2RevPVisit</t>
  </si>
  <si>
    <t>obalLOB2Emp2Seg3RevPVisit</t>
  </si>
  <si>
    <t>obalLOB2Emp3Seg1RevPVisit</t>
  </si>
  <si>
    <t>obalLOB2Emp3Seg2RevPVisit</t>
  </si>
  <si>
    <t>obalLOB2Emp3Seg3RevPVisit</t>
  </si>
  <si>
    <t>obalLOB2Emp1CostPVisit</t>
  </si>
  <si>
    <t>obalLOB2Emp2CostPVisit</t>
  </si>
  <si>
    <t>obalLOB2Emp3CostPVisit</t>
  </si>
  <si>
    <t>cbalLOB2Emp1Seg1RevPVisit</t>
  </si>
  <si>
    <t>cbalLOB2Emp1Seg2RevPVisit</t>
  </si>
  <si>
    <t>cbalLOB2Emp1Seg3RevPVisit</t>
  </si>
  <si>
    <t>cbalLOB2Emp2Seg1RevPVisit</t>
  </si>
  <si>
    <t>cbalLOB2Emp2Seg2RevPVisit</t>
  </si>
  <si>
    <t>cbalLOB2Emp2Seg3RevPVisit</t>
  </si>
  <si>
    <t>cbalLOB2Emp3Seg1RevPVisit</t>
  </si>
  <si>
    <t>cbalLOB2Emp3Seg2RevPVisit</t>
  </si>
  <si>
    <t>cbalLOB2Emp3Seg3RevPVisit</t>
  </si>
  <si>
    <t>cbalLOB2Emp1CostPVisit</t>
  </si>
  <si>
    <t>cbalLOB2Emp2CostPVisit</t>
  </si>
  <si>
    <t>cbalLOB2Emp3CostPVisit</t>
  </si>
  <si>
    <t>obalLOB2FullEmpOverhead</t>
  </si>
  <si>
    <t>obalLOB2PartEmpOverhead</t>
  </si>
  <si>
    <t>cbalLOB2FullEmpOverhead</t>
  </si>
  <si>
    <t>cbalLOB2PartEmpOverhead</t>
  </si>
  <si>
    <t>calcLOB2Emp1NetProduction</t>
  </si>
  <si>
    <t>calcLOB2Emp2NetProduction</t>
  </si>
  <si>
    <t>calcLOB2Emp3NetProduction</t>
  </si>
  <si>
    <t>calcLOB2Prod1Seg1Emp1ActualVisits</t>
  </si>
  <si>
    <t>calcLOB2Prod1Seg2Emp1ActualVisits</t>
  </si>
  <si>
    <t>calcLOB2Prod1Seg3Emp1ActualVisits</t>
  </si>
  <si>
    <t>calcLOB2Prod2Seg1Emp1ActualVisits</t>
  </si>
  <si>
    <t>calcLOB2Prod2Seg2Emp1ActualVisits</t>
  </si>
  <si>
    <t>calcLOB2Prod2Seg3Emp1ActualVisits</t>
  </si>
  <si>
    <t>calcLOB2Emp1ActualVisits</t>
  </si>
  <si>
    <t>calcLOB2Prod1Seg1Emp2ActualVisits</t>
  </si>
  <si>
    <t>calcLOB2Prod1Seg2Emp2ActualVisits</t>
  </si>
  <si>
    <t>calcLOB2Prod1Seg3Emp2ActualVisits</t>
  </si>
  <si>
    <t>calcLOB2Prod2Seg1Emp2ActualVisits</t>
  </si>
  <si>
    <t>calcLOB2Prod2Seg2Emp2ActualVisits</t>
  </si>
  <si>
    <t>calcLOB2Prod2Seg3Emp2ActualVisits</t>
  </si>
  <si>
    <t>calcLOB2Emp2ActualVisits</t>
  </si>
  <si>
    <t>calcLOB2Prod1Seg1Emp3ActualVisits</t>
  </si>
  <si>
    <t>calcLOB2Prod1Seg2Emp3ActualVisits</t>
  </si>
  <si>
    <t>calcLOB2Prod1Seg3Emp3ActualVisits</t>
  </si>
  <si>
    <t>calcLOB2Prod2Seg1Emp3ActualVisits</t>
  </si>
  <si>
    <t>calcLOB2Prod2Seg2Emp3ActualVisits</t>
  </si>
  <si>
    <t>calcLOB2Prod2Seg3Emp3ActualVisits</t>
  </si>
  <si>
    <t>calcLOB2Emp3ActualVisits</t>
  </si>
  <si>
    <t>calLOB2FullEmp</t>
  </si>
  <si>
    <t>calLOB2PartEmp</t>
  </si>
  <si>
    <t>finPNLLOB2Rev</t>
  </si>
  <si>
    <t>finPNLLOB2ServiceCost</t>
  </si>
  <si>
    <t>finPNLLOB2GrossProfit</t>
  </si>
  <si>
    <t>finPNLLOB2FullEmpOverhead</t>
  </si>
  <si>
    <t>finPNLLOB2PartEmpOverhead</t>
  </si>
  <si>
    <t>finPNLLOB2EmpOverhead</t>
  </si>
  <si>
    <t>finPNLLOB2OpProfit</t>
  </si>
  <si>
    <t>finPNLLOB2OpMargin</t>
  </si>
  <si>
    <t>finPNLRev</t>
  </si>
  <si>
    <t>finPNLServiceCost</t>
  </si>
  <si>
    <t>finPNLGrossProfit</t>
  </si>
  <si>
    <t>finPNLFullEmpOverhead</t>
  </si>
  <si>
    <t>finPNLPartEmpOverhead</t>
  </si>
  <si>
    <t>finPNLOpProfit</t>
  </si>
  <si>
    <t>finPNLOpMargin</t>
  </si>
  <si>
    <t>finPNLLOB1Emp1Cost</t>
  </si>
  <si>
    <t>finPNLLOB1Emp2Cost</t>
  </si>
  <si>
    <t>finPNLLOB1Emp3Cost</t>
  </si>
  <si>
    <t>finPNLLOB2Emp1Cost</t>
  </si>
  <si>
    <t>finPNLLOB2Emp2Cost</t>
  </si>
  <si>
    <t>finPNLLOB2Emp3Cost</t>
  </si>
  <si>
    <t>finPNLEmp1Cost</t>
  </si>
  <si>
    <t>finPNLEmp2Cost</t>
  </si>
  <si>
    <t>finPNLEmp3Cost</t>
  </si>
  <si>
    <t>tlOutputfinOpMargin_R1</t>
  </si>
  <si>
    <t>tlOutputfinLOB1Rev_R1</t>
  </si>
  <si>
    <t>tlOutputfinLOB1TotalExp_R1</t>
  </si>
  <si>
    <t>tlOutputfinLOB1OpMargin_R1</t>
  </si>
  <si>
    <t>tlOutputfinLOB2Rev_R1</t>
  </si>
  <si>
    <t>tlOutputfinLOB2TotalExp_R1</t>
  </si>
  <si>
    <t>tlOutputfinLOB2OpMargin_R1</t>
  </si>
  <si>
    <t>tlOutputfinLOB1ServiceCost_R1</t>
  </si>
  <si>
    <t>tlOutputfinLOB1EmpOverhead_R1</t>
  </si>
  <si>
    <t>tlOutputfinLOB1OpProfit_R1</t>
  </si>
  <si>
    <t>tlOutputfinLOB2ServiceCost_R1</t>
  </si>
  <si>
    <t>tlOutputfinLOB2EmpOverhead_R1</t>
  </si>
  <si>
    <t>tlOutputfinLOB2OpProfit_R1</t>
  </si>
  <si>
    <t>tlOutputfinServiceCost_R1</t>
  </si>
  <si>
    <t>tlOutputfinEmpOverhead_R1</t>
  </si>
  <si>
    <t>tlOutputfinOpProfit_R1</t>
  </si>
  <si>
    <t>tlOutputfinServiceCost_R2</t>
  </si>
  <si>
    <t>tlOutputfinEmpOverhead_R2</t>
  </si>
  <si>
    <t>tlOutputfinOpProfit_R2</t>
  </si>
  <si>
    <t>tlOutputfinOpMargin_R2</t>
  </si>
  <si>
    <t>obalLOB1Rev</t>
  </si>
  <si>
    <t>obalLOB1Stars</t>
  </si>
  <si>
    <t>obalLOB1ESAT</t>
  </si>
  <si>
    <t>obalLOB1CSAT</t>
  </si>
  <si>
    <t>obalLOB1DOOUtilization</t>
  </si>
  <si>
    <t>cbalLOB1Rev</t>
  </si>
  <si>
    <t>cbalLOB1Stars</t>
  </si>
  <si>
    <t>cbalLOB1ESAT</t>
  </si>
  <si>
    <t>cbalLOB1CSAT</t>
  </si>
  <si>
    <t>cbalLOB1DOOUtilization</t>
  </si>
  <si>
    <t>obalLOB2Rev</t>
  </si>
  <si>
    <t>obalLOB2Stars</t>
  </si>
  <si>
    <t>obalLOB2ESAT</t>
  </si>
  <si>
    <t>obalLOB2CSAT</t>
  </si>
  <si>
    <t>obalLOB2DOOUtilization</t>
  </si>
  <si>
    <t>cbalLOB2Rev</t>
  </si>
  <si>
    <t>cbalLOB2Stars</t>
  </si>
  <si>
    <t>cbalLOB2ESAT</t>
  </si>
  <si>
    <t>cbalLOB2CSAT</t>
  </si>
  <si>
    <t>cbalLOB2DOOUtilization</t>
  </si>
  <si>
    <t>tlOutputLOB1Cln11Name_R1</t>
  </si>
  <si>
    <t>tlOutputLOB1Cln11PayMethod_R1</t>
  </si>
  <si>
    <t>tlOutputLOB1Cln11WeekProd_R1</t>
  </si>
  <si>
    <t>tlOutputLOB1Cln11WeekProdProj_R1</t>
  </si>
  <si>
    <t>tlOutputLOB1Cln11WeekMiss_R1</t>
  </si>
  <si>
    <t>tlOutputLOB1Cln11WeekMile_R1</t>
  </si>
  <si>
    <t>tlOutputLOB1Cln11WeekAdmin_R1</t>
  </si>
  <si>
    <t>tlOutputLOB1Cln11WeekOT_R1</t>
  </si>
  <si>
    <t>tlOutputLOB1Cln11Name_R2</t>
  </si>
  <si>
    <t>tlOutputLOB1Cln11PayMethod_R2</t>
  </si>
  <si>
    <t>tlOutputLOB1Cln11WeekProd_R2</t>
  </si>
  <si>
    <t>tlOutputLOB1Cln11WeekProdProj_R2</t>
  </si>
  <si>
    <t>tlOutputLOB1Cln11WeekMiss_R2</t>
  </si>
  <si>
    <t>tlOutputLOB1Cln11WeekMile_R2</t>
  </si>
  <si>
    <t>tlOutputLOB1Cln11WeekAdmin_R2</t>
  </si>
  <si>
    <t>tlOutputLOB1Cln11WeekOT_R2</t>
  </si>
  <si>
    <t>tlInputLOB1Cln11Dis_R1</t>
  </si>
  <si>
    <t>tlInputLOB1Cln11Status_R1</t>
  </si>
  <si>
    <t>tlInputLOB1Cln11Dis_R2</t>
  </si>
  <si>
    <t>tlInputLOB1Cln11Status_R2</t>
  </si>
  <si>
    <t>tlInputLOB2Cln11Dis_R1</t>
  </si>
  <si>
    <t>tlInputLOB2Cln11Status_R1</t>
  </si>
  <si>
    <t>tlOutputLOB2Cln11Name_R1</t>
  </si>
  <si>
    <t>tlOutputLOB2Cln11PayMethod_R1</t>
  </si>
  <si>
    <t>tlOutputLOB2Cln11WeekProd_R1</t>
  </si>
  <si>
    <t>tlOutputLOB2Cln11WeekProdProj_R1</t>
  </si>
  <si>
    <t>tlOutputLOB2Cln11WeekMiss_R1</t>
  </si>
  <si>
    <t>tlOutputLOB2Cln11WeekMile_R1</t>
  </si>
  <si>
    <t>tlOutputLOB2Cln11WeekAdmin_R1</t>
  </si>
  <si>
    <t>tlOutputLOB2Cln11WeekOT_R1</t>
  </si>
  <si>
    <t>tlInputLOB2Cln11Dis_R2</t>
  </si>
  <si>
    <t>tlInputLOB2Cln11Status_R2</t>
  </si>
  <si>
    <t>tlOutputLOB2Cln11Name_R2</t>
  </si>
  <si>
    <t>tlOutputLOB2Cln11PayMethod_R2</t>
  </si>
  <si>
    <t>tlOutputLOB2Cln11WeekProd_R2</t>
  </si>
  <si>
    <t>tlOutputLOB2Cln11WeekProdProj_R2</t>
  </si>
  <si>
    <t>tlOutputLOB2Cln11WeekMiss_R2</t>
  </si>
  <si>
    <t>tlOutputLOB2Cln11WeekMile_R2</t>
  </si>
  <si>
    <t>tlOutputLOB2Cln11WeekAdmin_R2</t>
  </si>
  <si>
    <t>tlOutputLOB2Cln11WeekOT_R2</t>
  </si>
  <si>
    <t>Clinician 11 Dicipline</t>
  </si>
  <si>
    <t>Clinician 11 Status</t>
  </si>
  <si>
    <t>decLOB1Cln11Dis_R1</t>
  </si>
  <si>
    <t>decLOB1Cln11Status_R1</t>
  </si>
  <si>
    <t>decLOB1Cln11Dis_R2</t>
  </si>
  <si>
    <t>decLOB1Cln11Status_R2</t>
  </si>
  <si>
    <t>decLOB2Cln11Dis_R1</t>
  </si>
  <si>
    <t>decLOB2Cln11Dis_R2</t>
  </si>
  <si>
    <t>decLOB2Cln11Status_R1</t>
  </si>
  <si>
    <t>decLOB2Cln11Status_R2</t>
  </si>
  <si>
    <t>Status</t>
  </si>
  <si>
    <t>Lookup Value</t>
  </si>
  <si>
    <t>calcLOB1Clinician11LookupValue</t>
  </si>
  <si>
    <t>tlInputLOB1Cln12Dis_R1</t>
  </si>
  <si>
    <t>tlInputLOB1Cln12Status_R1</t>
  </si>
  <si>
    <t>tlInputLOB1Cln12Dis_R2</t>
  </si>
  <si>
    <t>tlInputLOB1Cln12Status_R2</t>
  </si>
  <si>
    <t>tlOutputLOB1Cln12Name_R1</t>
  </si>
  <si>
    <t>tlOutputLOB1Cln12PayMethod_R1</t>
  </si>
  <si>
    <t>tlOutputLOB1Cln12WeekProd_R1</t>
  </si>
  <si>
    <t>tlOutputLOB1Cln12WeekProdProj_R1</t>
  </si>
  <si>
    <t>tlOutputLOB1Cln12WeekMiss_R1</t>
  </si>
  <si>
    <t>tlOutputLOB1Cln12WeekMile_R1</t>
  </si>
  <si>
    <t>tlOutputLOB1Cln12WeekAdmin_R1</t>
  </si>
  <si>
    <t>tlOutputLOB1Cln12WeekOT_R1</t>
  </si>
  <si>
    <t>tlOutputLOB1Cln12Name_R2</t>
  </si>
  <si>
    <t>tlOutputLOB1Cln12PayMethod_R2</t>
  </si>
  <si>
    <t>tlOutputLOB1Cln12WeekProd_R2</t>
  </si>
  <si>
    <t>tlOutputLOB1Cln12WeekProdProj_R2</t>
  </si>
  <si>
    <t>tlOutputLOB1Cln12WeekMiss_R2</t>
  </si>
  <si>
    <t>tlOutputLOB1Cln12WeekMile_R2</t>
  </si>
  <si>
    <t>tlOutputLOB1Cln12WeekAdmin_R2</t>
  </si>
  <si>
    <t>tlOutputLOB1Cln12WeekOT_R2</t>
  </si>
  <si>
    <t>tlInputLOB2Cln12Dis_R1</t>
  </si>
  <si>
    <t>tlInputLOB2Cln12Status_R1</t>
  </si>
  <si>
    <t>tlOutputLOB2Cln12Name_R1</t>
  </si>
  <si>
    <t>tlOutputLOB2Cln12PayMethod_R1</t>
  </si>
  <si>
    <t>tlOutputLOB2Cln12WeekProd_R1</t>
  </si>
  <si>
    <t>tlOutputLOB2Cln12WeekProdProj_R1</t>
  </si>
  <si>
    <t>tlOutputLOB2Cln12WeekMiss_R1</t>
  </si>
  <si>
    <t>tlOutputLOB2Cln12WeekMile_R1</t>
  </si>
  <si>
    <t>tlOutputLOB2Cln12WeekAdmin_R1</t>
  </si>
  <si>
    <t>tlOutputLOB2Cln12WeekOT_R1</t>
  </si>
  <si>
    <t>tlInputLOB2Cln12Dis_R2</t>
  </si>
  <si>
    <t>tlInputLOB2Cln12Status_R2</t>
  </si>
  <si>
    <t>tlOutputLOB2Cln12Name_R2</t>
  </si>
  <si>
    <t>tlOutputLOB2Cln12PayMethod_R2</t>
  </si>
  <si>
    <t>tlOutputLOB2Cln12WeekProd_R2</t>
  </si>
  <si>
    <t>tlOutputLOB2Cln12WeekProdProj_R2</t>
  </si>
  <si>
    <t>tlOutputLOB2Cln12WeekMiss_R2</t>
  </si>
  <si>
    <t>tlOutputLOB2Cln12WeekMile_R2</t>
  </si>
  <si>
    <t>tlOutputLOB2Cln12WeekAdmin_R2</t>
  </si>
  <si>
    <t>tlOutputLOB2Cln12WeekOT_R2</t>
  </si>
  <si>
    <t>Clinician 12 Dicipline</t>
  </si>
  <si>
    <t>decLOB1Cln12Dis_R1</t>
  </si>
  <si>
    <t>decLOB1Cln12Dis_R2</t>
  </si>
  <si>
    <t>Clinician 12 Status</t>
  </si>
  <si>
    <t>decLOB1Cln12Status_R1</t>
  </si>
  <si>
    <t>decLOB1Cln12Status_R2</t>
  </si>
  <si>
    <t>decLOB2Cln12Dis_R1</t>
  </si>
  <si>
    <t>decLOB2Cln12Dis_R2</t>
  </si>
  <si>
    <t>decLOB2Cln12Status_R1</t>
  </si>
  <si>
    <t>decLOB2Cln12Status_R2</t>
  </si>
  <si>
    <t>calcLOB1Clinician12LookupValue</t>
  </si>
  <si>
    <t>calcLOB2Clinician11LookupValue</t>
  </si>
  <si>
    <t>calcLOB2Clinician12LookupValue</t>
  </si>
  <si>
    <t>CC1 - Referrals Satisfaction</t>
  </si>
  <si>
    <t>CC1 - BD Engagement</t>
  </si>
  <si>
    <t>CC1 - Employee Engagment</t>
  </si>
  <si>
    <t>CC1 - Stars</t>
  </si>
  <si>
    <t>High</t>
  </si>
  <si>
    <t>Med</t>
  </si>
  <si>
    <t>Low</t>
  </si>
  <si>
    <t>Impact</t>
  </si>
  <si>
    <t>Very Low</t>
  </si>
  <si>
    <t>Very High</t>
  </si>
  <si>
    <t>Use Your Rehab Resources</t>
  </si>
  <si>
    <t>Use Your Clinical Resources</t>
  </si>
  <si>
    <t>Participate in the BD Process</t>
  </si>
  <si>
    <t>Build Top Referral Source Relationships</t>
  </si>
  <si>
    <t>Manage PTO</t>
  </si>
  <si>
    <t>Celebrate Special Occasions</t>
  </si>
  <si>
    <t>Clincian of the Month</t>
  </si>
  <si>
    <t>Read Patient Letter</t>
  </si>
  <si>
    <t>Team Building Day Out</t>
  </si>
  <si>
    <t>Ride Along Visits</t>
  </si>
  <si>
    <t>Go on Clinical Visits</t>
  </si>
  <si>
    <t>Support the CM for PCC Meeting</t>
  </si>
  <si>
    <t>Param Num</t>
  </si>
  <si>
    <t>Param Name</t>
  </si>
  <si>
    <t>R1 Impact</t>
  </si>
  <si>
    <t>R2 Impact</t>
  </si>
  <si>
    <t>calcLOB2DOOBaseTime1</t>
  </si>
  <si>
    <t>calcLOB2DOOBaseTime2</t>
  </si>
  <si>
    <t>calcLOB2DOOBaseTime3</t>
  </si>
  <si>
    <t>calcLOB2DOOBaseTime4</t>
  </si>
  <si>
    <t>calcLOB2DOOBaseTime5</t>
  </si>
  <si>
    <t>calcLOB2DOOBaseTime6</t>
  </si>
  <si>
    <t>calcLOB2DOOTotalBaseTime</t>
  </si>
  <si>
    <t>calcLOB1DOOBaseTime1</t>
  </si>
  <si>
    <t>calcLOB1DOOBaseTime2</t>
  </si>
  <si>
    <t>calcLOB1DOOBaseTime3</t>
  </si>
  <si>
    <t>calcLOB1DOOBaseTime4</t>
  </si>
  <si>
    <t>calcLOB1DOOBaseTime5</t>
  </si>
  <si>
    <t>calcLOB1DOOBaseTime6</t>
  </si>
  <si>
    <t>calcLOB1DOOTotalBaseTime</t>
  </si>
  <si>
    <t>calcLOB1DOOActionTime1</t>
  </si>
  <si>
    <t>calcLOB1DOOActionTime2</t>
  </si>
  <si>
    <t>calcLOB1DOOActionTime3</t>
  </si>
  <si>
    <t>calcLOB1DOOActionTime4</t>
  </si>
  <si>
    <t>calcLOB1DOOActionTime5</t>
  </si>
  <si>
    <t>calcLOB1DOOActionTime6</t>
  </si>
  <si>
    <t>calcLOB1DOOTotalActionTime</t>
  </si>
  <si>
    <t>DOO Action Utilization</t>
  </si>
  <si>
    <t>DOO Base Utilization</t>
  </si>
  <si>
    <t>DOO Plan Utilization</t>
  </si>
  <si>
    <t>calcLOB1DOOPlanTime1</t>
  </si>
  <si>
    <t>calcLOB1DOOPlanTime2</t>
  </si>
  <si>
    <t>calcLOB1DOOPlanTime3</t>
  </si>
  <si>
    <t>calcLOB1DOOPlanTime4</t>
  </si>
  <si>
    <t>calcLOB1DOOPlanTime5</t>
  </si>
  <si>
    <t>calcLOB1DOOPlanTime6</t>
  </si>
  <si>
    <t>calcLOB1DOOTotalPlanTime</t>
  </si>
  <si>
    <t>Referrals Satisfaction</t>
  </si>
  <si>
    <t>Opening</t>
  </si>
  <si>
    <t>DOO Actions</t>
  </si>
  <si>
    <t>Closing</t>
  </si>
  <si>
    <t>calcLOB1CSAT</t>
  </si>
  <si>
    <t>calcLOB1ESAT</t>
  </si>
  <si>
    <t>BD Engagement</t>
  </si>
  <si>
    <t>obalLOB1BDEngage</t>
  </si>
  <si>
    <t>cbalLOB1BDEngage</t>
  </si>
  <si>
    <t>calcLOB1BDEngage</t>
  </si>
  <si>
    <t>calcLOB1Stars</t>
  </si>
  <si>
    <t>obalLOB1RevGrowth</t>
  </si>
  <si>
    <t>cbalLOB1RevGrowth</t>
  </si>
  <si>
    <t>Staff Avg Missed Visits</t>
  </si>
  <si>
    <t>obalLOB1AvgMissClinician1</t>
  </si>
  <si>
    <t>obalLOB1AvgMissClinician2</t>
  </si>
  <si>
    <t>obalLOB1AvgMissClinician3</t>
  </si>
  <si>
    <t>obalLOB1AvgMissClinician4</t>
  </si>
  <si>
    <t>obalLOB1AvgMissClinician5</t>
  </si>
  <si>
    <t>obalLOB1AvgMissClinician6</t>
  </si>
  <si>
    <t>obalLOB1AvgMissClinician7</t>
  </si>
  <si>
    <t>obalLOB1AvgMissClinician8</t>
  </si>
  <si>
    <t>obalLOB1AvgMissClinician9</t>
  </si>
  <si>
    <t>obalLOB1AvgMissClinician10</t>
  </si>
  <si>
    <t>obalLOB1AvgMissClinician11</t>
  </si>
  <si>
    <t>obalLOB1AvgMissClinician12</t>
  </si>
  <si>
    <t>cbalLOB1AvgMissClinician1</t>
  </si>
  <si>
    <t>cbalLOB1AvgMissClinician2</t>
  </si>
  <si>
    <t>cbalLOB1AvgMissClinician3</t>
  </si>
  <si>
    <t>cbalLOB1AvgMissClinician4</t>
  </si>
  <si>
    <t>cbalLOB1AvgMissClinician5</t>
  </si>
  <si>
    <t>cbalLOB1AvgMissClinician6</t>
  </si>
  <si>
    <t>cbalLOB1AvgMissClinician7</t>
  </si>
  <si>
    <t>cbalLOB1AvgMissClinician8</t>
  </si>
  <si>
    <t>cbalLOB1AvgMissClinician9</t>
  </si>
  <si>
    <t>cbalLOB1AvgMissClinician10</t>
  </si>
  <si>
    <t>cbalLOB1AvgMissClinician11</t>
  </si>
  <si>
    <t>cbalLOB1AvgMissClinician12</t>
  </si>
  <si>
    <t>paramLOB1DOOTime1</t>
  </si>
  <si>
    <t>paramLOB1DOOTime2</t>
  </si>
  <si>
    <t>paramLOB1DOOTime3</t>
  </si>
  <si>
    <t>paramLOB1DOOTime4</t>
  </si>
  <si>
    <t>paramLOB1DOOTime5</t>
  </si>
  <si>
    <t>paramLOB1DOOTime6</t>
  </si>
  <si>
    <t>paramLOB1ReferralVolume</t>
  </si>
  <si>
    <t>paramLOB1ReferralSatisfaction</t>
  </si>
  <si>
    <t>paramLOB1BDEngagement</t>
  </si>
  <si>
    <t>paramLOB1EmployeeEngagement</t>
  </si>
  <si>
    <t>paramLOB1BDProductivity</t>
  </si>
  <si>
    <t>paramLOB1EmployeeProductivity</t>
  </si>
  <si>
    <t>paramLOB1ClnAdminTime</t>
  </si>
  <si>
    <t>paramLOB1Meetings</t>
  </si>
  <si>
    <t>paramLOB1Stars</t>
  </si>
  <si>
    <t>paramLOB1Disc1Meetings</t>
  </si>
  <si>
    <t>paramLOB1Disc2Meetings</t>
  </si>
  <si>
    <t>paramLOB1Disc3Meetings</t>
  </si>
  <si>
    <t>paramLOB1Disc4Meetings</t>
  </si>
  <si>
    <t>paramLOB1Disc1Missed</t>
  </si>
  <si>
    <t>paramLOB1Disc2Missed</t>
  </si>
  <si>
    <t>paramLOB1Disc3Missed</t>
  </si>
  <si>
    <t>paramLOB1Disc4Missed</t>
  </si>
  <si>
    <t>paramLOB1DOOProductivity</t>
  </si>
  <si>
    <t>paramLOB1Clinician1Meetings</t>
  </si>
  <si>
    <t>paramLOB1Clinician2Meetings</t>
  </si>
  <si>
    <t>paramLOB1Clinician3Meetings</t>
  </si>
  <si>
    <t>paramLOB1Clinician4Meetings</t>
  </si>
  <si>
    <t>paramLOB1Clinician5Meetings</t>
  </si>
  <si>
    <t>paramLOB1Clinician6Meetings</t>
  </si>
  <si>
    <t>paramLOB1Clinician7Meetings</t>
  </si>
  <si>
    <t>paramLOB1Clinician8Meetings</t>
  </si>
  <si>
    <t>paramLOB1Clinician9Meetings</t>
  </si>
  <si>
    <t>paramLOB1Clinician10Meetings</t>
  </si>
  <si>
    <t>paramLOB1Clinician11Meetings</t>
  </si>
  <si>
    <t>paramLOB1Clinician12Meetings</t>
  </si>
  <si>
    <t>paramLOB1Clinician1Missed</t>
  </si>
  <si>
    <t>paramLOB1Clinician2Missed</t>
  </si>
  <si>
    <t>paramLOB1Clinician3Missed</t>
  </si>
  <si>
    <t>paramLOB1Clinician4Missed</t>
  </si>
  <si>
    <t>paramLOB1Clinician5Missed</t>
  </si>
  <si>
    <t>paramLOB1Clinician6Missed</t>
  </si>
  <si>
    <t>paramLOB1Clinician7Missed</t>
  </si>
  <si>
    <t>paramLOB1Clinician8Missed</t>
  </si>
  <si>
    <t>paramLOB1Clinician9Missed</t>
  </si>
  <si>
    <t>paramLOB1Clinician10Missed</t>
  </si>
  <si>
    <t>paramLOB1Clinician11Missed</t>
  </si>
  <si>
    <t>paramLOB1Clinician12Missed</t>
  </si>
  <si>
    <t>decLOB1Cln1Text_R1</t>
  </si>
  <si>
    <t>decLOB1Cln1Text_R2</t>
  </si>
  <si>
    <t>decLOB1Cln2Text_R1</t>
  </si>
  <si>
    <t>decLOB1Cln2Text_R2</t>
  </si>
  <si>
    <t>decLOB1Cln3Text_R1</t>
  </si>
  <si>
    <t>decLOB1Cln3Text_R2</t>
  </si>
  <si>
    <t>decLOB1Cln4Text_R1</t>
  </si>
  <si>
    <t>decLOB1Cln4Text_R2</t>
  </si>
  <si>
    <t>decLOB1Cln5Text_R1</t>
  </si>
  <si>
    <t>decLOB1Cln5Text_R2</t>
  </si>
  <si>
    <t>decLOB1Cln6Text_R1</t>
  </si>
  <si>
    <t>decLOB1Cln6Text_R2</t>
  </si>
  <si>
    <t>decLOB1Cln7Text_R1</t>
  </si>
  <si>
    <t>decLOB1Cln7Text_R2</t>
  </si>
  <si>
    <t>decLOB1Cln8Text_R1</t>
  </si>
  <si>
    <t>decLOB1Cln8Text_R2</t>
  </si>
  <si>
    <t>decLOB1Cln9Text_R1</t>
  </si>
  <si>
    <t>decLOB1Cln9Text_R2</t>
  </si>
  <si>
    <t>decLOB1Cln10Text_R1</t>
  </si>
  <si>
    <t>decLOB1Cln10Text_R2</t>
  </si>
  <si>
    <t>decLOB2Cln1Text_R1</t>
  </si>
  <si>
    <t>decLOB2Cln1Text_R2</t>
  </si>
  <si>
    <t>decLOB2Cln2Text_R1</t>
  </si>
  <si>
    <t>decLOB2Cln2Text_R2</t>
  </si>
  <si>
    <t>decLOB2Cln3Text_R1</t>
  </si>
  <si>
    <t>decLOB2Cln3Text_R2</t>
  </si>
  <si>
    <t>decLOB2Cln4Text_R1</t>
  </si>
  <si>
    <t>decLOB2Cln4Text_R2</t>
  </si>
  <si>
    <t>decLOB2Cln5Text_R1</t>
  </si>
  <si>
    <t>decLOB2Cln5Text_R2</t>
  </si>
  <si>
    <t>decLOB2Cln6Text_R1</t>
  </si>
  <si>
    <t>decLOB2Cln6Text_R2</t>
  </si>
  <si>
    <t>decLOB2Cln7Text_R1</t>
  </si>
  <si>
    <t>decLOB2Cln7Text_R2</t>
  </si>
  <si>
    <t>decLOB2Cln8Text_R1</t>
  </si>
  <si>
    <t>decLOB2Cln8Text_R2</t>
  </si>
  <si>
    <t>decLOB2Cln9Text_R1</t>
  </si>
  <si>
    <t>decLOB2Cln9Text_R2</t>
  </si>
  <si>
    <t>decLOB2Cln10Text_R1</t>
  </si>
  <si>
    <t>decLOB2Cln10Text_R2</t>
  </si>
  <si>
    <t>tlInputLOB1Cln1Text_R1</t>
  </si>
  <si>
    <t>tlInputLOB1Cln2Text_R1</t>
  </si>
  <si>
    <t>tlInputLOB1Cln3Text_R1</t>
  </si>
  <si>
    <t>tlInputLOB1Cln4Text_R1</t>
  </si>
  <si>
    <t>tlInputLOB1Cln5Text_R1</t>
  </si>
  <si>
    <t>tlInputLOB1Cln6Text_R1</t>
  </si>
  <si>
    <t>tlInputLOB1Cln7Text_R1</t>
  </si>
  <si>
    <t>tlInputLOB1Cln8Text_R1</t>
  </si>
  <si>
    <t>tlInputLOB1Cln9Text_R1</t>
  </si>
  <si>
    <t>tlInputLOB1Cln10Text_R1</t>
  </si>
  <si>
    <t>tlInputLOB1Cln1Text_R2</t>
  </si>
  <si>
    <t>tlInputLOB1Cln2Text_R2</t>
  </si>
  <si>
    <t>tlInputLOB1Cln3Text_R2</t>
  </si>
  <si>
    <t>tlInputLOB1Cln4Text_R2</t>
  </si>
  <si>
    <t>tlInputLOB1Cln5Text_R2</t>
  </si>
  <si>
    <t>tlInputLOB1Cln6Text_R2</t>
  </si>
  <si>
    <t>tlInputLOB1Cln7Text_R2</t>
  </si>
  <si>
    <t>tlInputLOB1Cln8Text_R2</t>
  </si>
  <si>
    <t>tlInputLOB1Cln9Text_R2</t>
  </si>
  <si>
    <t>tlInputLOB1Cln10Text_R2</t>
  </si>
  <si>
    <t>tlInputLOB2Cln1Text_R1</t>
  </si>
  <si>
    <t>tlInputLOB2Cln2Text_R1</t>
  </si>
  <si>
    <t>tlInputLOB2Cln3Text_R1</t>
  </si>
  <si>
    <t>tlInputLOB2Cln4Text_R1</t>
  </si>
  <si>
    <t>tlInputLOB2Cln5Text_R1</t>
  </si>
  <si>
    <t>tlInputLOB2Cln6Text_R1</t>
  </si>
  <si>
    <t>tlInputLOB2Cln7Text_R1</t>
  </si>
  <si>
    <t>tlInputLOB2Cln8Text_R1</t>
  </si>
  <si>
    <t>tlInputLOB2Cln9Text_R1</t>
  </si>
  <si>
    <t>tlInputLOB2Cln10Text_R1</t>
  </si>
  <si>
    <t>tlInputLOB2Cln1Text_R2</t>
  </si>
  <si>
    <t>tlInputLOB2Cln2Text_R2</t>
  </si>
  <si>
    <t>tlInputLOB2Cln3Text_R2</t>
  </si>
  <si>
    <t>tlInputLOB2Cln4Text_R2</t>
  </si>
  <si>
    <t>tlInputLOB2Cln5Text_R2</t>
  </si>
  <si>
    <t>tlInputLOB2Cln6Text_R2</t>
  </si>
  <si>
    <t>tlInputLOB2Cln7Text_R2</t>
  </si>
  <si>
    <t>tlInputLOB2Cln8Text_R2</t>
  </si>
  <si>
    <t>tlInputLOB2Cln9Text_R2</t>
  </si>
  <si>
    <t>tlInputLOB2Cln10Text_R2</t>
  </si>
  <si>
    <t>LOB1-1</t>
  </si>
  <si>
    <t>LOB1 - Non-Discretionary Time</t>
  </si>
  <si>
    <t>LOB1-2</t>
  </si>
  <si>
    <t>LOB1 - Recruitment Time</t>
  </si>
  <si>
    <t>LOB1-3</t>
  </si>
  <si>
    <t>LOB1 - People Development Time</t>
  </si>
  <si>
    <t>LOB1-4</t>
  </si>
  <si>
    <t>LOB1 - Operations Time</t>
  </si>
  <si>
    <t>LOB1-5</t>
  </si>
  <si>
    <t>LOB1 - Clinical Time</t>
  </si>
  <si>
    <t>LOB1-6</t>
  </si>
  <si>
    <t>LOB1 - Referrals Time</t>
  </si>
  <si>
    <t>LOB1-7</t>
  </si>
  <si>
    <t>LOB1 - Referrals Volume</t>
  </si>
  <si>
    <t>LOB1-8</t>
  </si>
  <si>
    <t>LOB1 - Referrals Satisfaction</t>
  </si>
  <si>
    <t>LOB1-9</t>
  </si>
  <si>
    <t>LOB1 - BD Engagement</t>
  </si>
  <si>
    <t>LOB1-10</t>
  </si>
  <si>
    <t>LOB1 - Employee Engagment</t>
  </si>
  <si>
    <t>LOB1-11</t>
  </si>
  <si>
    <t>LOB1 - BD Productivity</t>
  </si>
  <si>
    <t>LOB1-12</t>
  </si>
  <si>
    <t>LOB1 - Employee Productivity</t>
  </si>
  <si>
    <t>LOB1-13</t>
  </si>
  <si>
    <t>LOB1 - Clinician Admin Time</t>
  </si>
  <si>
    <t>LOB1-14</t>
  </si>
  <si>
    <t>LOB1 - Clinician Meetings</t>
  </si>
  <si>
    <t>LOB1-15</t>
  </si>
  <si>
    <t>LOB1-16</t>
  </si>
  <si>
    <t>LOB1-17</t>
  </si>
  <si>
    <t>LOB1-18</t>
  </si>
  <si>
    <t>LOB1-19</t>
  </si>
  <si>
    <t>LOB1-20</t>
  </si>
  <si>
    <t>LOB1-21</t>
  </si>
  <si>
    <t>LOB1-22</t>
  </si>
  <si>
    <t>LOB1-23</t>
  </si>
  <si>
    <t>LOB1-24</t>
  </si>
  <si>
    <t>LOB1 - DOO Productivity</t>
  </si>
  <si>
    <t>LOB1-Clinician 1 Meetings</t>
  </si>
  <si>
    <t>LOB1-Clinician 2 Meetings</t>
  </si>
  <si>
    <t>LOB1-Clinician 3 Meetings</t>
  </si>
  <si>
    <t>LOB1-Clinician 4 Meetings</t>
  </si>
  <si>
    <t>LOB1-Clinician 5 Meetings</t>
  </si>
  <si>
    <t>LOB1-Clinician 6 Meetings</t>
  </si>
  <si>
    <t>LOB1-Clinician 7 Meetings</t>
  </si>
  <si>
    <t>LOB1-Clinician 8 Meetings</t>
  </si>
  <si>
    <t>LOB1-Clinician 9 Meetings</t>
  </si>
  <si>
    <t>LOB1-Clinician 10 Meetings</t>
  </si>
  <si>
    <t>LOB1-Clinician 11 Meetings</t>
  </si>
  <si>
    <t>LOB1-Clinician 12 Meetings</t>
  </si>
  <si>
    <t>LOB1-Clinician 1 Missed</t>
  </si>
  <si>
    <t>LOB1-Clinician 2 Missed</t>
  </si>
  <si>
    <t>LOB1-Clinician 3 Missed</t>
  </si>
  <si>
    <t>LOB1-Clinician 4 Missed</t>
  </si>
  <si>
    <t>LOB1-Clinician 5 Missed</t>
  </si>
  <si>
    <t>LOB1-Clinician 6 Missed</t>
  </si>
  <si>
    <t>LOB1-Clinician 7 Missed</t>
  </si>
  <si>
    <t>LOB1-Clinician 8 Missed</t>
  </si>
  <si>
    <t>LOB1-Clinician 9 Missed</t>
  </si>
  <si>
    <t>LOB1-Clinician 10 Missed</t>
  </si>
  <si>
    <t>LOB1-Clinician 11 Missed</t>
  </si>
  <si>
    <t>LOB1-Clinician 12 Missed</t>
  </si>
  <si>
    <t>LOB2-1</t>
  </si>
  <si>
    <t>LOB2 - Non-Discretionary Time</t>
  </si>
  <si>
    <t>paramLOB2DOOTime1</t>
  </si>
  <si>
    <t>LOB2-2</t>
  </si>
  <si>
    <t>LOB2 - Recruitment Time</t>
  </si>
  <si>
    <t>paramLOB2DOOTime2</t>
  </si>
  <si>
    <t>LOB2-3</t>
  </si>
  <si>
    <t>LOB2 - People Development Time</t>
  </si>
  <si>
    <t>paramLOB2DOOTime3</t>
  </si>
  <si>
    <t>LOB2-4</t>
  </si>
  <si>
    <t>LOB2 - Operations Time</t>
  </si>
  <si>
    <t>paramLOB2DOOTime4</t>
  </si>
  <si>
    <t>LOB2-5</t>
  </si>
  <si>
    <t>LOB2 - Clinical Time</t>
  </si>
  <si>
    <t>paramLOB2DOOTime5</t>
  </si>
  <si>
    <t>LOB2-6</t>
  </si>
  <si>
    <t>LOB2 - Referrals Time</t>
  </si>
  <si>
    <t>paramLOB2DOOTime6</t>
  </si>
  <si>
    <t>LOB2-7</t>
  </si>
  <si>
    <t>LOB2 - Referrals Volume</t>
  </si>
  <si>
    <t>paramLOB2ReferralVolume</t>
  </si>
  <si>
    <t>LOB2-8</t>
  </si>
  <si>
    <t>LOB2 - Referrals Satisfaction</t>
  </si>
  <si>
    <t>paramLOB2ReferralSatisfaction</t>
  </si>
  <si>
    <t>LOB2-9</t>
  </si>
  <si>
    <t>LOB2 - BD Engagement</t>
  </si>
  <si>
    <t>paramLOB2BDEngagement</t>
  </si>
  <si>
    <t>LOB2-10</t>
  </si>
  <si>
    <t>LOB2 - Employee Engagment</t>
  </si>
  <si>
    <t>paramLOB2EmployeeEngagement</t>
  </si>
  <si>
    <t>LOB2-11</t>
  </si>
  <si>
    <t>LOB2 - BD Productivity</t>
  </si>
  <si>
    <t>paramLOB2BDProductivity</t>
  </si>
  <si>
    <t>LOB2-12</t>
  </si>
  <si>
    <t>LOB2 - Employee Productivity</t>
  </si>
  <si>
    <t>paramLOB2EmployeeProductivity</t>
  </si>
  <si>
    <t>LOB2-13</t>
  </si>
  <si>
    <t>LOB2 - Clinician Admin Time</t>
  </si>
  <si>
    <t>paramLOB2ClnAdminTime</t>
  </si>
  <si>
    <t>LOB2-14</t>
  </si>
  <si>
    <t>LOB2 - Clinician Meetings</t>
  </si>
  <si>
    <t>paramLOB2Meetings</t>
  </si>
  <si>
    <t>LOB2-15</t>
  </si>
  <si>
    <t>paramLOB2Stars</t>
  </si>
  <si>
    <t>LOB2-16</t>
  </si>
  <si>
    <t>paramLOB2Disc1Meetings</t>
  </si>
  <si>
    <t>LOB2-17</t>
  </si>
  <si>
    <t>paramLOB2Disc2Meetings</t>
  </si>
  <si>
    <t>LOB2-18</t>
  </si>
  <si>
    <t>paramLOB2Disc3Meetings</t>
  </si>
  <si>
    <t>LOB2-19</t>
  </si>
  <si>
    <t>paramLOB2Disc4Meetings</t>
  </si>
  <si>
    <t>LOB2-20</t>
  </si>
  <si>
    <t>paramLOB2Disc1Missed</t>
  </si>
  <si>
    <t>LOB2-21</t>
  </si>
  <si>
    <t>paramLOB2Disc2Missed</t>
  </si>
  <si>
    <t>LOB2-22</t>
  </si>
  <si>
    <t>paramLOB2Disc3Missed</t>
  </si>
  <si>
    <t>LOB2-23</t>
  </si>
  <si>
    <t>paramLOB2Disc4Missed</t>
  </si>
  <si>
    <t>LOB2-24</t>
  </si>
  <si>
    <t>LOB2 - DOO Productivity</t>
  </si>
  <si>
    <t>paramLOB2DOOProductivity</t>
  </si>
  <si>
    <t>LOB2-Clinician 1 Meetings</t>
  </si>
  <si>
    <t>paramLOB2Clinician1Meetings</t>
  </si>
  <si>
    <t>LOB2-Clinician 2 Meetings</t>
  </si>
  <si>
    <t>paramLOB2Clinician2Meetings</t>
  </si>
  <si>
    <t>LOB2-Clinician 3 Meetings</t>
  </si>
  <si>
    <t>paramLOB2Clinician3Meetings</t>
  </si>
  <si>
    <t>LOB2-Clinician 4 Meetings</t>
  </si>
  <si>
    <t>paramLOB2Clinician4Meetings</t>
  </si>
  <si>
    <t>LOB2-Clinician 5 Meetings</t>
  </si>
  <si>
    <t>paramLOB2Clinician5Meetings</t>
  </si>
  <si>
    <t>LOB2-Clinician 6 Meetings</t>
  </si>
  <si>
    <t>paramLOB2Clinician6Meetings</t>
  </si>
  <si>
    <t>LOB2-Clinician 7 Meetings</t>
  </si>
  <si>
    <t>paramLOB2Clinician7Meetings</t>
  </si>
  <si>
    <t>LOB2-Clinician 8 Meetings</t>
  </si>
  <si>
    <t>paramLOB2Clinician8Meetings</t>
  </si>
  <si>
    <t>LOB2-Clinician 9 Meetings</t>
  </si>
  <si>
    <t>paramLOB2Clinician9Meetings</t>
  </si>
  <si>
    <t>LOB2-Clinician 10 Meetings</t>
  </si>
  <si>
    <t>paramLOB2Clinician10Meetings</t>
  </si>
  <si>
    <t>LOB2-Clinician 11 Meetings</t>
  </si>
  <si>
    <t>paramLOB2Clinician11Meetings</t>
  </si>
  <si>
    <t>LOB2-Clinician 12 Meetings</t>
  </si>
  <si>
    <t>paramLOB2Clinician12Meetings</t>
  </si>
  <si>
    <t>LOB2-Clinician 1 Missed</t>
  </si>
  <si>
    <t>paramLOB2Clinician1Missed</t>
  </si>
  <si>
    <t>LOB2-Clinician 2 Missed</t>
  </si>
  <si>
    <t>paramLOB2Clinician2Missed</t>
  </si>
  <si>
    <t>LOB2-Clinician 3 Missed</t>
  </si>
  <si>
    <t>paramLOB2Clinician3Missed</t>
  </si>
  <si>
    <t>LOB2-Clinician 4 Missed</t>
  </si>
  <si>
    <t>paramLOB2Clinician4Missed</t>
  </si>
  <si>
    <t>LOB2-Clinician 5 Missed</t>
  </si>
  <si>
    <t>paramLOB2Clinician5Missed</t>
  </si>
  <si>
    <t>LOB2-Clinician 6 Missed</t>
  </si>
  <si>
    <t>paramLOB2Clinician6Missed</t>
  </si>
  <si>
    <t>LOB2-Clinician 7 Missed</t>
  </si>
  <si>
    <t>paramLOB2Clinician7Missed</t>
  </si>
  <si>
    <t>LOB2-Clinician 8 Missed</t>
  </si>
  <si>
    <t>paramLOB2Clinician8Missed</t>
  </si>
  <si>
    <t>LOB2-Clinician 9 Missed</t>
  </si>
  <si>
    <t>paramLOB2Clinician9Missed</t>
  </si>
  <si>
    <t>LOB2-Clinician 10 Missed</t>
  </si>
  <si>
    <t>paramLOB2Clinician10Missed</t>
  </si>
  <si>
    <t>LOB2-Clinician 11 Missed</t>
  </si>
  <si>
    <t>paramLOB2Clinician11Missed</t>
  </si>
  <si>
    <t>LOB2-Clinician 12 Missed</t>
  </si>
  <si>
    <t>paramLOB2Clinician12Missed</t>
  </si>
  <si>
    <t>obalLOB2RevGrowth</t>
  </si>
  <si>
    <t>cbalLOB2RevGrowth</t>
  </si>
  <si>
    <t>cbalLOB2BDEngage</t>
  </si>
  <si>
    <t>obalLOB2BDEngage</t>
  </si>
  <si>
    <t>calcLOB2DOOActionTime1</t>
  </si>
  <si>
    <t>calcLOB2DOOActionTime2</t>
  </si>
  <si>
    <t>calcLOB2DOOActionTime3</t>
  </si>
  <si>
    <t>calcLOB2DOOActionTime4</t>
  </si>
  <si>
    <t>calcLOB2DOOActionTime5</t>
  </si>
  <si>
    <t>calcLOB2DOOActionTime6</t>
  </si>
  <si>
    <t>calcLOB2DOOTotalActionTime</t>
  </si>
  <si>
    <t>calcLOB2DOOPlanTime1</t>
  </si>
  <si>
    <t>calcLOB2DOOPlanTime2</t>
  </si>
  <si>
    <t>calcLOB2DOOPlanTime3</t>
  </si>
  <si>
    <t>calcLOB2DOOPlanTime4</t>
  </si>
  <si>
    <t>calcLOB2DOOPlanTime5</t>
  </si>
  <si>
    <t>calcLOB2DOOPlanTime6</t>
  </si>
  <si>
    <t>calcLOB2DOOTotalPlanTime</t>
  </si>
  <si>
    <t>calcLOB2CSAT</t>
  </si>
  <si>
    <t>calcLOB2ESAT</t>
  </si>
  <si>
    <t>calcLOB2BDEngage</t>
  </si>
  <si>
    <t>calcLOB2Stars</t>
  </si>
  <si>
    <t>obalRev</t>
  </si>
  <si>
    <t>obalRevGrowth</t>
  </si>
  <si>
    <t>cbalRev</t>
  </si>
  <si>
    <t>cbalRevGrowth</t>
  </si>
  <si>
    <t>cbalStars</t>
  </si>
  <si>
    <t>obalStars</t>
  </si>
  <si>
    <t>Referral Engagment</t>
  </si>
  <si>
    <t>cbalESAT</t>
  </si>
  <si>
    <t>cbalCSAT</t>
  </si>
  <si>
    <t>obalESAT</t>
  </si>
  <si>
    <t>obalCSAT</t>
  </si>
  <si>
    <t>Clinician Overtime</t>
  </si>
  <si>
    <t>calcLOB1ClinicianOverTime</t>
  </si>
  <si>
    <t>calcLOB1ClinicianGrossProd</t>
  </si>
  <si>
    <t>Total Weekly Production</t>
  </si>
  <si>
    <t>Total Weekly Overtime</t>
  </si>
  <si>
    <t>Total Weekly Missed Visits</t>
  </si>
  <si>
    <t>calcLOB1ClinicianMissVisits</t>
  </si>
  <si>
    <t>Overtime Percentage</t>
  </si>
  <si>
    <t>calcLOB1ClinicianOverTimePerc</t>
  </si>
  <si>
    <t>Missed Visits Percentage</t>
  </si>
  <si>
    <t>calcLOB1ClinicianMissVisitsPerc</t>
  </si>
  <si>
    <t>calcLOB2ClinicianGrossProd</t>
  </si>
  <si>
    <t>calcLOB2ClinicianMissVisits</t>
  </si>
  <si>
    <t>calcLOB2ClinicianMissVisitsPerc</t>
  </si>
  <si>
    <t>calcLOB2ClinicianOverTime</t>
  </si>
  <si>
    <t>calcLOB2ClinicianOverTimePerc</t>
  </si>
  <si>
    <t>tlInputLOB1Cln11Mtng_R1</t>
  </si>
  <si>
    <t>tlInputLOB1Cln11Text_R1</t>
  </si>
  <si>
    <t>tlInputLOB1Cln12Mtng_R1</t>
  </si>
  <si>
    <t>tlInputLOB1Cln12Text_R1</t>
  </si>
  <si>
    <t>tlInputLOB1Cln11Mtng_R2</t>
  </si>
  <si>
    <t>tlInputLOB1Cln11Text_R2</t>
  </si>
  <si>
    <t>tlInputLOB1Cln12Mtng_R2</t>
  </si>
  <si>
    <t>tlInputLOB1Cln12Text_R2</t>
  </si>
  <si>
    <t>tlInputLOB1Cln1WeekProdMod_R1</t>
  </si>
  <si>
    <t>tlInputLOB1Cln2WeekProdMod_R1</t>
  </si>
  <si>
    <t>tlInputLOB1Cln3WeekProdMod_R1</t>
  </si>
  <si>
    <t>tlInputLOB1Cln4WeekProdMod_R1</t>
  </si>
  <si>
    <t>tlInputLOB1Cln5WeekProdMod_R1</t>
  </si>
  <si>
    <t>tlInputLOB1Cln6WeekProdMod_R1</t>
  </si>
  <si>
    <t>tlInputLOB1Cln7WeekProdMod_R1</t>
  </si>
  <si>
    <t>tlInputLOB1Cln8WeekProdMod_R1</t>
  </si>
  <si>
    <t>tlInputLOB1Cln9WeekProdMod_R1</t>
  </si>
  <si>
    <t>tlInputLOB1Cln10WeekProdMod_R1</t>
  </si>
  <si>
    <t>tlInputLOB1Cln11WeekProdMod_R1</t>
  </si>
  <si>
    <t>tlInputLOB1Cln12WeekProdMod_R1</t>
  </si>
  <si>
    <t>tlInputLOB1Cln1WeekProdMod_R2</t>
  </si>
  <si>
    <t>tlInputLOB1Cln2WeekProdMod_R2</t>
  </si>
  <si>
    <t>tlInputLOB1Cln3WeekProdMod_R2</t>
  </si>
  <si>
    <t>tlInputLOB1Cln4WeekProdMod_R2</t>
  </si>
  <si>
    <t>tlInputLOB1Cln5WeekProdMod_R2</t>
  </si>
  <si>
    <t>tlInputLOB1Cln6WeekProdMod_R2</t>
  </si>
  <si>
    <t>tlInputLOB1Cln7WeekProdMod_R2</t>
  </si>
  <si>
    <t>tlInputLOB1Cln8WeekProdMod_R2</t>
  </si>
  <si>
    <t>tlInputLOB1Cln9WeekProdMod_R2</t>
  </si>
  <si>
    <t>tlInputLOB1Cln10WeekProdMod_R2</t>
  </si>
  <si>
    <t>tlInputLOB1Cln11WeekProdMod_R2</t>
  </si>
  <si>
    <t>tlInputLOB1Cln12WeekProdMod_R2</t>
  </si>
  <si>
    <t>Allocated Weekly Prod</t>
  </si>
  <si>
    <t>Not Shown</t>
  </si>
  <si>
    <t>up/down arrow</t>
  </si>
  <si>
    <t>tlInputLOB2Cln11Mtng_R1</t>
  </si>
  <si>
    <t>tlInputLOB2Cln12Mtng_R1</t>
  </si>
  <si>
    <t>tlInputLOB2Cln11Text_R1</t>
  </si>
  <si>
    <t>tlInputLOB2Cln12Text_R1</t>
  </si>
  <si>
    <t>tlInputLOB2Cln11Mtng_R2</t>
  </si>
  <si>
    <t>tlInputLOB2Cln11Text_R2</t>
  </si>
  <si>
    <t>tlInputLOB2Cln12Mtng_R2</t>
  </si>
  <si>
    <t>tlInputLOB2Cln12Text_R2</t>
  </si>
  <si>
    <t>tlInputLOB2Cln1WeekProdMod_R1</t>
  </si>
  <si>
    <t>tlInputLOB2Cln2WeekProdMod_R1</t>
  </si>
  <si>
    <t>tlInputLOB2Cln3WeekProdMod_R1</t>
  </si>
  <si>
    <t>tlInputLOB2Cln4WeekProdMod_R1</t>
  </si>
  <si>
    <t>tlInputLOB2Cln5WeekProdMod_R1</t>
  </si>
  <si>
    <t>tlInputLOB2Cln6WeekProdMod_R1</t>
  </si>
  <si>
    <t>tlInputLOB2Cln7WeekProdMod_R1</t>
  </si>
  <si>
    <t>tlInputLOB2Cln8WeekProdMod_R1</t>
  </si>
  <si>
    <t>tlInputLOB2Cln9WeekProdMod_R1</t>
  </si>
  <si>
    <t>tlInputLOB2Cln10WeekProdMod_R1</t>
  </si>
  <si>
    <t>tlInputLOB2Cln11WeekProdMod_R1</t>
  </si>
  <si>
    <t>tlInputLOB2Cln12WeekProdMod_R1</t>
  </si>
  <si>
    <t>tlInputLOB2Cln11WeekProdMod_R2</t>
  </si>
  <si>
    <t>tlInputLOB2Cln12WeekProdMod_R2</t>
  </si>
  <si>
    <t>tlOutputLOB2Cln1Dis_R2</t>
  </si>
  <si>
    <t>tlOutputLOB2Cln1Status_R2</t>
  </si>
  <si>
    <t>tlOutputLOB2Cln1Name_R2</t>
  </si>
  <si>
    <t>tlOutputLOB2Cln1PayMethod_R2</t>
  </si>
  <si>
    <t>tlOutputLOB2Cln1WeekProd_R2</t>
  </si>
  <si>
    <t>tlInputLOB2Cln1WeekProdMod_R2</t>
  </si>
  <si>
    <t>tlOutputLOB2Cln1WeekProdProj_R2</t>
  </si>
  <si>
    <t>tlOutputLOB2Cln1WeekMiss_R2</t>
  </si>
  <si>
    <t>tlOutputLOB2Cln1WeekMile_R2</t>
  </si>
  <si>
    <t>tlOutputLOB2Cln1WeekAdmin_R2</t>
  </si>
  <si>
    <t>tlOutputLOB2Cln2Dis_R2</t>
  </si>
  <si>
    <t>tlOutputLOB2Cln2Status_R2</t>
  </si>
  <si>
    <t>tlOutputLOB2Cln2Name_R2</t>
  </si>
  <si>
    <t>tlOutputLOB2Cln2PayMethod_R2</t>
  </si>
  <si>
    <t>tlOutputLOB2Cln2WeekProd_R2</t>
  </si>
  <si>
    <t>tlInputLOB2Cln2WeekProdMod_R2</t>
  </si>
  <si>
    <t>tlOutputLOB2Cln2WeekProdProj_R2</t>
  </si>
  <si>
    <t>tlOutputLOB2Cln2WeekMiss_R2</t>
  </si>
  <si>
    <t>tlOutputLOB2Cln2WeekMile_R2</t>
  </si>
  <si>
    <t>tlOutputLOB2Cln2WeekAdmin_R2</t>
  </si>
  <si>
    <t>tlOutputLOB2Cln3Dis_R2</t>
  </si>
  <si>
    <t>tlOutputLOB2Cln3Status_R2</t>
  </si>
  <si>
    <t>tlOutputLOB2Cln3Name_R2</t>
  </si>
  <si>
    <t>tlOutputLOB2Cln3PayMethod_R2</t>
  </si>
  <si>
    <t>tlOutputLOB2Cln3WeekProd_R2</t>
  </si>
  <si>
    <t>tlInputLOB2Cln3WeekProdMod_R2</t>
  </si>
  <si>
    <t>tlOutputLOB2Cln3WeekProdProj_R2</t>
  </si>
  <si>
    <t>tlOutputLOB2Cln3WeekMiss_R2</t>
  </si>
  <si>
    <t>tlOutputLOB2Cln3WeekMile_R2</t>
  </si>
  <si>
    <t>tlOutputLOB2Cln3WeekAdmin_R2</t>
  </si>
  <si>
    <t>tlOutputLOB2Cln4Dis_R2</t>
  </si>
  <si>
    <t>tlOutputLOB2Cln4Status_R2</t>
  </si>
  <si>
    <t>tlOutputLOB2Cln4Name_R2</t>
  </si>
  <si>
    <t>tlOutputLOB2Cln4PayMethod_R2</t>
  </si>
  <si>
    <t>tlOutputLOB2Cln4WeekProd_R2</t>
  </si>
  <si>
    <t>tlInputLOB2Cln4WeekProdMod_R2</t>
  </si>
  <si>
    <t>tlOutputLOB2Cln4WeekProdProj_R2</t>
  </si>
  <si>
    <t>tlOutputLOB2Cln4WeekMiss_R2</t>
  </si>
  <si>
    <t>tlOutputLOB2Cln4WeekMile_R2</t>
  </si>
  <si>
    <t>tlOutputLOB2Cln4WeekAdmin_R2</t>
  </si>
  <si>
    <t>tlOutputLOB2Cln5Dis_R2</t>
  </si>
  <si>
    <t>tlOutputLOB2Cln5Status_R2</t>
  </si>
  <si>
    <t>tlOutputLOB2Cln5Name_R2</t>
  </si>
  <si>
    <t>tlOutputLOB2Cln5PayMethod_R2</t>
  </si>
  <si>
    <t>tlOutputLOB2Cln5WeekProd_R2</t>
  </si>
  <si>
    <t>tlInputLOB2Cln5WeekProdMod_R2</t>
  </si>
  <si>
    <t>tlOutputLOB2Cln5WeekProdProj_R2</t>
  </si>
  <si>
    <t>tlOutputLOB2Cln5WeekMiss_R2</t>
  </si>
  <si>
    <t>tlOutputLOB2Cln5WeekMile_R2</t>
  </si>
  <si>
    <t>tlOutputLOB2Cln5WeekAdmin_R2</t>
  </si>
  <si>
    <t>tlOutputLOB2Cln6Dis_R2</t>
  </si>
  <si>
    <t>tlOutputLOB2Cln6Status_R2</t>
  </si>
  <si>
    <t>tlOutputLOB2Cln6Name_R2</t>
  </si>
  <si>
    <t>tlOutputLOB2Cln6PayMethod_R2</t>
  </si>
  <si>
    <t>tlOutputLOB2Cln6WeekProd_R2</t>
  </si>
  <si>
    <t>tlInputLOB2Cln6WeekProdMod_R2</t>
  </si>
  <si>
    <t>tlOutputLOB2Cln6WeekProdProj_R2</t>
  </si>
  <si>
    <t>tlOutputLOB2Cln6WeekMiss_R2</t>
  </si>
  <si>
    <t>tlOutputLOB2Cln6WeekMile_R2</t>
  </si>
  <si>
    <t>tlOutputLOB2Cln6WeekAdmin_R2</t>
  </si>
  <si>
    <t>tlOutputLOB2Cln7Dis_R2</t>
  </si>
  <si>
    <t>tlOutputLOB2Cln7Status_R2</t>
  </si>
  <si>
    <t>tlOutputLOB2Cln7Name_R2</t>
  </si>
  <si>
    <t>tlOutputLOB2Cln7PayMethod_R2</t>
  </si>
  <si>
    <t>tlOutputLOB2Cln7WeekProd_R2</t>
  </si>
  <si>
    <t>tlInputLOB2Cln7WeekProdMod_R2</t>
  </si>
  <si>
    <t>tlOutputLOB2Cln7WeekProdProj_R2</t>
  </si>
  <si>
    <t>tlOutputLOB2Cln7WeekMiss_R2</t>
  </si>
  <si>
    <t>tlOutputLOB2Cln7WeekMile_R2</t>
  </si>
  <si>
    <t>tlOutputLOB2Cln7WeekAdmin_R2</t>
  </si>
  <si>
    <t>tlOutputLOB2Cln8Dis_R2</t>
  </si>
  <si>
    <t>tlOutputLOB2Cln8Status_R2</t>
  </si>
  <si>
    <t>tlOutputLOB2Cln8Name_R2</t>
  </si>
  <si>
    <t>tlOutputLOB2Cln8PayMethod_R2</t>
  </si>
  <si>
    <t>tlOutputLOB2Cln8WeekProd_R2</t>
  </si>
  <si>
    <t>tlInputLOB2Cln8WeekProdMod_R2</t>
  </si>
  <si>
    <t>tlOutputLOB2Cln8WeekProdProj_R2</t>
  </si>
  <si>
    <t>tlOutputLOB2Cln8WeekMiss_R2</t>
  </si>
  <si>
    <t>tlOutputLOB2Cln8WeekMile_R2</t>
  </si>
  <si>
    <t>tlOutputLOB2Cln8WeekAdmin_R2</t>
  </si>
  <si>
    <t>tlOutputLOB2Cln9Dis_R2</t>
  </si>
  <si>
    <t>tlOutputLOB2Cln9Status_R2</t>
  </si>
  <si>
    <t>tlOutputLOB2Cln9Name_R2</t>
  </si>
  <si>
    <t>tlOutputLOB2Cln9PayMethod_R2</t>
  </si>
  <si>
    <t>tlOutputLOB2Cln9WeekProd_R2</t>
  </si>
  <si>
    <t>tlInputLOB2Cln9WeekProdMod_R2</t>
  </si>
  <si>
    <t>tlOutputLOB2Cln9WeekProdProj_R2</t>
  </si>
  <si>
    <t>tlOutputLOB2Cln9WeekMiss_R2</t>
  </si>
  <si>
    <t>tlOutputLOB2Cln9WeekMile_R2</t>
  </si>
  <si>
    <t>tlOutputLOB2Cln9WeekAdmin_R2</t>
  </si>
  <si>
    <t>tlOutputLOB2Cln10Dis_R2</t>
  </si>
  <si>
    <t>tlOutputLOB2Cln10Status_R2</t>
  </si>
  <si>
    <t>tlOutputLOB2Cln10Name_R2</t>
  </si>
  <si>
    <t>tlOutputLOB2Cln10PayMethod_R2</t>
  </si>
  <si>
    <t>tlOutputLOB2Cln10WeekProd_R2</t>
  </si>
  <si>
    <t>tlInputLOB2Cln10WeekProdMod_R2</t>
  </si>
  <si>
    <t>tlOutputLOB2Cln10WeekProdProj_R2</t>
  </si>
  <si>
    <t>tlOutputLOB2Cln10WeekMiss_R2</t>
  </si>
  <si>
    <t>tlOutputLOB2Cln10WeekMile_R2</t>
  </si>
  <si>
    <t>tlOutputLOB2Cln10WeekAdmin_R2</t>
  </si>
  <si>
    <t>decLOB1Cln11Mtng_R1</t>
  </si>
  <si>
    <t>decLOB1Cln11Mtng_R2</t>
  </si>
  <si>
    <t>decLOB1Cln12Mtng_R1</t>
  </si>
  <si>
    <t>decLOB1Cln12Mtng_R2</t>
  </si>
  <si>
    <t>decLOB1Cln11Text_R1</t>
  </si>
  <si>
    <t>decLOB1Cln11Text_R2</t>
  </si>
  <si>
    <t>decLOB1Cln12Text_R1</t>
  </si>
  <si>
    <t>decLOB1Cln12Text_R2</t>
  </si>
  <si>
    <t>decLOB2Cln11Mtng_R1</t>
  </si>
  <si>
    <t>decLOB2Cln11Mtng_R2</t>
  </si>
  <si>
    <t>decLOB2Cln12Mtng_R1</t>
  </si>
  <si>
    <t>decLOB2Cln12Mtng_R2</t>
  </si>
  <si>
    <t>decLOB2Cln11Text_R1</t>
  </si>
  <si>
    <t>decLOB2Cln11Text_R2</t>
  </si>
  <si>
    <t>decLOB2Cln12Text_R1</t>
  </si>
  <si>
    <t>decLOB2Cln12Text_R2</t>
  </si>
  <si>
    <t>decLOB1Cln1WeekProdMod_R1</t>
  </si>
  <si>
    <t>decLOB1Cln2WeekProdMod_R1</t>
  </si>
  <si>
    <t>decLOB1Cln3WeekProdMod_R1</t>
  </si>
  <si>
    <t>decLOB1Cln4WeekProdMod_R1</t>
  </si>
  <si>
    <t>decLOB1Cln5WeekProdMod_R1</t>
  </si>
  <si>
    <t>decLOB1Cln6WeekProdMod_R1</t>
  </si>
  <si>
    <t>decLOB1Cln7WeekProdMod_R1</t>
  </si>
  <si>
    <t>decLOB1Cln8WeekProdMod_R1</t>
  </si>
  <si>
    <t>decLOB1Cln9WeekProdMod_R1</t>
  </si>
  <si>
    <t>decLOB1Cln10WeekProdMod_R1</t>
  </si>
  <si>
    <t>decLOB1Cln11WeekProdMod_R1</t>
  </si>
  <si>
    <t>decLOB1Cln12WeekProdMod_R1</t>
  </si>
  <si>
    <t>decLOB1Cln1WeekProdMod_R2</t>
  </si>
  <si>
    <t>decLOB1Cln2WeekProdMod_R2</t>
  </si>
  <si>
    <t>decLOB1Cln3WeekProdMod_R2</t>
  </si>
  <si>
    <t>decLOB1Cln4WeekProdMod_R2</t>
  </si>
  <si>
    <t>decLOB1Cln5WeekProdMod_R2</t>
  </si>
  <si>
    <t>decLOB1Cln6WeekProdMod_R2</t>
  </si>
  <si>
    <t>decLOB1Cln7WeekProdMod_R2</t>
  </si>
  <si>
    <t>decLOB1Cln8WeekProdMod_R2</t>
  </si>
  <si>
    <t>decLOB1Cln9WeekProdMod_R2</t>
  </si>
  <si>
    <t>decLOB1Cln10WeekProdMod_R2</t>
  </si>
  <si>
    <t>decLOB1Cln11WeekProdMod_R2</t>
  </si>
  <si>
    <t>decLOB1Cln12WeekProdMod_R2</t>
  </si>
  <si>
    <t>decLOB2Cln1WeekProdMod_R1</t>
  </si>
  <si>
    <t>decLOB2Cln1WeekProdMod_R2</t>
  </si>
  <si>
    <t>decLOB2Cln2WeekProdMod_R1</t>
  </si>
  <si>
    <t>decLOB2Cln2WeekProdMod_R2</t>
  </si>
  <si>
    <t>decLOB2Cln3WeekProdMod_R1</t>
  </si>
  <si>
    <t>decLOB2Cln3WeekProdMod_R2</t>
  </si>
  <si>
    <t>decLOB2Cln4WeekProdMod_R1</t>
  </si>
  <si>
    <t>decLOB2Cln4WeekProdMod_R2</t>
  </si>
  <si>
    <t>decLOB2Cln5WeekProdMod_R1</t>
  </si>
  <si>
    <t>decLOB2Cln5WeekProdMod_R2</t>
  </si>
  <si>
    <t>decLOB2Cln6WeekProdMod_R1</t>
  </si>
  <si>
    <t>decLOB2Cln6WeekProdMod_R2</t>
  </si>
  <si>
    <t>decLOB2Cln7WeekProdMod_R1</t>
  </si>
  <si>
    <t>decLOB2Cln7WeekProdMod_R2</t>
  </si>
  <si>
    <t>decLOB2Cln8WeekProdMod_R1</t>
  </si>
  <si>
    <t>decLOB2Cln8WeekProdMod_R2</t>
  </si>
  <si>
    <t>decLOB2Cln9WeekProdMod_R1</t>
  </si>
  <si>
    <t>decLOB2Cln9WeekProdMod_R2</t>
  </si>
  <si>
    <t>decLOB2Cln10WeekProdMod_R1</t>
  </si>
  <si>
    <t>decLOB2Cln10WeekProdMod_R2</t>
  </si>
  <si>
    <t>decLOB2Cln11WeekProdMod_R1</t>
  </si>
  <si>
    <t>decLOB2Cln11WeekProdMod_R2</t>
  </si>
  <si>
    <t>decLOB2Cln12WeekProdMod_R1</t>
  </si>
  <si>
    <t>decLOB2Cln12WeekProdMod_R2</t>
  </si>
  <si>
    <t>Modification</t>
  </si>
  <si>
    <t>Allocated Production</t>
  </si>
  <si>
    <t>calcLOB2Clinician1Disc1Emp1AllocatedProd</t>
  </si>
  <si>
    <t>calcLOB2Clinician2Disc1Emp1AllocatedProd</t>
  </si>
  <si>
    <t>calcLOB2Clinician3Disc1Emp1AllocatedProd</t>
  </si>
  <si>
    <t>calcLOB2Clinician4Disc1Emp1AllocatedProd</t>
  </si>
  <si>
    <t>calcLOB2Clinician5Disc1Emp1AllocatedProd</t>
  </si>
  <si>
    <t>calcLOB2Clinician6Disc1Emp1AllocatedProd</t>
  </si>
  <si>
    <t>calcLOB2Clinician7Disc1Emp1AllocatedProd</t>
  </si>
  <si>
    <t>calcLOB2Clinician8Disc1Emp1AllocatedProd</t>
  </si>
  <si>
    <t>calcLOB2Clinician9Disc1Emp1AllocatedProd</t>
  </si>
  <si>
    <t>calcLOB2Clinician10Disc1Emp1AllocatedProd</t>
  </si>
  <si>
    <t>calcLOB2Clinician11Disc1Emp1AllocatedProd</t>
  </si>
  <si>
    <t>calcLOB2Clinician12Disc1Emp1AllocatedProd</t>
  </si>
  <si>
    <t>calcLOB2Clinician1Disc2Emp1AllocatedProd</t>
  </si>
  <si>
    <t>calcLOB2Clinician2Disc2Emp1AllocatedProd</t>
  </si>
  <si>
    <t>calcLOB2Clinician3Disc2Emp1AllocatedProd</t>
  </si>
  <si>
    <t>calcLOB2Clinician4Disc2Emp1AllocatedProd</t>
  </si>
  <si>
    <t>calcLOB2Clinician5Disc2Emp1AllocatedProd</t>
  </si>
  <si>
    <t>calcLOB2Clinician6Disc2Emp1AllocatedProd</t>
  </si>
  <si>
    <t>calcLOB2Clinician7Disc2Emp1AllocatedProd</t>
  </si>
  <si>
    <t>calcLOB2Clinician8Disc2Emp1AllocatedProd</t>
  </si>
  <si>
    <t>calcLOB2Clinician9Disc2Emp1AllocatedProd</t>
  </si>
  <si>
    <t>calcLOB2Clinician10Disc2Emp1AllocatedProd</t>
  </si>
  <si>
    <t>calcLOB2Clinician11Disc2Emp1AllocatedProd</t>
  </si>
  <si>
    <t>calcLOB2Clinician12Disc2Emp1AllocatedProd</t>
  </si>
  <si>
    <t>calcLOB2Clinician1Disc1Emp1ModifiedProd</t>
  </si>
  <si>
    <t>calcLOB2Clinician2Disc1Emp1ModifiedProd</t>
  </si>
  <si>
    <t>calcLOB2Clinician3Disc1Emp1ModifiedProd</t>
  </si>
  <si>
    <t>calcLOB2Clinician4Disc1Emp1ModifiedProd</t>
  </si>
  <si>
    <t>calcLOB2Clinician5Disc1Emp1ModifiedProd</t>
  </si>
  <si>
    <t>calcLOB2Clinician6Disc1Emp1ModifiedProd</t>
  </si>
  <si>
    <t>calcLOB2Clinician7Disc1Emp1ModifiedProd</t>
  </si>
  <si>
    <t>calcLOB2Clinician8Disc1Emp1ModifiedProd</t>
  </si>
  <si>
    <t>calcLOB2Clinician9Disc1Emp1ModifiedProd</t>
  </si>
  <si>
    <t>calcLOB2Clinician10Disc1Emp1ModifiedProd</t>
  </si>
  <si>
    <t>calcLOB2Clinician11Disc1Emp1ModifiedProd</t>
  </si>
  <si>
    <t>calcLOB2Clinician12Disc1Emp1ModifiedProd</t>
  </si>
  <si>
    <t>calcLOB2Clinician1Disc2Emp1ModifiedProd</t>
  </si>
  <si>
    <t>calcLOB2Clinician2Disc2Emp1ModifiedProd</t>
  </si>
  <si>
    <t>calcLOB2Clinician3Disc2Emp1ModifiedProd</t>
  </si>
  <si>
    <t>calcLOB2Clinician4Disc2Emp1ModifiedProd</t>
  </si>
  <si>
    <t>calcLOB2Clinician5Disc2Emp1ModifiedProd</t>
  </si>
  <si>
    <t>calcLOB2Clinician6Disc2Emp1ModifiedProd</t>
  </si>
  <si>
    <t>calcLOB2Clinician7Disc2Emp1ModifiedProd</t>
  </si>
  <si>
    <t>calcLOB2Clinician8Disc2Emp1ModifiedProd</t>
  </si>
  <si>
    <t>calcLOB2Clinician9Disc2Emp1ModifiedProd</t>
  </si>
  <si>
    <t>calcLOB2Clinician10Disc2Emp1ModifiedProd</t>
  </si>
  <si>
    <t>calcLOB2Clinician11Disc2Emp1ModifiedProd</t>
  </si>
  <si>
    <t>calcLOB2Clinician12Disc2Emp1ModifiedProd</t>
  </si>
  <si>
    <t>ModifiedProduction</t>
  </si>
  <si>
    <t>calcLOB2Clinician1Emp2AllocatedProd</t>
  </si>
  <si>
    <t>calcLOB2Clinician2Emp2AllocatedProd</t>
  </si>
  <si>
    <t>calcLOB2Clinician3Emp2AllocatedProd</t>
  </si>
  <si>
    <t>calcLOB2Clinician4Emp2AllocatedProd</t>
  </si>
  <si>
    <t>calcLOB2Clinician5Emp2AllocatedProd</t>
  </si>
  <si>
    <t>calcLOB2Clinician6Emp2AllocatedProd</t>
  </si>
  <si>
    <t>calcLOB2Clinician7Emp2AllocatedProd</t>
  </si>
  <si>
    <t>calcLOB2Clinician8Emp2AllocatedProd</t>
  </si>
  <si>
    <t>calcLOB2Clinician9Emp2AllocatedProd</t>
  </si>
  <si>
    <t>calcLOB2Clinician10Emp2AllocatedProd</t>
  </si>
  <si>
    <t>calcLOB2Clinician11Emp2AllocatedProd</t>
  </si>
  <si>
    <t>calcLOB2Clinician12Emp2AllocatedProd</t>
  </si>
  <si>
    <t>calcLOB2Clinician1Emp2ModifiedProd</t>
  </si>
  <si>
    <t>calcLOB2Clinician2Emp2ModifiedProd</t>
  </si>
  <si>
    <t>calcLOB2Clinician3Emp2ModifiedProd</t>
  </si>
  <si>
    <t>calcLOB2Clinician4Emp2ModifiedProd</t>
  </si>
  <si>
    <t>calcLOB2Clinician5Emp2ModifiedProd</t>
  </si>
  <si>
    <t>calcLOB2Clinician6Emp2ModifiedProd</t>
  </si>
  <si>
    <t>calcLOB2Clinician7Emp2ModifiedProd</t>
  </si>
  <si>
    <t>calcLOB2Clinician8Emp2ModifiedProd</t>
  </si>
  <si>
    <t>calcLOB2Clinician9Emp2ModifiedProd</t>
  </si>
  <si>
    <t>calcLOB2Clinician10Emp2ModifiedProd</t>
  </si>
  <si>
    <t>calcLOB2Clinician11Emp2ModifiedProd</t>
  </si>
  <si>
    <t>calcLOB2Clinician12Emp2ModifiedProd</t>
  </si>
  <si>
    <t>calcLOB2Clinician1Emp3AllocatedProd</t>
  </si>
  <si>
    <t>calcLOB2Clinician2Emp3AllocatedProd</t>
  </si>
  <si>
    <t>calcLOB2Clinician3Emp3AllocatedProd</t>
  </si>
  <si>
    <t>calcLOB2Clinician4Emp3AllocatedProd</t>
  </si>
  <si>
    <t>calcLOB2Clinician5Emp3AllocatedProd</t>
  </si>
  <si>
    <t>calcLOB2Clinician6Emp3AllocatedProd</t>
  </si>
  <si>
    <t>calcLOB2Clinician7Emp3AllocatedProd</t>
  </si>
  <si>
    <t>calcLOB2Clinician8Emp3AllocatedProd</t>
  </si>
  <si>
    <t>calcLOB2Clinician9Emp3AllocatedProd</t>
  </si>
  <si>
    <t>calcLOB2Clinician10Emp3AllocatedProd</t>
  </si>
  <si>
    <t>calcLOB2Clinician11Emp3AllocatedProd</t>
  </si>
  <si>
    <t>calcLOB2Clinician12Emp3AllocatedProd</t>
  </si>
  <si>
    <t>calcLOB2Clinician1Emp3ModifiedProd</t>
  </si>
  <si>
    <t>calcLOB2Clinician2Emp3ModifiedProd</t>
  </si>
  <si>
    <t>calcLOB2Clinician3Emp3ModifiedProd</t>
  </si>
  <si>
    <t>calcLOB2Clinician4Emp3ModifiedProd</t>
  </si>
  <si>
    <t>calcLOB2Clinician5Emp3ModifiedProd</t>
  </si>
  <si>
    <t>calcLOB2Clinician6Emp3ModifiedProd</t>
  </si>
  <si>
    <t>calcLOB2Clinician7Emp3ModifiedProd</t>
  </si>
  <si>
    <t>calcLOB2Clinician8Emp3ModifiedProd</t>
  </si>
  <si>
    <t>calcLOB2Clinician9Emp3ModifiedProd</t>
  </si>
  <si>
    <t>calcLOB2Clinician10Emp3ModifiedProd</t>
  </si>
  <si>
    <t>calcLOB2Clinician11Emp3ModifiedProd</t>
  </si>
  <si>
    <t>calcLOB2Clinician12Emp3ModifiedProd</t>
  </si>
  <si>
    <t>Modified Production</t>
  </si>
  <si>
    <t>calcLOB1Clinician1Disc1Emp1AllocatedProd</t>
  </si>
  <si>
    <t>calcLOB1Clinician2Disc1Emp1AllocatedProd</t>
  </si>
  <si>
    <t>calcLOB1Clinician3Disc1Emp1AllocatedProd</t>
  </si>
  <si>
    <t>calcLOB1Clinician4Disc1Emp1AllocatedProd</t>
  </si>
  <si>
    <t>calcLOB1Clinician5Disc1Emp1AllocatedProd</t>
  </si>
  <si>
    <t>calcLOB1Clinician6Disc1Emp1AllocatedProd</t>
  </si>
  <si>
    <t>calcLOB1Clinician7Disc1Emp1AllocatedProd</t>
  </si>
  <si>
    <t>calcLOB1Clinician8Disc1Emp1AllocatedProd</t>
  </si>
  <si>
    <t>calcLOB1Clinician9Disc1Emp1AllocatedProd</t>
  </si>
  <si>
    <t>calcLOB1Clinician10Disc1Emp1AllocatedProd</t>
  </si>
  <si>
    <t>calcLOB1Clinician11Disc1Emp1AllocatedProd</t>
  </si>
  <si>
    <t>calcLOB1Clinician12Disc1Emp1AllocatedProd</t>
  </si>
  <si>
    <t>calcLOB1Clinician1Disc2Emp1AllocatedProd</t>
  </si>
  <si>
    <t>calcLOB1Clinician2Disc2Emp1AllocatedProd</t>
  </si>
  <si>
    <t>calcLOB1Clinician3Disc2Emp1AllocatedProd</t>
  </si>
  <si>
    <t>calcLOB1Clinician4Disc2Emp1AllocatedProd</t>
  </si>
  <si>
    <t>calcLOB1Clinician5Disc2Emp1AllocatedProd</t>
  </si>
  <si>
    <t>calcLOB1Clinician6Disc2Emp1AllocatedProd</t>
  </si>
  <si>
    <t>calcLOB1Clinician7Disc2Emp1AllocatedProd</t>
  </si>
  <si>
    <t>calcLOB1Clinician8Disc2Emp1AllocatedProd</t>
  </si>
  <si>
    <t>calcLOB1Clinician9Disc2Emp1AllocatedProd</t>
  </si>
  <si>
    <t>calcLOB1Clinician10Disc2Emp1AllocatedProd</t>
  </si>
  <si>
    <t>calcLOB1Clinician11Disc2Emp1AllocatedProd</t>
  </si>
  <si>
    <t>calcLOB1Clinician12Disc2Emp1AllocatedProd</t>
  </si>
  <si>
    <t>calcLOB1Clinician1Disc1Emp1ModifiedProd</t>
  </si>
  <si>
    <t>calcLOB1Clinician2Disc1Emp1ModifiedProd</t>
  </si>
  <si>
    <t>calcLOB1Clinician3Disc1Emp1ModifiedProd</t>
  </si>
  <si>
    <t>calcLOB1Clinician4Disc1Emp1ModifiedProd</t>
  </si>
  <si>
    <t>calcLOB1Clinician5Disc1Emp1ModifiedProd</t>
  </si>
  <si>
    <t>calcLOB1Clinician6Disc1Emp1ModifiedProd</t>
  </si>
  <si>
    <t>calcLOB1Clinician7Disc1Emp1ModifiedProd</t>
  </si>
  <si>
    <t>calcLOB1Clinician8Disc1Emp1ModifiedProd</t>
  </si>
  <si>
    <t>calcLOB1Clinician9Disc1Emp1ModifiedProd</t>
  </si>
  <si>
    <t>calcLOB1Clinician10Disc1Emp1ModifiedProd</t>
  </si>
  <si>
    <t>calcLOB1Clinician11Disc1Emp1ModifiedProd</t>
  </si>
  <si>
    <t>calcLOB1Clinician12Disc1Emp1ModifiedProd</t>
  </si>
  <si>
    <t>calcLOB1Clinician1Disc2Emp1ModifiedProd</t>
  </si>
  <si>
    <t>calcLOB1Clinician2Disc2Emp1ModifiedProd</t>
  </si>
  <si>
    <t>calcLOB1Clinician3Disc2Emp1ModifiedProd</t>
  </si>
  <si>
    <t>calcLOB1Clinician4Disc2Emp1ModifiedProd</t>
  </si>
  <si>
    <t>calcLOB1Clinician5Disc2Emp1ModifiedProd</t>
  </si>
  <si>
    <t>calcLOB1Clinician6Disc2Emp1ModifiedProd</t>
  </si>
  <si>
    <t>calcLOB1Clinician7Disc2Emp1ModifiedProd</t>
  </si>
  <si>
    <t>calcLOB1Clinician8Disc2Emp1ModifiedProd</t>
  </si>
  <si>
    <t>calcLOB1Clinician9Disc2Emp1ModifiedProd</t>
  </si>
  <si>
    <t>calcLOB1Clinician10Disc2Emp1ModifiedProd</t>
  </si>
  <si>
    <t>calcLOB1Clinician11Disc2Emp1ModifiedProd</t>
  </si>
  <si>
    <t>calcLOB1Clinician12Disc2Emp1ModifiedProd</t>
  </si>
  <si>
    <t>calcLOB1Clinician1Emp2AllocatedProd</t>
  </si>
  <si>
    <t>calcLOB1Clinician2Emp2AllocatedProd</t>
  </si>
  <si>
    <t>calcLOB1Clinician3Emp2AllocatedProd</t>
  </si>
  <si>
    <t>calcLOB1Clinician4Emp2AllocatedProd</t>
  </si>
  <si>
    <t>calcLOB1Clinician5Emp2AllocatedProd</t>
  </si>
  <si>
    <t>calcLOB1Clinician6Emp2AllocatedProd</t>
  </si>
  <si>
    <t>calcLOB1Clinician7Emp2AllocatedProd</t>
  </si>
  <si>
    <t>calcLOB1Clinician8Emp2AllocatedProd</t>
  </si>
  <si>
    <t>calcLOB1Clinician9Emp2AllocatedProd</t>
  </si>
  <si>
    <t>calcLOB1Clinician10Emp2AllocatedProd</t>
  </si>
  <si>
    <t>calcLOB1Clinician11Emp2AllocatedProd</t>
  </si>
  <si>
    <t>calcLOB1Clinician12Emp2AllocatedProd</t>
  </si>
  <si>
    <t>calcLOB1Clinician1Emp2ModifiedProd</t>
  </si>
  <si>
    <t>calcLOB1Clinician2Emp2ModifiedProd</t>
  </si>
  <si>
    <t>calcLOB1Clinician3Emp2ModifiedProd</t>
  </si>
  <si>
    <t>calcLOB1Clinician4Emp2ModifiedProd</t>
  </si>
  <si>
    <t>calcLOB1Clinician5Emp2ModifiedProd</t>
  </si>
  <si>
    <t>calcLOB1Clinician6Emp2ModifiedProd</t>
  </si>
  <si>
    <t>calcLOB1Clinician7Emp2ModifiedProd</t>
  </si>
  <si>
    <t>calcLOB1Clinician8Emp2ModifiedProd</t>
  </si>
  <si>
    <t>calcLOB1Clinician9Emp2ModifiedProd</t>
  </si>
  <si>
    <t>calcLOB1Clinician10Emp2ModifiedProd</t>
  </si>
  <si>
    <t>calcLOB1Clinician11Emp2ModifiedProd</t>
  </si>
  <si>
    <t>calcLOB1Clinician12Emp2ModifiedProd</t>
  </si>
  <si>
    <t>calcLOB1Clinician1Emp3AllocatedProd</t>
  </si>
  <si>
    <t>calcLOB1Clinician2Emp3AllocatedProd</t>
  </si>
  <si>
    <t>calcLOB1Clinician3Emp3AllocatedProd</t>
  </si>
  <si>
    <t>calcLOB1Clinician4Emp3AllocatedProd</t>
  </si>
  <si>
    <t>calcLOB1Clinician5Emp3AllocatedProd</t>
  </si>
  <si>
    <t>calcLOB1Clinician6Emp3AllocatedProd</t>
  </si>
  <si>
    <t>calcLOB1Clinician7Emp3AllocatedProd</t>
  </si>
  <si>
    <t>calcLOB1Clinician8Emp3AllocatedProd</t>
  </si>
  <si>
    <t>calcLOB1Clinician9Emp3AllocatedProd</t>
  </si>
  <si>
    <t>calcLOB1Clinician10Emp3AllocatedProd</t>
  </si>
  <si>
    <t>calcLOB1Clinician11Emp3AllocatedProd</t>
  </si>
  <si>
    <t>calcLOB1Clinician12Emp3AllocatedProd</t>
  </si>
  <si>
    <t>calcLOB1Clinician1Emp3ModifiedProd</t>
  </si>
  <si>
    <t>calcLOB1Clinician2Emp3ModifiedProd</t>
  </si>
  <si>
    <t>calcLOB1Clinician3Emp3ModifiedProd</t>
  </si>
  <si>
    <t>calcLOB1Clinician4Emp3ModifiedProd</t>
  </si>
  <si>
    <t>calcLOB1Clinician5Emp3ModifiedProd</t>
  </si>
  <si>
    <t>calcLOB1Clinician6Emp3ModifiedProd</t>
  </si>
  <si>
    <t>calcLOB1Clinician7Emp3ModifiedProd</t>
  </si>
  <si>
    <t>calcLOB1Clinician8Emp3ModifiedProd</t>
  </si>
  <si>
    <t>calcLOB1Clinician9Emp3ModifiedProd</t>
  </si>
  <si>
    <t>calcLOB1Clinician10Emp3ModifiedProd</t>
  </si>
  <si>
    <t>calcLOB1Clinician11Emp3ModifiedProd</t>
  </si>
  <si>
    <t>calcLOB1Clinician12Emp3ModifiedProd</t>
  </si>
  <si>
    <t>Avg Miles Per Visit</t>
  </si>
  <si>
    <t>Staff Avg Mileage Per Visit</t>
  </si>
  <si>
    <t>obalLOB1MileagePVisitClinician1</t>
  </si>
  <si>
    <t>obalLOB1MileagePVisitClinician2</t>
  </si>
  <si>
    <t>obalLOB1MileagePVisitClinician3</t>
  </si>
  <si>
    <t>obalLOB1MileagePVisitClinician4</t>
  </si>
  <si>
    <t>obalLOB1MileagePVisitClinician5</t>
  </si>
  <si>
    <t>obalLOB1MileagePVisitClinician6</t>
  </si>
  <si>
    <t>obalLOB1MileagePVisitClinician7</t>
  </si>
  <si>
    <t>obalLOB1MileagePVisitClinician8</t>
  </si>
  <si>
    <t>obalLOB1MileagePVisitClinician9</t>
  </si>
  <si>
    <t>obalLOB1MileagePVisitClinician10</t>
  </si>
  <si>
    <t>obalLOB1MileagePVisitClinician11</t>
  </si>
  <si>
    <t>obalLOB1MileagePVisitClinician12</t>
  </si>
  <si>
    <t>cbalLOB1MileagePVisitClinician1</t>
  </si>
  <si>
    <t>cbalLOB1MileagePVisitClinician2</t>
  </si>
  <si>
    <t>cbalLOB1MileagePVisitClinician3</t>
  </si>
  <si>
    <t>cbalLOB1MileagePVisitClinician4</t>
  </si>
  <si>
    <t>cbalLOB1MileagePVisitClinician5</t>
  </si>
  <si>
    <t>cbalLOB1MileagePVisitClinician6</t>
  </si>
  <si>
    <t>cbalLOB1MileagePVisitClinician7</t>
  </si>
  <si>
    <t>cbalLOB1MileagePVisitClinician8</t>
  </si>
  <si>
    <t>cbalLOB1MileagePVisitClinician9</t>
  </si>
  <si>
    <t>cbalLOB1MileagePVisitClinician10</t>
  </si>
  <si>
    <t>cbalLOB1MileagePVisitClinician11</t>
  </si>
  <si>
    <t>cbalLOB1MileagePVisitClinician12</t>
  </si>
  <si>
    <t>obalLOB2MileagePVisitClinician1</t>
  </si>
  <si>
    <t>obalLOB2MileagePVisitClinician2</t>
  </si>
  <si>
    <t>obalLOB2MileagePVisitClinician3</t>
  </si>
  <si>
    <t>obalLOB2MileagePVisitClinician4</t>
  </si>
  <si>
    <t>obalLOB2MileagePVisitClinician5</t>
  </si>
  <si>
    <t>obalLOB2MileagePVisitClinician6</t>
  </si>
  <si>
    <t>obalLOB2MileagePVisitClinician7</t>
  </si>
  <si>
    <t>obalLOB2MileagePVisitClinician8</t>
  </si>
  <si>
    <t>obalLOB2MileagePVisitClinician9</t>
  </si>
  <si>
    <t>obalLOB2MileagePVisitClinician10</t>
  </si>
  <si>
    <t>obalLOB2MileagePVisitClinician11</t>
  </si>
  <si>
    <t>obalLOB2MileagePVisitClinician12</t>
  </si>
  <si>
    <t>cbalLOB2MileagePVisitClinician1</t>
  </si>
  <si>
    <t>cbalLOB2MileagePVisitClinician2</t>
  </si>
  <si>
    <t>cbalLOB2MileagePVisitClinician3</t>
  </si>
  <si>
    <t>cbalLOB2MileagePVisitClinician4</t>
  </si>
  <si>
    <t>cbalLOB2MileagePVisitClinician5</t>
  </si>
  <si>
    <t>cbalLOB2MileagePVisitClinician6</t>
  </si>
  <si>
    <t>cbalLOB2MileagePVisitClinician7</t>
  </si>
  <si>
    <t>cbalLOB2MileagePVisitClinician8</t>
  </si>
  <si>
    <t>cbalLOB2MileagePVisitClinician9</t>
  </si>
  <si>
    <t>cbalLOB2MileagePVisitClinician10</t>
  </si>
  <si>
    <t>cbalLOB2MileagePVisitClinician11</t>
  </si>
  <si>
    <t>cbalLOB2MileagePVisitClinician12</t>
  </si>
  <si>
    <t>Meeting</t>
  </si>
  <si>
    <t>Text</t>
  </si>
  <si>
    <t>Hulda Hoskins  </t>
  </si>
  <si>
    <t>Melani Mascio  </t>
  </si>
  <si>
    <t>Kallie Knaus  </t>
  </si>
  <si>
    <t xml:space="preserve">Cherise Caraveo </t>
  </si>
  <si>
    <t>Bennie Bitton  </t>
  </si>
  <si>
    <t>Sabra Schow  </t>
  </si>
  <si>
    <t>Willis Welte  </t>
  </si>
  <si>
    <t>calcLOB1Clinician1Disc1AvgMissPerc</t>
  </si>
  <si>
    <t>calcLOB1Clinician2Disc1AvgMissPerc</t>
  </si>
  <si>
    <t>calcLOB1Clinician3Disc1AvgMissPerc</t>
  </si>
  <si>
    <t>calcLOB1Clinician4Disc1AvgMissPerc</t>
  </si>
  <si>
    <t>calcLOB1Clinician5Disc1AvgMissPerc</t>
  </si>
  <si>
    <t>calcLOB1Clinician6Disc1AvgMissPerc</t>
  </si>
  <si>
    <t>calcLOB1Clinician7Disc1AvgMissPerc</t>
  </si>
  <si>
    <t>calcLOB1Clinician8Disc1AvgMissPerc</t>
  </si>
  <si>
    <t>calcLOB1Clinician9Disc1AvgMissPerc</t>
  </si>
  <si>
    <t>calcLOB1Clinician10Disc1AvgMissPerc</t>
  </si>
  <si>
    <t>calcLOB1Clinician11Disc1AvgMissPerc</t>
  </si>
  <si>
    <t>calcLOB1Clinician12Disc1AvgMissPerc</t>
  </si>
  <si>
    <t>calcLOB1Clinician1Disc2AvgMissPerc</t>
  </si>
  <si>
    <t>calcLOB1Clinician2Disc2AvgMissPerc</t>
  </si>
  <si>
    <t>calcLOB1Clinician3Disc2AvgMissPerc</t>
  </si>
  <si>
    <t>calcLOB1Clinician4Disc2AvgMissPerc</t>
  </si>
  <si>
    <t>calcLOB1Clinician5Disc2AvgMissPerc</t>
  </si>
  <si>
    <t>calcLOB1Clinician6Disc2AvgMissPerc</t>
  </si>
  <si>
    <t>calcLOB1Clinician7Disc2AvgMissPerc</t>
  </si>
  <si>
    <t>calcLOB1Clinician8Disc2AvgMissPerc</t>
  </si>
  <si>
    <t>calcLOB1Clinician9Disc2AvgMissPerc</t>
  </si>
  <si>
    <t>calcLOB1Clinician10Disc2AvgMissPerc</t>
  </si>
  <si>
    <t>calcLOB1Clinician11Disc2AvgMissPerc</t>
  </si>
  <si>
    <t>calcLOB1Clinician12Disc2AvgMissPerc</t>
  </si>
  <si>
    <t>calcLOB1Clinician1Emp2AvgMissPerc</t>
  </si>
  <si>
    <t>calcLOB1Clinician2Emp2AvgMissPerc</t>
  </si>
  <si>
    <t>calcLOB1Clinician3Emp2AvgMissPerc</t>
  </si>
  <si>
    <t>calcLOB1Clinician4Emp2AvgMissPerc</t>
  </si>
  <si>
    <t>calcLOB1Clinician5Emp2AvgMissPerc</t>
  </si>
  <si>
    <t>calcLOB1Clinician6Emp2AvgMissPerc</t>
  </si>
  <si>
    <t>calcLOB1Clinician7Emp2AvgMissPerc</t>
  </si>
  <si>
    <t>calcLOB1Clinician8Emp2AvgMissPerc</t>
  </si>
  <si>
    <t>calcLOB1Clinician9Emp2AvgMissPerc</t>
  </si>
  <si>
    <t>calcLOB1Clinician10Emp2AvgMissPerc</t>
  </si>
  <si>
    <t>calcLOB1Clinician11Emp2AvgMissPerc</t>
  </si>
  <si>
    <t>calcLOB1Clinician12Emp2AvgMissPerc</t>
  </si>
  <si>
    <t>calcLOB1Clinician1Emp3AvgMissPerc</t>
  </si>
  <si>
    <t>calcLOB1Clinician2Emp3AvgMissPerc</t>
  </si>
  <si>
    <t>calcLOB1Clinician3Emp3AvgMissPerc</t>
  </si>
  <si>
    <t>calcLOB1Clinician4Emp3AvgMissPerc</t>
  </si>
  <si>
    <t>calcLOB1Clinician5Emp3AvgMissPerc</t>
  </si>
  <si>
    <t>calcLOB1Clinician6Emp3AvgMissPerc</t>
  </si>
  <si>
    <t>calcLOB1Clinician7Emp3AvgMissPerc</t>
  </si>
  <si>
    <t>calcLOB1Clinician8Emp3AvgMissPerc</t>
  </si>
  <si>
    <t>calcLOB1Clinician9Emp3AvgMissPerc</t>
  </si>
  <si>
    <t>calcLOB1Clinician10Emp3AvgMissPerc</t>
  </si>
  <si>
    <t>calcLOB1Clinician11Emp3AvgMissPerc</t>
  </si>
  <si>
    <t>calcLOB1Clinician12Emp3AvgMissPerc</t>
  </si>
  <si>
    <t>calcLOB2Clinician1Disc1AvgMissPerc</t>
  </si>
  <si>
    <t>calcLOB2Clinician2Disc1AvgMissPerc</t>
  </si>
  <si>
    <t>calcLOB2Clinician3Disc1AvgMissPerc</t>
  </si>
  <si>
    <t>calcLOB2Clinician4Disc1AvgMissPerc</t>
  </si>
  <si>
    <t>calcLOB2Clinician5Disc1AvgMissPerc</t>
  </si>
  <si>
    <t>calcLOB2Clinician6Disc1AvgMissPerc</t>
  </si>
  <si>
    <t>calcLOB2Clinician7Disc1AvgMissPerc</t>
  </si>
  <si>
    <t>calcLOB2Clinician8Disc1AvgMissPerc</t>
  </si>
  <si>
    <t>calcLOB2Clinician9Disc1AvgMissPerc</t>
  </si>
  <si>
    <t>calcLOB2Clinician10Disc1AvgMissPerc</t>
  </si>
  <si>
    <t>calcLOB2Clinician11Disc1AvgMissPerc</t>
  </si>
  <si>
    <t>calcLOB2Clinician12Disc1AvgMissPerc</t>
  </si>
  <si>
    <t>calcLOB2Clinician1Disc2AvgMissPerc</t>
  </si>
  <si>
    <t>calcLOB2Clinician2Disc2AvgMissPerc</t>
  </si>
  <si>
    <t>calcLOB2Clinician3Disc2AvgMissPerc</t>
  </si>
  <si>
    <t>calcLOB2Clinician4Disc2AvgMissPerc</t>
  </si>
  <si>
    <t>calcLOB2Clinician5Disc2AvgMissPerc</t>
  </si>
  <si>
    <t>calcLOB2Clinician6Disc2AvgMissPerc</t>
  </si>
  <si>
    <t>calcLOB2Clinician7Disc2AvgMissPerc</t>
  </si>
  <si>
    <t>calcLOB2Clinician8Disc2AvgMissPerc</t>
  </si>
  <si>
    <t>calcLOB2Clinician9Disc2AvgMissPerc</t>
  </si>
  <si>
    <t>calcLOB2Clinician10Disc2AvgMissPerc</t>
  </si>
  <si>
    <t>calcLOB2Clinician11Disc2AvgMissPerc</t>
  </si>
  <si>
    <t>calcLOB2Clinician12Disc2AvgMissPerc</t>
  </si>
  <si>
    <t>calcLOB2Clinician1Emp2AvgMissPerc</t>
  </si>
  <si>
    <t>calcLOB2Clinician2Emp2AvgMissPerc</t>
  </si>
  <si>
    <t>calcLOB2Clinician3Emp2AvgMissPerc</t>
  </si>
  <si>
    <t>calcLOB2Clinician4Emp2AvgMissPerc</t>
  </si>
  <si>
    <t>calcLOB2Clinician5Emp2AvgMissPerc</t>
  </si>
  <si>
    <t>calcLOB2Clinician6Emp2AvgMissPerc</t>
  </si>
  <si>
    <t>calcLOB2Clinician7Emp2AvgMissPerc</t>
  </si>
  <si>
    <t>calcLOB2Clinician8Emp2AvgMissPerc</t>
  </si>
  <si>
    <t>calcLOB2Clinician9Emp2AvgMissPerc</t>
  </si>
  <si>
    <t>calcLOB2Clinician10Emp2AvgMissPerc</t>
  </si>
  <si>
    <t>calcLOB2Clinician11Emp2AvgMissPerc</t>
  </si>
  <si>
    <t>calcLOB2Clinician12Emp2AvgMissPerc</t>
  </si>
  <si>
    <t>calcLOB2Clinician1Emp3AvgMissPerc</t>
  </si>
  <si>
    <t>calcLOB2Clinician2Emp3AvgMissPerc</t>
  </si>
  <si>
    <t>calcLOB2Clinician3Emp3AvgMissPerc</t>
  </si>
  <si>
    <t>calcLOB2Clinician4Emp3AvgMissPerc</t>
  </si>
  <si>
    <t>calcLOB2Clinician5Emp3AvgMissPerc</t>
  </si>
  <si>
    <t>calcLOB2Clinician6Emp3AvgMissPerc</t>
  </si>
  <si>
    <t>calcLOB2Clinician7Emp3AvgMissPerc</t>
  </si>
  <si>
    <t>calcLOB2Clinician8Emp3AvgMissPerc</t>
  </si>
  <si>
    <t>calcLOB2Clinician9Emp3AvgMissPerc</t>
  </si>
  <si>
    <t>calcLOB2Clinician10Emp3AvgMissPerc</t>
  </si>
  <si>
    <t>calcLOB2Clinician11Emp3AvgMissPerc</t>
  </si>
  <si>
    <t>calcLOB2Clinician12Emp3AvgMissPerc</t>
  </si>
  <si>
    <t>&lt; - quality?</t>
  </si>
  <si>
    <t>&lt; Rushed meetings/quality?</t>
  </si>
  <si>
    <t>Total Plan</t>
  </si>
  <si>
    <t>calcLOB1Clinician1NetVisits</t>
  </si>
  <si>
    <t>calcLOB1Clinician2NetVisits</t>
  </si>
  <si>
    <t>calcLOB1Clinician3NetVisits</t>
  </si>
  <si>
    <t>calcLOB1Clinician4NetVisits</t>
  </si>
  <si>
    <t>calcLOB1Clinician5NetVisits</t>
  </si>
  <si>
    <t>calcLOB1Clinician6NetVisits</t>
  </si>
  <si>
    <t>calcLOB1Clinician7NetVisits</t>
  </si>
  <si>
    <t>calcLOB1Clinician8NetVisits</t>
  </si>
  <si>
    <t>calcLOB1Clinician9NetVisits</t>
  </si>
  <si>
    <t>calcLOB1Clinician10NetVisits</t>
  </si>
  <si>
    <t>calcLOB1Clinician11NetVisits</t>
  </si>
  <si>
    <t>calcLOB1Clinician12NetVisits</t>
  </si>
  <si>
    <t>calcLOB1ClinicianNetVisits</t>
  </si>
  <si>
    <t>Average Weekly Net Visits</t>
  </si>
  <si>
    <t>calcLOB2Clinician1NetVisits</t>
  </si>
  <si>
    <t>calcLOB2Clinician2NetVisits</t>
  </si>
  <si>
    <t>calcLOB2Clinician3NetVisits</t>
  </si>
  <si>
    <t>calcLOB2Clinician4NetVisits</t>
  </si>
  <si>
    <t>calcLOB2Clinician5NetVisits</t>
  </si>
  <si>
    <t>calcLOB2Clinician6NetVisits</t>
  </si>
  <si>
    <t>calcLOB2Clinician7NetVisits</t>
  </si>
  <si>
    <t>calcLOB2Clinician8NetVisits</t>
  </si>
  <si>
    <t>calcLOB2Clinician9NetVisits</t>
  </si>
  <si>
    <t>calcLOB2Clinician10NetVisits</t>
  </si>
  <si>
    <t>calcLOB2Clinician11NetVisits</t>
  </si>
  <si>
    <t>calcLOB2Clinician12NetVisits</t>
  </si>
  <si>
    <t>calcLOB2ClinicianNetVisits</t>
  </si>
  <si>
    <t>Base Weekly Net Production</t>
  </si>
  <si>
    <t>calcLOB2Clinician1BaseNetProd</t>
  </si>
  <si>
    <t>calcLOB2Clinician2BaseNetProd</t>
  </si>
  <si>
    <t>calcLOB2Clinician3BaseNetProd</t>
  </si>
  <si>
    <t>calcLOB2Clinician4BaseNetProd</t>
  </si>
  <si>
    <t>calcLOB2Clinician5BaseNetProd</t>
  </si>
  <si>
    <t>calcLOB2Clinician6BaseNetProd</t>
  </si>
  <si>
    <t>calcLOB2Clinician7BaseNetProd</t>
  </si>
  <si>
    <t>calcLOB2Clinician8BaseNetProd</t>
  </si>
  <si>
    <t>calcLOB2Clinician9BaseNetProd</t>
  </si>
  <si>
    <t>calcLOB2Clinician10BaseNetProd</t>
  </si>
  <si>
    <t>calcLOB2Clinician11BaseNetProd</t>
  </si>
  <si>
    <t>calcLOB2Clinician12BaseNetProd</t>
  </si>
  <si>
    <t>cbalLOB1AvgBaseProdClinician11</t>
  </si>
  <si>
    <t>cbalLOB1AvgBaseProdClinician12</t>
  </si>
  <si>
    <t>obalLOB1AvgBaseProdClinician11</t>
  </si>
  <si>
    <t>obalLOB1AvgBaseProdClinician12</t>
  </si>
  <si>
    <t>cbalLOB2AvgBaseProdClinician11</t>
  </si>
  <si>
    <t>cbalLOB2AvgBaseProdClinician12</t>
  </si>
  <si>
    <t>obalLOB2AvgBaseProdClinician11</t>
  </si>
  <si>
    <t>obalLOB2AvgBaseProdClinician12</t>
  </si>
  <si>
    <t>Patient Updates</t>
  </si>
  <si>
    <t>Build a Network of Expereinced Clinicians</t>
  </si>
  <si>
    <t>LOB1-25</t>
  </si>
  <si>
    <t>LOB1-Clinician Recruitment</t>
  </si>
  <si>
    <t>paramLOB1ClinicianRecruitment</t>
  </si>
  <si>
    <t>LOB2-Clinician Recruitment</t>
  </si>
  <si>
    <t>paramLOB2ClinicianRecruitment</t>
  </si>
  <si>
    <t>LOB2-25</t>
  </si>
  <si>
    <t>Clinician 13</t>
  </si>
  <si>
    <t>Clinician 14</t>
  </si>
  <si>
    <t>Clinician 15</t>
  </si>
  <si>
    <t>Clinician 16</t>
  </si>
  <si>
    <t>obalLOB1DiscClinician13</t>
  </si>
  <si>
    <t>obalLOB1DiscClinician14</t>
  </si>
  <si>
    <t>obalLOB1DiscClinician15</t>
  </si>
  <si>
    <t>obalLOB1DiscClinician16</t>
  </si>
  <si>
    <t>cbalLOB1DiscClinician13</t>
  </si>
  <si>
    <t>cbalLOB1DiscClinician14</t>
  </si>
  <si>
    <t>cbalLOB1DiscClinician15</t>
  </si>
  <si>
    <t>cbalLOB1DiscClinician16</t>
  </si>
  <si>
    <t>obalLOB1EmpStatClinician13</t>
  </si>
  <si>
    <t>obalLOB1EmpStatClinician14</t>
  </si>
  <si>
    <t>obalLOB1EmpStatClinician15</t>
  </si>
  <si>
    <t>obalLOB1EmpStatClinician16</t>
  </si>
  <si>
    <t>cbalLOB1EmpStatClinician13</t>
  </si>
  <si>
    <t>cbalLOB1EmpStatClinician14</t>
  </si>
  <si>
    <t>cbalLOB1EmpStatClinician15</t>
  </si>
  <si>
    <t>cbalLOB1EmpStatClinician16</t>
  </si>
  <si>
    <t>obalLOB1AvgProdClinician13</t>
  </si>
  <si>
    <t>obalLOB1AvgProdClinician14</t>
  </si>
  <si>
    <t>obalLOB1AvgProdClinician15</t>
  </si>
  <si>
    <t>obalLOB1AvgProdClinician16</t>
  </si>
  <si>
    <t>cbalLOB1AvgProdClinician13</t>
  </si>
  <si>
    <t>cbalLOB1AvgProdClinician14</t>
  </si>
  <si>
    <t>cbalLOB1AvgProdClinician15</t>
  </si>
  <si>
    <t>cbalLOB1AvgProdClinician16</t>
  </si>
  <si>
    <t>obalLOB1AvgMissPercClinician13</t>
  </si>
  <si>
    <t>obalLOB1AvgMissPercClinician14</t>
  </si>
  <si>
    <t>obalLOB1AvgMissPercClinician15</t>
  </si>
  <si>
    <t>obalLOB1AvgMissPercClinician16</t>
  </si>
  <si>
    <t>cbalLOB1AvgMissPercClinician13</t>
  </si>
  <si>
    <t>cbalLOB1AvgMissPercClinician14</t>
  </si>
  <si>
    <t>cbalLOB1AvgMissPercClinician15</t>
  </si>
  <si>
    <t>cbalLOB1AvgMissPercClinician16</t>
  </si>
  <si>
    <t>calcLOB1Clinician13Disc1Emp1BaseProd</t>
  </si>
  <si>
    <t>calcLOB1Clinician14Disc2Emp1BaseProd</t>
  </si>
  <si>
    <t>calcLOB1Clinician13Disc1Emp1AllowPerc</t>
  </si>
  <si>
    <t>calcLOB1Clinician14Disc2Emp1AllowPerc</t>
  </si>
  <si>
    <t>calcLOB1Clinician13Disc1Emp1AllocatedProd</t>
  </si>
  <si>
    <t>calcLOB1Clinician14Disc2Emp1AllocatedProd</t>
  </si>
  <si>
    <t>calcLOB1Clinician13Disc1Emp1GrossProd</t>
  </si>
  <si>
    <t>calcLOB1Clinician14Disc2Emp1GrossProd</t>
  </si>
  <si>
    <t>calcLOB1Clinician13Disc1AvgMissPerc</t>
  </si>
  <si>
    <t>calcLOB1Clinician14Disc2AvgMissPerc</t>
  </si>
  <si>
    <t>calcLOB1Clinician13Disc1Emp1MissVisits</t>
  </si>
  <si>
    <t>calcLOB1Clinician14Disc2Emp1MissVisits</t>
  </si>
  <si>
    <t>calcLOB1Clinician13Disc1Emp1NetProd</t>
  </si>
  <si>
    <t>calcLOB1Clinician14Disc2Emp1NetProd</t>
  </si>
  <si>
    <t>calcLOB1Clinician16Emp2BaseProd</t>
  </si>
  <si>
    <t>calcLOB1Clinician16Emp2AllowPerc</t>
  </si>
  <si>
    <t>calcLOB1Clinician16Emp2AllocatedProd</t>
  </si>
  <si>
    <t>calcLOB1Clinician16Emp2GrossProd</t>
  </si>
  <si>
    <t>calcLOB1Clinician16Emp2AvgMissPerc</t>
  </si>
  <si>
    <t>calcLOB1Clinician16Emp2MissVisits</t>
  </si>
  <si>
    <t>calcLOB1Clinician15Emp3BaseProd</t>
  </si>
  <si>
    <t>calcLOB1Clinician15Emp3AllowPerc</t>
  </si>
  <si>
    <t>calcLOB1Clinician15Emp3AllocatedProd</t>
  </si>
  <si>
    <t>calcLOB1Clinician15Emp3GrossProd</t>
  </si>
  <si>
    <t>calcLOB1Clinician15Emp3AvgMissPerc</t>
  </si>
  <si>
    <t>calcLOB1Clinician15Emp3NetProd</t>
  </si>
  <si>
    <t>calcLOB1Clinician15Emp3MissVisits</t>
  </si>
  <si>
    <t>Additional Full Time</t>
  </si>
  <si>
    <t>Additional Part Time</t>
  </si>
  <si>
    <t>obalLOB1AddFullTime</t>
  </si>
  <si>
    <t>obalLOB1AddPartTime</t>
  </si>
  <si>
    <t>cbalLOB1AddFullTime</t>
  </si>
  <si>
    <t>cbalLOB1AddPartTime</t>
  </si>
  <si>
    <t>cbalLOB2DiscClinician13</t>
  </si>
  <si>
    <t>cbalLOB2DiscClinician14</t>
  </si>
  <si>
    <t>cbalLOB2DiscClinician15</t>
  </si>
  <si>
    <t>cbalLOB2DiscClinician16</t>
  </si>
  <si>
    <t>obalLOB2DiscClinician13</t>
  </si>
  <si>
    <t>obalLOB2DiscClinician14</t>
  </si>
  <si>
    <t>obalLOB2DiscClinician15</t>
  </si>
  <si>
    <t>obalLOB2DiscClinician16</t>
  </si>
  <si>
    <t>obalLOB2EmpStatClinician13</t>
  </si>
  <si>
    <t>obalLOB2EmpStatClinician14</t>
  </si>
  <si>
    <t>obalLOB2EmpStatClinician15</t>
  </si>
  <si>
    <t>obalLOB2EmpStatClinician16</t>
  </si>
  <si>
    <t>cbalLOB2EmpStatClinician13</t>
  </si>
  <si>
    <t>cbalLOB2EmpStatClinician14</t>
  </si>
  <si>
    <t>cbalLOB2EmpStatClinician15</t>
  </si>
  <si>
    <t>cbalLOB2EmpStatClinician16</t>
  </si>
  <si>
    <t>obalLOB2AvgProdClinician13</t>
  </si>
  <si>
    <t>obalLOB2AvgProdClinician14</t>
  </si>
  <si>
    <t>obalLOB2AvgProdClinician15</t>
  </si>
  <si>
    <t>obalLOB2AvgProdClinician16</t>
  </si>
  <si>
    <t>cbalLOB2AvgProdClinician13</t>
  </si>
  <si>
    <t>cbalLOB2AvgProdClinician14</t>
  </si>
  <si>
    <t>cbalLOB2AvgProdClinician15</t>
  </si>
  <si>
    <t>cbalLOB2AvgProdClinician16</t>
  </si>
  <si>
    <t>obalLOB2AvgMissPercClinician13</t>
  </si>
  <si>
    <t>obalLOB2AvgMissPercClinician14</t>
  </si>
  <si>
    <t>obalLOB2AvgMissPercClinician15</t>
  </si>
  <si>
    <t>obalLOB2AvgMissPercClinician16</t>
  </si>
  <si>
    <t>cbalLOB2AvgMissPercClinician13</t>
  </si>
  <si>
    <t>cbalLOB2AvgMissPercClinician14</t>
  </si>
  <si>
    <t>cbalLOB2AvgMissPercClinician15</t>
  </si>
  <si>
    <t>cbalLOB2AvgMissPercClinician16</t>
  </si>
  <si>
    <t>calcLOB2Clinician13Disc1Emp1BaseProd</t>
  </si>
  <si>
    <t>calcLOB2Clinician14Disc2Emp1BaseProd</t>
  </si>
  <si>
    <t>calcLOB2Clinician13Disc1Emp1AllowPerc</t>
  </si>
  <si>
    <t>calcLOB2Clinician14Disc2Emp1AllowPerc</t>
  </si>
  <si>
    <t>calcLOB2Clinician13Disc1Emp1AllocatedProd</t>
  </si>
  <si>
    <t>calcLOB2Clinician14Disc2Emp1AllocatedProd</t>
  </si>
  <si>
    <t>calcLOB2Clinician13Disc1Emp1GrossProd</t>
  </si>
  <si>
    <t>calcLOB2Clinician14Disc2Emp1GrossProd</t>
  </si>
  <si>
    <t>calcLOB2Clinician13Disc1AvgMissPerc</t>
  </si>
  <si>
    <t>calcLOB2Clinician13Disc1Emp1MissVisits</t>
  </si>
  <si>
    <t>calcLOB2Clinician14Disc2AvgMissPerc</t>
  </si>
  <si>
    <t>calcLOB2Clinician14Disc2Emp1MissVisits</t>
  </si>
  <si>
    <t>calcLOB2Clinician13Disc1Emp1NetProd</t>
  </si>
  <si>
    <t>calcLOB2Clinician14Disc2Emp1NetProd</t>
  </si>
  <si>
    <t>calcLOB2Clinician16Emp2BaseProd</t>
  </si>
  <si>
    <t>calcLOB2Clinician16Emp2AllowPerc</t>
  </si>
  <si>
    <t>calcLOB2Clinician16Emp2AllocatedProd</t>
  </si>
  <si>
    <t>calcLOB2Clinician16Emp2GrossProd</t>
  </si>
  <si>
    <t>calcLOB2Clinician16Emp2AvgMissPerc</t>
  </si>
  <si>
    <t>calcLOB2Clinician16Emp2MissVisits</t>
  </si>
  <si>
    <t>calcLOB2Clinician16Emp2NetProd</t>
  </si>
  <si>
    <t>calcLOB2Clinician15Emp3BaseProd</t>
  </si>
  <si>
    <t>calcLOB2Clinician15Emp3AllowPerc</t>
  </si>
  <si>
    <t>calcLOB2Clinician15Emp3AllocatedProd</t>
  </si>
  <si>
    <t>calcLOB2Clinician15Emp3GrossProd</t>
  </si>
  <si>
    <t>calcLOB2Clinician15Emp3AvgMissPerc</t>
  </si>
  <si>
    <t>calcLOB2Clinician15Emp3MissVisits</t>
  </si>
  <si>
    <t>calcLOB2Clinician15Emp3NetProd</t>
  </si>
  <si>
    <t>obalLOB2AddFullTime</t>
  </si>
  <si>
    <t>obalLOB2AddPartTime</t>
  </si>
  <si>
    <t>cbalLOB2AddFullTime</t>
  </si>
  <si>
    <t>cbalLOB2AddPartTime</t>
  </si>
  <si>
    <t>Meeting Count</t>
  </si>
  <si>
    <t>calcLOB1MeetingCount</t>
  </si>
  <si>
    <t>calcLOB2MeetingCount</t>
  </si>
  <si>
    <t>tlOutputLOB1MeetingCount_R1</t>
  </si>
  <si>
    <t>tlOutputLOB1MeetingCount_R2</t>
  </si>
  <si>
    <t>tlOutputLOB2MeetingCount_R1</t>
  </si>
  <si>
    <t>tlOutputLOB2MeetingCount_R2</t>
  </si>
  <si>
    <t>LOB1-26</t>
  </si>
  <si>
    <t>LOB1-27</t>
  </si>
  <si>
    <t>LOB1-28</t>
  </si>
  <si>
    <t>LOB1-29</t>
  </si>
  <si>
    <t>LOB1-30</t>
  </si>
  <si>
    <t>LOB1-31</t>
  </si>
  <si>
    <t>LOB1-32</t>
  </si>
  <si>
    <t>LOB1-33</t>
  </si>
  <si>
    <t>LOB1-34</t>
  </si>
  <si>
    <t>LOB1-35</t>
  </si>
  <si>
    <t>LOB1-36</t>
  </si>
  <si>
    <t>LOB1-37</t>
  </si>
  <si>
    <t>LOB1-38</t>
  </si>
  <si>
    <t>LOB1-39</t>
  </si>
  <si>
    <t>LOB1-40</t>
  </si>
  <si>
    <t>LOB1-41</t>
  </si>
  <si>
    <t>LOB1-42</t>
  </si>
  <si>
    <t>LOB1-43</t>
  </si>
  <si>
    <t>LOB1-44</t>
  </si>
  <si>
    <t>LOB1-45</t>
  </si>
  <si>
    <t>LOB1-46</t>
  </si>
  <si>
    <t>LOB1-47</t>
  </si>
  <si>
    <t>LOB1-48</t>
  </si>
  <si>
    <t>LOB1-49</t>
  </si>
  <si>
    <t>LOB2-26</t>
  </si>
  <si>
    <t>LOB2-27</t>
  </si>
  <si>
    <t>LOB2-28</t>
  </si>
  <si>
    <t>LOB2-29</t>
  </si>
  <si>
    <t>LOB2-30</t>
  </si>
  <si>
    <t>LOB2-31</t>
  </si>
  <si>
    <t>LOB2-32</t>
  </si>
  <si>
    <t>LOB2-33</t>
  </si>
  <si>
    <t>LOB2-34</t>
  </si>
  <si>
    <t>LOB2-35</t>
  </si>
  <si>
    <t>LOB2-36</t>
  </si>
  <si>
    <t>LOB2-37</t>
  </si>
  <si>
    <t>LOB2-38</t>
  </si>
  <si>
    <t>LOB2-39</t>
  </si>
  <si>
    <t>LOB2-40</t>
  </si>
  <si>
    <t>LOB2-41</t>
  </si>
  <si>
    <t>LOB2-42</t>
  </si>
  <si>
    <t>LOB2-43</t>
  </si>
  <si>
    <t>LOB2-44</t>
  </si>
  <si>
    <t>LOB2-45</t>
  </si>
  <si>
    <t>LOB2-46</t>
  </si>
  <si>
    <t>LOB2-47</t>
  </si>
  <si>
    <t>LOB2-48</t>
  </si>
  <si>
    <t>LOB2-49</t>
  </si>
  <si>
    <t>LOB1-50</t>
  </si>
  <si>
    <t>LOB1-51</t>
  </si>
  <si>
    <t>LOB1-52</t>
  </si>
  <si>
    <t>LOB1-53</t>
  </si>
  <si>
    <t>LOB1-54</t>
  </si>
  <si>
    <t>LOB1-55</t>
  </si>
  <si>
    <t>paramLOB1Prod1Seg1RRM3</t>
  </si>
  <si>
    <t>paramLOB1Prod1Seg2RRM3</t>
  </si>
  <si>
    <t>paramLOB1Prod1Seg3RRM3</t>
  </si>
  <si>
    <t>paramLOB1Prod2Seg1RRM3</t>
  </si>
  <si>
    <t>paramLOB1Prod2Seg2RRM3</t>
  </si>
  <si>
    <t>paramLOB1Prod2Seg3RRM3</t>
  </si>
  <si>
    <t>LOB1-Med. Admit RR M3</t>
  </si>
  <si>
    <t>LOB1-PPS Admit RR M3</t>
  </si>
  <si>
    <t>LOB1-PPS Other RR M3</t>
  </si>
  <si>
    <t>LOB1-Med. Recert RR M3</t>
  </si>
  <si>
    <t>LOB1-PPS Recert RR M3</t>
  </si>
  <si>
    <t>LOB1-Med. Admit RR M2</t>
  </si>
  <si>
    <t>paramLOB1Prod1Seg1RRM2</t>
  </si>
  <si>
    <t>LOB1-PPS Admit RR M2</t>
  </si>
  <si>
    <t>paramLOB1Prod1Seg2RRM2</t>
  </si>
  <si>
    <t>LOB1-PPS Other RR M2</t>
  </si>
  <si>
    <t>paramLOB1Prod1Seg3RRM2</t>
  </si>
  <si>
    <t>LOB1-Med. Recert RR M2</t>
  </si>
  <si>
    <t>paramLOB1Prod2Seg1RRM2</t>
  </si>
  <si>
    <t>LOB1-PPS Recert RR M2</t>
  </si>
  <si>
    <t>paramLOB1Prod2Seg2RRM2</t>
  </si>
  <si>
    <t>paramLOB1Prod2Seg3RRM2</t>
  </si>
  <si>
    <t>LOB1-56</t>
  </si>
  <si>
    <t>LOB1-57</t>
  </si>
  <si>
    <t>LOB1-58</t>
  </si>
  <si>
    <t>LOB1-59</t>
  </si>
  <si>
    <t>LOB1-60</t>
  </si>
  <si>
    <t>LOB1-61</t>
  </si>
  <si>
    <t>LOB1-62</t>
  </si>
  <si>
    <t>LOB1-63</t>
  </si>
  <si>
    <t>LOB1-64</t>
  </si>
  <si>
    <t>LOB1-65</t>
  </si>
  <si>
    <t>LOB1-66</t>
  </si>
  <si>
    <t>LOB1-Med. Admit RR M1</t>
  </si>
  <si>
    <t>paramLOB1Prod1Seg1RRM1</t>
  </si>
  <si>
    <t>LOB1-PPS Admit RR M1</t>
  </si>
  <si>
    <t>paramLOB1Prod1Seg2RRM1</t>
  </si>
  <si>
    <t>LOB1-PPS Other RR M1</t>
  </si>
  <si>
    <t>paramLOB1Prod1Seg3RRM1</t>
  </si>
  <si>
    <t>LOB1-Med. Recert RR M1</t>
  </si>
  <si>
    <t>paramLOB1Prod2Seg1RRM1</t>
  </si>
  <si>
    <t>LOB1-PPS Recert RR M1</t>
  </si>
  <si>
    <t>paramLOB1Prod2Seg2RRM1</t>
  </si>
  <si>
    <t>paramLOB1Prod2Seg3RRM1</t>
  </si>
  <si>
    <t>LOB1-67</t>
  </si>
  <si>
    <t>LOB2-50</t>
  </si>
  <si>
    <t>LOB2-Med. Admit RR M3</t>
  </si>
  <si>
    <t>paramLOB2Prod1Seg1RRM3</t>
  </si>
  <si>
    <t>LOB2-51</t>
  </si>
  <si>
    <t>LOB2-PPS Admit RR M3</t>
  </si>
  <si>
    <t>paramLOB2Prod1Seg2RRM3</t>
  </si>
  <si>
    <t>LOB2-52</t>
  </si>
  <si>
    <t>LOB2-PPS Other RR M3</t>
  </si>
  <si>
    <t>paramLOB2Prod1Seg3RRM3</t>
  </si>
  <si>
    <t>LOB2-53</t>
  </si>
  <si>
    <t>LOB2-Med. Recert RR M3</t>
  </si>
  <si>
    <t>paramLOB2Prod2Seg1RRM3</t>
  </si>
  <si>
    <t>LOB2-54</t>
  </si>
  <si>
    <t>LOB2-PPS Recert RR M3</t>
  </si>
  <si>
    <t>paramLOB2Prod2Seg2RRM3</t>
  </si>
  <si>
    <t>LOB2-55</t>
  </si>
  <si>
    <t>paramLOB2Prod2Seg3RRM3</t>
  </si>
  <si>
    <t>LOB2-56</t>
  </si>
  <si>
    <t>LOB2-Med. Admit RR M2</t>
  </si>
  <si>
    <t>paramLOB2Prod1Seg1RRM2</t>
  </si>
  <si>
    <t>LOB2-57</t>
  </si>
  <si>
    <t>LOB2-PPS Admit RR M2</t>
  </si>
  <si>
    <t>paramLOB2Prod1Seg2RRM2</t>
  </si>
  <si>
    <t>LOB2-58</t>
  </si>
  <si>
    <t>LOB2-PPS Other RR M2</t>
  </si>
  <si>
    <t>paramLOB2Prod1Seg3RRM2</t>
  </si>
  <si>
    <t>LOB2-59</t>
  </si>
  <si>
    <t>LOB2-Med. Recert RR M2</t>
  </si>
  <si>
    <t>paramLOB2Prod2Seg1RRM2</t>
  </si>
  <si>
    <t>LOB2-60</t>
  </si>
  <si>
    <t>LOB2-PPS Recert RR M2</t>
  </si>
  <si>
    <t>paramLOB2Prod2Seg2RRM2</t>
  </si>
  <si>
    <t>LOB2-61</t>
  </si>
  <si>
    <t>paramLOB2Prod2Seg3RRM2</t>
  </si>
  <si>
    <t>LOB2-62</t>
  </si>
  <si>
    <t>LOB2-Med. Admit RR M1</t>
  </si>
  <si>
    <t>paramLOB2Prod1Seg1RRM1</t>
  </si>
  <si>
    <t>LOB2-63</t>
  </si>
  <si>
    <t>LOB2-PPS Admit RR M1</t>
  </si>
  <si>
    <t>paramLOB2Prod1Seg2RRM1</t>
  </si>
  <si>
    <t>LOB2-64</t>
  </si>
  <si>
    <t>LOB2-PPS Other RR M1</t>
  </si>
  <si>
    <t>paramLOB2Prod1Seg3RRM1</t>
  </si>
  <si>
    <t>LOB2-65</t>
  </si>
  <si>
    <t>LOB2-Med. Recert RR M1</t>
  </si>
  <si>
    <t>paramLOB2Prod2Seg1RRM1</t>
  </si>
  <si>
    <t>LOB2-66</t>
  </si>
  <si>
    <t>LOB2-PPS Recert RR M1</t>
  </si>
  <si>
    <t>paramLOB2Prod2Seg2RRM1</t>
  </si>
  <si>
    <t>LOB2-67</t>
  </si>
  <si>
    <t>paramLOB2Prod2Seg3RRM1</t>
  </si>
  <si>
    <t>Run Rate Month -1</t>
  </si>
  <si>
    <t>calcLOB1Prod1Seg1RunRateM1</t>
  </si>
  <si>
    <t>calcLOB1Prod1Seg2RunRateM1</t>
  </si>
  <si>
    <t>calcLOB1Prod1Seg3RunRateM1</t>
  </si>
  <si>
    <t>calcLOB1Prod2Seg1RunRateM1</t>
  </si>
  <si>
    <t>calcLOB1Prod2Seg2RunRateM1</t>
  </si>
  <si>
    <t>calcLOB1Prod2Seg3RunRateM1</t>
  </si>
  <si>
    <t>calcLOB1RunRateM1</t>
  </si>
  <si>
    <t>calcLOB1Prod1Seg1RunRateM2</t>
  </si>
  <si>
    <t>calcLOB1Prod1Seg2RunRateM2</t>
  </si>
  <si>
    <t>calcLOB1Prod1Seg3RunRateM2</t>
  </si>
  <si>
    <t>calcLOB1Prod2Seg1RunRateM2</t>
  </si>
  <si>
    <t>calcLOB1Prod2Seg2RunRateM2</t>
  </si>
  <si>
    <t>calcLOB1Prod2Seg3RunRateM2</t>
  </si>
  <si>
    <t>calcLOB1RunRateM2</t>
  </si>
  <si>
    <t>Run Rate Month -2</t>
  </si>
  <si>
    <t>Run Rate Month -3</t>
  </si>
  <si>
    <t>calcLOB1Prod1Seg1RunRateM3</t>
  </si>
  <si>
    <t>calcLOB1Prod1Seg2RunRateM3</t>
  </si>
  <si>
    <t>calcLOB1Prod1Seg3RunRateM3</t>
  </si>
  <si>
    <t>calcLOB1Prod2Seg1RunRateM3</t>
  </si>
  <si>
    <t>calcLOB1Prod2Seg2RunRateM3</t>
  </si>
  <si>
    <t>calcLOB1Prod2Seg3RunRateM3</t>
  </si>
  <si>
    <t>calcLOB1RunRateM3</t>
  </si>
  <si>
    <t>calcLOB2Prod1Seg1RunRateM1</t>
  </si>
  <si>
    <t>calcLOB2Prod1Seg2RunRateM1</t>
  </si>
  <si>
    <t>calcLOB2Prod1Seg3RunRateM1</t>
  </si>
  <si>
    <t>calcLOB2Prod2Seg1RunRateM1</t>
  </si>
  <si>
    <t>calcLOB2Prod2Seg2RunRateM1</t>
  </si>
  <si>
    <t>calcLOB2Prod2Seg3RunRateM1</t>
  </si>
  <si>
    <t>calcLOB2RunRateM1</t>
  </si>
  <si>
    <t>calcLOB2Prod1Seg1RunRateM2</t>
  </si>
  <si>
    <t>calcLOB2Prod1Seg2RunRateM2</t>
  </si>
  <si>
    <t>calcLOB2Prod1Seg3RunRateM2</t>
  </si>
  <si>
    <t>calcLOB2Prod2Seg1RunRateM2</t>
  </si>
  <si>
    <t>calcLOB2Prod2Seg2RunRateM2</t>
  </si>
  <si>
    <t>calcLOB2Prod2Seg3RunRateM2</t>
  </si>
  <si>
    <t>calcLOB2RunRateM2</t>
  </si>
  <si>
    <t>calcLOB2Prod1Seg1RunRateM3</t>
  </si>
  <si>
    <t>calcLOB2Prod1Seg2RunRateM3</t>
  </si>
  <si>
    <t>calcLOB2Prod1Seg3RunRateM3</t>
  </si>
  <si>
    <t>calcLOB2Prod2Seg1RunRateM3</t>
  </si>
  <si>
    <t>calcLOB2Prod2Seg2RunRateM3</t>
  </si>
  <si>
    <t>calcLOB2Prod2Seg3RunRateM3</t>
  </si>
  <si>
    <t>calcLOB2RunRateM3</t>
  </si>
  <si>
    <t>tlOutputLOB1ProjectionAdj_R1</t>
  </si>
  <si>
    <t>tlOutputLOB1ProjectionAdj_R2</t>
  </si>
  <si>
    <t>tlOutputLOB2ProjectionAdj_R1</t>
  </si>
  <si>
    <t>tlOutputLOB2ProjectionAdj_R2</t>
  </si>
  <si>
    <t>tlInputTeamName</t>
  </si>
  <si>
    <t>SWOT Analysis</t>
  </si>
  <si>
    <t>Strenghts</t>
  </si>
  <si>
    <t>Weaknesses</t>
  </si>
  <si>
    <t>Opportunities</t>
  </si>
  <si>
    <t>Threats</t>
  </si>
  <si>
    <t>Strategy Vision</t>
  </si>
  <si>
    <t>tlInputStrengths</t>
  </si>
  <si>
    <t>tlInputWeaknesses</t>
  </si>
  <si>
    <t>tlInputOpportunities</t>
  </si>
  <si>
    <t>tlInputThreats</t>
  </si>
  <si>
    <t>tlInputStrategyVision</t>
  </si>
  <si>
    <t>DOO Decisions Made</t>
  </si>
  <si>
    <t>Forcast Decisions Made</t>
  </si>
  <si>
    <t>Clincial Quality</t>
  </si>
  <si>
    <t>Clinical Quality</t>
  </si>
  <si>
    <t>LOB2 - Clinical Quality</t>
  </si>
  <si>
    <t>Referral Volume</t>
  </si>
  <si>
    <t>&lt;-- make percentage</t>
  </si>
  <si>
    <t>Higher Impact</t>
  </si>
  <si>
    <t>very Low</t>
  </si>
  <si>
    <t>paramLOB1Emp1VisitsPEmp</t>
  </si>
  <si>
    <t>paramLOB1Emp2VisitsPEmp</t>
  </si>
  <si>
    <t>paramLOB1Emp3VisitsPEmp</t>
  </si>
  <si>
    <t>LOB1-68</t>
  </si>
  <si>
    <t>LOB1-69</t>
  </si>
  <si>
    <t>LOB1-70</t>
  </si>
  <si>
    <t>LOB1 - Clinical Quality</t>
  </si>
  <si>
    <t>LOB2-68</t>
  </si>
  <si>
    <t>paramLOB2Emp1VisitsPEmp</t>
  </si>
  <si>
    <t>LOB2-69</t>
  </si>
  <si>
    <t>paramLOB2Emp2VisitsPEmp</t>
  </si>
  <si>
    <t>LOB2-70</t>
  </si>
  <si>
    <t>paramLOB2Emp3VisitsPEmp</t>
  </si>
  <si>
    <t>Very low</t>
  </si>
  <si>
    <t>Enhanced On-Boarding and Orientation for New Employees</t>
  </si>
  <si>
    <t>LOB1-71</t>
  </si>
  <si>
    <t>LOB1-72</t>
  </si>
  <si>
    <t>LOB1-73</t>
  </si>
  <si>
    <t>LOB1-74</t>
  </si>
  <si>
    <t>LOB1 - Other RN Productivity</t>
  </si>
  <si>
    <t>LOB1 - Other LPN Productivity</t>
  </si>
  <si>
    <t>LOB1 - Other PT Productivity</t>
  </si>
  <si>
    <t>LOB1 - Other OT Productivity</t>
  </si>
  <si>
    <t>paramLOB1Disc1Productivity</t>
  </si>
  <si>
    <t>paramLOB1Disc2Productivity</t>
  </si>
  <si>
    <t>paramLOB1Disc3Productivity</t>
  </si>
  <si>
    <t>paramLOB1Disc4Productivity</t>
  </si>
  <si>
    <t>LOB2-71</t>
  </si>
  <si>
    <t>LOB2 - Other RN Productivity</t>
  </si>
  <si>
    <t>paramLOB2Disc1Productivity</t>
  </si>
  <si>
    <t>LOB2-72</t>
  </si>
  <si>
    <t>LOB2 - Other LPN Productivity</t>
  </si>
  <si>
    <t>paramLOB2Disc2Productivity</t>
  </si>
  <si>
    <t>LOB2-73</t>
  </si>
  <si>
    <t>LOB2 - Other PT Productivity</t>
  </si>
  <si>
    <t>paramLOB2Disc3Productivity</t>
  </si>
  <si>
    <t>LOB2-74</t>
  </si>
  <si>
    <t>LOB2 - Other OT Productivity</t>
  </si>
  <si>
    <t>paramLOB2Disc4Productivity</t>
  </si>
  <si>
    <t>Challenge # 7 - Feedback</t>
  </si>
  <si>
    <t>Challenge #3 - New Technology</t>
  </si>
  <si>
    <t>Challenge #1 - Managing a Whirlwind</t>
  </si>
  <si>
    <t>Revenue Per Episode</t>
  </si>
  <si>
    <t>finPNLLOB1Seg1RevPEpisode</t>
  </si>
  <si>
    <t>finPNLLOB1Seg2RevPEpisode</t>
  </si>
  <si>
    <t>finPNLLOB1Seg3RevPEpisode</t>
  </si>
  <si>
    <t>finPNLLOB1Prod1Seg1Rev</t>
  </si>
  <si>
    <t>finPNLLOB1Prod1Seg2Rev</t>
  </si>
  <si>
    <t>finPNLLOB1Seg1Rev</t>
  </si>
  <si>
    <t>finPNLLOB1Prod2Seg1Rev</t>
  </si>
  <si>
    <t>finPNLLOB1Prod2Seg2Rev</t>
  </si>
  <si>
    <t>finPNLLOB1Seg2Rev</t>
  </si>
  <si>
    <t>finPNLLOB1Prod1Seg3Rev</t>
  </si>
  <si>
    <t>finPNLLOB1Prod2Seg3Rev</t>
  </si>
  <si>
    <t>finPNLLOB1Seg3Rev</t>
  </si>
  <si>
    <t>finPNLLOB2Seg1RevPEpisode</t>
  </si>
  <si>
    <t>finPNLLOB2Seg2RevPEpisode</t>
  </si>
  <si>
    <t>finPNLLOB2Seg3RevPEpisode</t>
  </si>
  <si>
    <t>finPNLLOB2Prod1Seg1Rev</t>
  </si>
  <si>
    <t>finPNLLOB2Prod2Seg1Rev</t>
  </si>
  <si>
    <t>finPNLLOB2Seg1Rev</t>
  </si>
  <si>
    <t>finPNLLOB2Prod1Seg2Rev</t>
  </si>
  <si>
    <t>finPNLLOB2Prod2Seg2Rev</t>
  </si>
  <si>
    <t>finPNLLOB2Seg2Rev</t>
  </si>
  <si>
    <t>finPNLLOB2Prod1Seg3Rev</t>
  </si>
  <si>
    <t>finPNLLOB2Prod2Seg3Rev</t>
  </si>
  <si>
    <t>finPNLLOB2Seg3Rev</t>
  </si>
  <si>
    <t>finPNLSeg1Rev</t>
  </si>
  <si>
    <t>finPNLSeg2Rev</t>
  </si>
  <si>
    <t>finPNLSeg3Rev</t>
  </si>
  <si>
    <t>tlOutputfinLOB1Seg1Rev_R1</t>
  </si>
  <si>
    <t>tlOutputfinLOB1Seg2Rev_R1</t>
  </si>
  <si>
    <t>tlOutputfinLOB1Seg3Rev_R1</t>
  </si>
  <si>
    <t>tlOutputfinLOB2Seg1Rev_R1</t>
  </si>
  <si>
    <t>tlOutputfinLOB2Seg2Rev_R1</t>
  </si>
  <si>
    <t>tlOutputfinLOB2Seg3Rev_R1</t>
  </si>
  <si>
    <t>tlOutputfinSeg1Rev_R1</t>
  </si>
  <si>
    <t>tlOutputfinSeg2Rev_R1</t>
  </si>
  <si>
    <t>tlOutputfinSeg3Rev_R1</t>
  </si>
  <si>
    <t>tlOutputfinSeg1Rev_R2</t>
  </si>
  <si>
    <t>tlOutputfinSeg2Rev_R2</t>
  </si>
  <si>
    <t>tlOutputfinSeg3Rev_R2</t>
  </si>
  <si>
    <t>LOB1-Clinician 1 Mileage</t>
  </si>
  <si>
    <t>paramLOB1Clinician1Mileage</t>
  </si>
  <si>
    <t>LOB1-Clinician 2 Mileage</t>
  </si>
  <si>
    <t>paramLOB1Clinician2Mileage</t>
  </si>
  <si>
    <t>LOB1-Clinician 3 Mileage</t>
  </si>
  <si>
    <t>paramLOB1Clinician3Mileage</t>
  </si>
  <si>
    <t>LOB1-Clinician 4 Mileage</t>
  </si>
  <si>
    <t>paramLOB1Clinician4Mileage</t>
  </si>
  <si>
    <t>LOB1-Clinician 5 Mileage</t>
  </si>
  <si>
    <t>paramLOB1Clinician5Mileage</t>
  </si>
  <si>
    <t>LOB1-Clinician 6 Mileage</t>
  </si>
  <si>
    <t>paramLOB1Clinician6Mileage</t>
  </si>
  <si>
    <t>LOB1-Clinician 7 Mileage</t>
  </si>
  <si>
    <t>paramLOB1Clinician7Mileage</t>
  </si>
  <si>
    <t>LOB1-Clinician 8 Mileage</t>
  </si>
  <si>
    <t>paramLOB1Clinician8Mileage</t>
  </si>
  <si>
    <t>LOB1-Clinician 9 Mileage</t>
  </si>
  <si>
    <t>paramLOB1Clinician9Mileage</t>
  </si>
  <si>
    <t>LOB1-Clinician 10 Mileage</t>
  </si>
  <si>
    <t>paramLOB1Clinician10Mileage</t>
  </si>
  <si>
    <t>LOB1-Clinician 11 Mileage</t>
  </si>
  <si>
    <t>paramLOB1Clinician11Mileage</t>
  </si>
  <si>
    <t>LOB1-Clinician 12 Mileage</t>
  </si>
  <si>
    <t>paramLOB1Clinician12Mileage</t>
  </si>
  <si>
    <t>LOB1-75</t>
  </si>
  <si>
    <t>LOB1-76</t>
  </si>
  <si>
    <t>LOB1-77</t>
  </si>
  <si>
    <t>LOB1-78</t>
  </si>
  <si>
    <t>LOB1-79</t>
  </si>
  <si>
    <t>LOB1-80</t>
  </si>
  <si>
    <t>LOB1-81</t>
  </si>
  <si>
    <t>LOB1-82</t>
  </si>
  <si>
    <t>LOB1-83</t>
  </si>
  <si>
    <t>LOB1-84</t>
  </si>
  <si>
    <t>LOB1-85</t>
  </si>
  <si>
    <t>LOB1-86</t>
  </si>
  <si>
    <t>LOB1-Clinician 1 Admin</t>
  </si>
  <si>
    <t>paramLOB1Clinician1Admin</t>
  </si>
  <si>
    <t>LOB1-Clinician 2 Admin</t>
  </si>
  <si>
    <t>paramLOB1Clinician2Admin</t>
  </si>
  <si>
    <t>LOB1-Clinician 3 Admin</t>
  </si>
  <si>
    <t>paramLOB1Clinician3Admin</t>
  </si>
  <si>
    <t>LOB1-Clinician 4 Admin</t>
  </si>
  <si>
    <t>paramLOB1Clinician4Admin</t>
  </si>
  <si>
    <t>LOB1-Clinician 5 Admin</t>
  </si>
  <si>
    <t>paramLOB1Clinician5Admin</t>
  </si>
  <si>
    <t>LOB1-Clinician 6 Admin</t>
  </si>
  <si>
    <t>paramLOB1Clinician6Admin</t>
  </si>
  <si>
    <t>LOB1-Clinician 7 Admin</t>
  </si>
  <si>
    <t>paramLOB1Clinician7Admin</t>
  </si>
  <si>
    <t>LOB1-Clinician 8 Admin</t>
  </si>
  <si>
    <t>paramLOB1Clinician8Admin</t>
  </si>
  <si>
    <t>LOB1-Clinician 9 Admin</t>
  </si>
  <si>
    <t>paramLOB1Clinician9Admin</t>
  </si>
  <si>
    <t>LOB1-Clinician 10 Admin</t>
  </si>
  <si>
    <t>paramLOB1Clinician10Admin</t>
  </si>
  <si>
    <t>LOB1-Clinician 11 Admin</t>
  </si>
  <si>
    <t>paramLOB1Clinician11Admin</t>
  </si>
  <si>
    <t>LOB1-Clinician 12 Admin</t>
  </si>
  <si>
    <t>paramLOB1Clinician12Admin</t>
  </si>
  <si>
    <t>LOB1-87</t>
  </si>
  <si>
    <t>LOB1-88</t>
  </si>
  <si>
    <t>LOB1-89</t>
  </si>
  <si>
    <t>LOB1-90</t>
  </si>
  <si>
    <t>LOB1-91</t>
  </si>
  <si>
    <t>LOB1-92</t>
  </si>
  <si>
    <t>LOB1-93</t>
  </si>
  <si>
    <t>LOB1-94</t>
  </si>
  <si>
    <t>LOB1-95</t>
  </si>
  <si>
    <t>LOB1-96</t>
  </si>
  <si>
    <t>LOB1-97</t>
  </si>
  <si>
    <t>LOB1-98</t>
  </si>
  <si>
    <t>Wayne Winslow</t>
  </si>
  <si>
    <t>LOB2-75</t>
  </si>
  <si>
    <t>LOB2-Clinician 1 Mileage</t>
  </si>
  <si>
    <t>paramLOB2Clinician1Mileage</t>
  </si>
  <si>
    <t>LOB2-76</t>
  </si>
  <si>
    <t>LOB2-Clinician 2 Mileage</t>
  </si>
  <si>
    <t>paramLOB2Clinician2Mileage</t>
  </si>
  <si>
    <t>LOB2-77</t>
  </si>
  <si>
    <t>LOB2-Clinician 3 Mileage</t>
  </si>
  <si>
    <t>paramLOB2Clinician3Mileage</t>
  </si>
  <si>
    <t>LOB2-78</t>
  </si>
  <si>
    <t>LOB2-Clinician 4 Mileage</t>
  </si>
  <si>
    <t>paramLOB2Clinician4Mileage</t>
  </si>
  <si>
    <t>LOB2-79</t>
  </si>
  <si>
    <t>LOB2-Clinician 5 Mileage</t>
  </si>
  <si>
    <t>paramLOB2Clinician5Mileage</t>
  </si>
  <si>
    <t>LOB2-80</t>
  </si>
  <si>
    <t>LOB2-Clinician 6 Mileage</t>
  </si>
  <si>
    <t>paramLOB2Clinician6Mileage</t>
  </si>
  <si>
    <t>LOB2-81</t>
  </si>
  <si>
    <t>LOB2-Clinician 7 Mileage</t>
  </si>
  <si>
    <t>paramLOB2Clinician7Mileage</t>
  </si>
  <si>
    <t>LOB2-82</t>
  </si>
  <si>
    <t>LOB2-Clinician 8 Mileage</t>
  </si>
  <si>
    <t>paramLOB2Clinician8Mileage</t>
  </si>
  <si>
    <t>LOB2-83</t>
  </si>
  <si>
    <t>LOB2-Clinician 9 Mileage</t>
  </si>
  <si>
    <t>paramLOB2Clinician9Mileage</t>
  </si>
  <si>
    <t>LOB2-84</t>
  </si>
  <si>
    <t>LOB2-Clinician 10 Mileage</t>
  </si>
  <si>
    <t>paramLOB2Clinician10Mileage</t>
  </si>
  <si>
    <t>LOB2-85</t>
  </si>
  <si>
    <t>LOB2-Clinician 11 Mileage</t>
  </si>
  <si>
    <t>paramLOB2Clinician11Mileage</t>
  </si>
  <si>
    <t>LOB2-86</t>
  </si>
  <si>
    <t>LOB2-Clinician 12 Mileage</t>
  </si>
  <si>
    <t>paramLOB2Clinician12Mileage</t>
  </si>
  <si>
    <t>LOB2-87</t>
  </si>
  <si>
    <t>LOB2-Clinician 1 Admin</t>
  </si>
  <si>
    <t>paramLOB2Clinician1Admin</t>
  </si>
  <si>
    <t>LOB2-88</t>
  </si>
  <si>
    <t>LOB2-Clinician 2 Admin</t>
  </si>
  <si>
    <t>paramLOB2Clinician2Admin</t>
  </si>
  <si>
    <t>LOB2-89</t>
  </si>
  <si>
    <t>LOB2-Clinician 3 Admin</t>
  </si>
  <si>
    <t>paramLOB2Clinician3Admin</t>
  </si>
  <si>
    <t>LOB2-90</t>
  </si>
  <si>
    <t>LOB2-Clinician 4 Admin</t>
  </si>
  <si>
    <t>paramLOB2Clinician4Admin</t>
  </si>
  <si>
    <t>LOB2-91</t>
  </si>
  <si>
    <t>LOB2-Clinician 5 Admin</t>
  </si>
  <si>
    <t>paramLOB2Clinician5Admin</t>
  </si>
  <si>
    <t>LOB2-92</t>
  </si>
  <si>
    <t>LOB2-Clinician 6 Admin</t>
  </si>
  <si>
    <t>paramLOB2Clinician6Admin</t>
  </si>
  <si>
    <t>LOB2-93</t>
  </si>
  <si>
    <t>LOB2-Clinician 7 Admin</t>
  </si>
  <si>
    <t>paramLOB2Clinician7Admin</t>
  </si>
  <si>
    <t>LOB2-94</t>
  </si>
  <si>
    <t>LOB2-Clinician 8 Admin</t>
  </si>
  <si>
    <t>paramLOB2Clinician8Admin</t>
  </si>
  <si>
    <t>LOB2-95</t>
  </si>
  <si>
    <t>LOB2-Clinician 9 Admin</t>
  </si>
  <si>
    <t>paramLOB2Clinician9Admin</t>
  </si>
  <si>
    <t>LOB2-96</t>
  </si>
  <si>
    <t>LOB2-Clinician 10 Admin</t>
  </si>
  <si>
    <t>paramLOB2Clinician10Admin</t>
  </si>
  <si>
    <t>LOB2-97</t>
  </si>
  <si>
    <t>LOB2-Clinician 11 Admin</t>
  </si>
  <si>
    <t>paramLOB2Clinician11Admin</t>
  </si>
  <si>
    <t>LOB2-98</t>
  </si>
  <si>
    <t>LOB2-Clinician 12 Admin</t>
  </si>
  <si>
    <t>paramLOB2Clinician12Admin</t>
  </si>
  <si>
    <t>Feedback and Coaching - if 8 is selected you get bonus pts</t>
  </si>
  <si>
    <t>obalLOB1DOOTime1</t>
  </si>
  <si>
    <t>obalLOB1DOOTime2</t>
  </si>
  <si>
    <t>obalLOB1DOOTime3</t>
  </si>
  <si>
    <t>obalLOB1DOOTime4</t>
  </si>
  <si>
    <t>obalLOB1DOOTime5</t>
  </si>
  <si>
    <t>obalLOB1DOOTime6</t>
  </si>
  <si>
    <t>obalLOB1DOOTotalTime</t>
  </si>
  <si>
    <t>cbalLOB1DOOTime1</t>
  </si>
  <si>
    <t>cbalLOB1DOOTime2</t>
  </si>
  <si>
    <t>cbalLOB1DOOTime3</t>
  </si>
  <si>
    <t>cbalLOB1DOOTime4</t>
  </si>
  <si>
    <t>cbalLOB1DOOTime5</t>
  </si>
  <si>
    <t>cbalLOB1DOOTime6</t>
  </si>
  <si>
    <t>cbalLOB1DOOTotalTime</t>
  </si>
  <si>
    <t>obalLOB1Disc1Retention</t>
  </si>
  <si>
    <t>obalLOB1Disc2Retention</t>
  </si>
  <si>
    <t>obalLOB1Disc3Retention</t>
  </si>
  <si>
    <t>obalLOB1Disc4Retention</t>
  </si>
  <si>
    <t>cbalLOB1Disc1Retention</t>
  </si>
  <si>
    <t>cbalLOB1Disc2Retention</t>
  </si>
  <si>
    <t>cbalLOB1Disc3Retention</t>
  </si>
  <si>
    <t>cbalLOB1Disc4Retention</t>
  </si>
  <si>
    <t>calcLOB1Disc1Retention</t>
  </si>
  <si>
    <t>calcLOB1Disc2Retention</t>
  </si>
  <si>
    <t>calcLOB1Disc3Retention</t>
  </si>
  <si>
    <t>DOO Recruitment</t>
  </si>
  <si>
    <t>calcLOB1Disc4Retention</t>
  </si>
  <si>
    <t>cbalLOB2Disc1Retention</t>
  </si>
  <si>
    <t>cbalLOB2Disc2Retention</t>
  </si>
  <si>
    <t>cbalLOB2Disc3Retention</t>
  </si>
  <si>
    <t>cbalLOB2Disc4Retention</t>
  </si>
  <si>
    <t>cbalLOB2DOOTime1</t>
  </si>
  <si>
    <t>cbalLOB2DOOTime2</t>
  </si>
  <si>
    <t>cbalLOB2DOOTime3</t>
  </si>
  <si>
    <t>cbalLOB2DOOTime4</t>
  </si>
  <si>
    <t>cbalLOB2DOOTime5</t>
  </si>
  <si>
    <t>cbalLOB2DOOTime6</t>
  </si>
  <si>
    <t>cbalLOB2DOOTotalTime</t>
  </si>
  <si>
    <t>obalLOB2Disc1Retention</t>
  </si>
  <si>
    <t>obalLOB2Disc2Retention</t>
  </si>
  <si>
    <t>obalLOB2Disc3Retention</t>
  </si>
  <si>
    <t>obalLOB2Disc4Retention</t>
  </si>
  <si>
    <t>obalLOB2DOOTime1</t>
  </si>
  <si>
    <t>obalLOB2DOOTime2</t>
  </si>
  <si>
    <t>obalLOB2DOOTime3</t>
  </si>
  <si>
    <t>obalLOB2DOOTime4</t>
  </si>
  <si>
    <t>obalLOB2DOOTime5</t>
  </si>
  <si>
    <t>obalLOB2DOOTime6</t>
  </si>
  <si>
    <t>obalLOB2DOOTotalTime</t>
  </si>
  <si>
    <t>calcLOB2Disc1Retention</t>
  </si>
  <si>
    <t>calcLOB2Disc2Retention</t>
  </si>
  <si>
    <t>calcLOB2Disc3Retention</t>
  </si>
  <si>
    <t>calcLOB2Disc4Retention</t>
  </si>
  <si>
    <t>People Development Time</t>
  </si>
  <si>
    <t>DOO Focus Initiatives</t>
  </si>
  <si>
    <t>Staff Meetings</t>
  </si>
  <si>
    <t>DOO Time Allocation</t>
  </si>
  <si>
    <t>LOB1-99</t>
  </si>
  <si>
    <t>LOB1-Overhead</t>
  </si>
  <si>
    <t>paramLOB1Overhead</t>
  </si>
  <si>
    <t>LOB2-99</t>
  </si>
  <si>
    <t>LOB2-Overhead</t>
  </si>
  <si>
    <t>paramLOB2Overhead</t>
  </si>
  <si>
    <t>tlInputR1Event1Status</t>
  </si>
  <si>
    <t>tlInputR1Event2Status</t>
  </si>
  <si>
    <t>tlInputR1Event3Status</t>
  </si>
  <si>
    <t>tlInputR1Event4Status</t>
  </si>
  <si>
    <t>tlInputR2Event1Status</t>
  </si>
  <si>
    <t>tlInputR2Event2Status</t>
  </si>
  <si>
    <t>tlInputR2Event3Status</t>
  </si>
  <si>
    <t>tlInputR2Event4Status</t>
  </si>
  <si>
    <t>tlInputR2Event5Status</t>
  </si>
  <si>
    <t>Referral</t>
  </si>
  <si>
    <t>CHL Group</t>
  </si>
  <si>
    <t>MedAssist</t>
  </si>
  <si>
    <t>Leading marketshare in Riverside</t>
  </si>
  <si>
    <t>Strong Referrals</t>
  </si>
  <si>
    <t>Top Talent, premium benefits</t>
  </si>
  <si>
    <t>Kinder</t>
  </si>
  <si>
    <t>Strong Brand</t>
  </si>
  <si>
    <t>Leading marketshare in Pl</t>
  </si>
  <si>
    <t>Large referral network</t>
  </si>
  <si>
    <t>Strong BD Staff</t>
  </si>
  <si>
    <t>Industry</t>
  </si>
  <si>
    <t>Riverside</t>
  </si>
  <si>
    <t>Pleasantville</t>
  </si>
  <si>
    <t>MarketShare R0</t>
  </si>
  <si>
    <t>MedAssist Marketshare</t>
  </si>
  <si>
    <t>Events</t>
  </si>
  <si>
    <t>Another Technology Rollout</t>
  </si>
  <si>
    <t>Rally the Troops</t>
  </si>
  <si>
    <t>Nominate a Champion</t>
  </si>
  <si>
    <t>Be Empathetic</t>
  </si>
  <si>
    <t>Friendship or Leadership?</t>
  </si>
  <si>
    <t>Give her direct feedback</t>
  </si>
  <si>
    <t>Find ways to motivate</t>
  </si>
  <si>
    <t>Ask questions</t>
  </si>
  <si>
    <t>A Whirlwind of Work</t>
  </si>
  <si>
    <t>Tackle issues head on</t>
  </si>
  <si>
    <t>Manage one issue at a time</t>
  </si>
  <si>
    <t>tlOutputComp1LOB1MSR_2</t>
  </si>
  <si>
    <t>tlOutputComp1LOB1MSR_1</t>
  </si>
  <si>
    <t>tlOutputComp1LOB1MSR0</t>
  </si>
  <si>
    <t>tlOutputComp1LOB2MSR_2</t>
  </si>
  <si>
    <t>tlOutputComp1LOB2MSR_1</t>
  </si>
  <si>
    <t>tlOutputComp1LOB2MSR0</t>
  </si>
  <si>
    <t>tlOutputComp2LOB1MSR_2</t>
  </si>
  <si>
    <t>tlOutputComp2LOB1MSR_1</t>
  </si>
  <si>
    <t>tlOutputComp2LOB1MSR0</t>
  </si>
  <si>
    <t>tlOutputComp2LOB2MSR_2</t>
  </si>
  <si>
    <t>tlOutputComp2LOB2MSR_1</t>
  </si>
  <si>
    <t>tlOutputComp2LOB2MSR0</t>
  </si>
  <si>
    <t>Increase team productivity by 5% each round.</t>
  </si>
  <si>
    <t>caclLOB1Emp1Utilization</t>
  </si>
  <si>
    <t>caclLOB1Emp2Utilization</t>
  </si>
  <si>
    <t>caclLOB1Emp3Utilization</t>
  </si>
  <si>
    <t>caclLOB2Emp1Utilization</t>
  </si>
  <si>
    <t>caclLOB2Emp2Utilization</t>
  </si>
  <si>
    <t>caclLOB2Emp3Utilization</t>
  </si>
  <si>
    <t>Utilzation %</t>
  </si>
  <si>
    <t>finPNLLOB1GrossMargin</t>
  </si>
  <si>
    <t>finPNLLOB2GrossMargin</t>
  </si>
  <si>
    <t>finPNLGrossMargin</t>
  </si>
  <si>
    <t>tlOutputfinLOB1GrossMargin_R1</t>
  </si>
  <si>
    <t>tlOutputfinLOB2GrossMargin_R1</t>
  </si>
  <si>
    <t>tlOutputfinGrossMargin_R1</t>
  </si>
  <si>
    <t>tlOutputfinGrossMargin_R2</t>
  </si>
  <si>
    <t>G&amp;A</t>
  </si>
  <si>
    <t>G&amp;A and Other</t>
  </si>
  <si>
    <t>Total G&amp;A Expense</t>
  </si>
  <si>
    <t>NIFO %</t>
  </si>
  <si>
    <t>Field G&amp;A</t>
  </si>
  <si>
    <t>Home office G&amp;A</t>
  </si>
  <si>
    <t>Cost per visit</t>
  </si>
  <si>
    <t>55-65%</t>
  </si>
  <si>
    <t>35-45%</t>
  </si>
  <si>
    <t>G&amp;A Salary, wage &amp; benefit</t>
  </si>
  <si>
    <t>G&amp;A Other</t>
  </si>
  <si>
    <t>Allocations</t>
  </si>
  <si>
    <t>Admin Expense</t>
  </si>
  <si>
    <t>15-20%</t>
  </si>
  <si>
    <t>Revenue by Payer</t>
  </si>
  <si>
    <t>New Admissions and Recerts</t>
  </si>
  <si>
    <t>Referral Source Satisfaction</t>
  </si>
  <si>
    <t>CAGR</t>
  </si>
  <si>
    <t>tlOutputFBLOB1Seg1Rev_R1</t>
  </si>
  <si>
    <t>tlOutputFBLOB1Seg2Rev_R1</t>
  </si>
  <si>
    <t>tlOutputFBLOB1Seg3Rev_R1</t>
  </si>
  <si>
    <t>tlOutputFBLOB1RevGrowth_R1</t>
  </si>
  <si>
    <t>tlOutputFBLOB1Prod1Seg1Patients_R1</t>
  </si>
  <si>
    <t>tlOutputFBLOB1Prod1Seg2Patients_R1</t>
  </si>
  <si>
    <t>tlOutputFBLOB1Prod2Seg1Patients_R1</t>
  </si>
  <si>
    <t>tlOutputFBLOB1Prod2Seg2Patients_R1</t>
  </si>
  <si>
    <t>tlOutputFBLOB1Prod1Seg3Patients_R1</t>
  </si>
  <si>
    <t>tlOutputFBLOB1Prod2Seg3Patients_R1</t>
  </si>
  <si>
    <t>% New</t>
  </si>
  <si>
    <t>Read</t>
  </si>
  <si>
    <t>tlInputReadR1Event1</t>
  </si>
  <si>
    <t>tlInputReadR1Event2</t>
  </si>
  <si>
    <t>tlInputReadR1Event3</t>
  </si>
  <si>
    <t>tlInputReadR1Event4</t>
  </si>
  <si>
    <t>tlInputReadR2Event1</t>
  </si>
  <si>
    <t>tlInputReadR2Event2</t>
  </si>
  <si>
    <t>tlInputReadR2Event3</t>
  </si>
  <si>
    <t>tlInputReadR2Event4</t>
  </si>
  <si>
    <t>Trigger</t>
  </si>
  <si>
    <t>tlOutputTriggerR1Event1</t>
  </si>
  <si>
    <t>tlOutputTriggerR1Event2</t>
  </si>
  <si>
    <t>tlOutputTriggerR1Event3</t>
  </si>
  <si>
    <t>tlOutputTriggerR1Event4</t>
  </si>
  <si>
    <t>tlInputTeamYear</t>
  </si>
  <si>
    <t>tlOutputTriggerR2Event1</t>
  </si>
  <si>
    <t>tlOutputTriggerR2Event2</t>
  </si>
  <si>
    <t>tlOutputTriggerR2Event3</t>
  </si>
  <si>
    <t>tlOutputTriggerR2Event4</t>
  </si>
  <si>
    <t>tlOutputLOB1Emp1Utilization_R1</t>
  </si>
  <si>
    <t>tlOutputLOB1Emp1Utilization_R2</t>
  </si>
  <si>
    <t>tlOutputLOB1Emp2Utilization_R1</t>
  </si>
  <si>
    <t>tlOutputLOB1Emp2Utilization_R2</t>
  </si>
  <si>
    <t>tlOutputLOB1Emp3Utilization_R1</t>
  </si>
  <si>
    <t>tlOutputLOB1Emp3Utilization_R2</t>
  </si>
  <si>
    <t>tlOutputLOB2Emp1Utilization_R1</t>
  </si>
  <si>
    <t>tlOutputLOB2Emp1Utilization_R2</t>
  </si>
  <si>
    <t>tlOutputLOB2Emp2Utilization_R1</t>
  </si>
  <si>
    <t>tlOutputLOB2Emp2Utilization_R2</t>
  </si>
  <si>
    <t>tlOutputLOB2Emp3Utilization_R1</t>
  </si>
  <si>
    <t>tlOutputLOB2Emp3Utilization_R2</t>
  </si>
  <si>
    <t>tlInputLOB1MaxSpecProg_R1</t>
  </si>
  <si>
    <t>tlOutputLOB1SpecProgRemaining_R1</t>
  </si>
  <si>
    <t>tlInputLOB1MaxSpecProg_R2</t>
  </si>
  <si>
    <t>tlOutputLOB1SpecProgRemaining_R2</t>
  </si>
  <si>
    <t>tlInputLOB2MaxSpecProg_R1</t>
  </si>
  <si>
    <t>tlOutputLOB2SpecProgRemaining_R1</t>
  </si>
  <si>
    <t>tlInputLOB2MaxSpecProg_R2</t>
  </si>
  <si>
    <t>tlOutputLOB2SpecProgRemaining_R2</t>
  </si>
  <si>
    <t>tlOutputFBLOB1AdmintPerc_R1</t>
  </si>
  <si>
    <t>tlOutputFBLOB1CSATImpact1_R1</t>
  </si>
  <si>
    <t>tlOutputFBLOB1CSATImpact2_R1</t>
  </si>
  <si>
    <t>tlOutputFBLOB1CSATImpact3_R1</t>
  </si>
  <si>
    <t>tlOutputFBLOB1CSATImpact4_R1</t>
  </si>
  <si>
    <t>tlOutputFBLOB1CSAT_R1</t>
  </si>
  <si>
    <t>tlOutputFBLOB1StarsImpact1_R1</t>
  </si>
  <si>
    <t>tlOutputFBLOB1StarsImpact2_R1</t>
  </si>
  <si>
    <t>tlOutputFBLOB1StarsImpact3_R1</t>
  </si>
  <si>
    <t>tlOutputFBLOB1StarsImpact4_R1</t>
  </si>
  <si>
    <t>tlOutputFBLOB1Stars_R1</t>
  </si>
  <si>
    <t>tlOutputFBLOB1StarsImpact5_R1</t>
  </si>
  <si>
    <t>tlOutputFBLOB1ESATImpact1_R1</t>
  </si>
  <si>
    <t>tlOutputFBLOB1ESATImpact2_R1</t>
  </si>
  <si>
    <t>tlOutputFBLOB1ESATImpact3_R1</t>
  </si>
  <si>
    <t>tlOutputFBLOB1ESAT_R1</t>
  </si>
  <si>
    <t>tlOutputFBLOB1Emp1Cost_R1</t>
  </si>
  <si>
    <t>tlOutputFBLOB1Emp2Cost_R1</t>
  </si>
  <si>
    <t>tlOutputFBLOB1GrossProfit_R1</t>
  </si>
  <si>
    <t>tlOutputFBLOB1GrossMargin_R1</t>
  </si>
  <si>
    <t>Productivity</t>
  </si>
  <si>
    <t>tlOutputFBLOB1Emp1Capacity_R1</t>
  </si>
  <si>
    <t>tlOutputFBLOB1Emp1Visits_R1</t>
  </si>
  <si>
    <t>tlOutputFBLOB1Emp2Capacity_R1</t>
  </si>
  <si>
    <t>tlOutputFBLOB1Emp2Visits_R1</t>
  </si>
  <si>
    <t>tlOutputFBLOB1Emp3Capacity_R1</t>
  </si>
  <si>
    <t>tlOutputFBLOB1Emp3Visits_R1</t>
  </si>
  <si>
    <t>% Above Capacity</t>
  </si>
  <si>
    <t>tlOutputFBLOB1CapacityPerc_R1</t>
  </si>
  <si>
    <t>tlOutputFBLOB1ServiceCost_R1</t>
  </si>
  <si>
    <t>tlOutputFBLOB1EmpOverhead_R1</t>
  </si>
  <si>
    <t>tlOutputFBLOB1OpProfit_R1</t>
  </si>
  <si>
    <t>tlOutputFBLOB1OpMargin_R1</t>
  </si>
  <si>
    <t>Net Income From Operations</t>
  </si>
  <si>
    <t>tlOutputFBLOB2Seg1Rev_R1</t>
  </si>
  <si>
    <t>tlOutputFBLOB2Seg2Rev_R1</t>
  </si>
  <si>
    <t>tlOutputFBLOB2Seg3Rev_R1</t>
  </si>
  <si>
    <t>tlOutputFBLOB2RevGrowth_R1</t>
  </si>
  <si>
    <t>tlOutputFBLOB2Prod1Seg1Patients_R1</t>
  </si>
  <si>
    <t>tlOutputFBLOB2Prod2Seg1Patients_R1</t>
  </si>
  <si>
    <t>tlOutputFBLOB2Prod1Seg2Patients_R1</t>
  </si>
  <si>
    <t>tlOutputFBLOB2Prod2Seg2Patients_R1</t>
  </si>
  <si>
    <t>tlOutputFBLOB2Prod1Seg3Patients_R1</t>
  </si>
  <si>
    <t>tlOutputFBLOB2Prod2Seg3Patients_R1</t>
  </si>
  <si>
    <t>tlOutputFBLOB2AdmintPerc_R1</t>
  </si>
  <si>
    <t>tlOutputFBLOB2CSATImpact1_R1</t>
  </si>
  <si>
    <t>tlOutputFBLOB2CSATImpact2_R1</t>
  </si>
  <si>
    <t>tlOutputFBLOB2CSATImpact3_R1</t>
  </si>
  <si>
    <t>tlOutputFBLOB2CSATImpact4_R1</t>
  </si>
  <si>
    <t>tlOutputFBLOB2CSAT_R1</t>
  </si>
  <si>
    <t>tlOutputFBLOB2StarsImpact1_R1</t>
  </si>
  <si>
    <t>tlOutputFBLOB2StarsImpact2_R1</t>
  </si>
  <si>
    <t>tlOutputFBLOB2StarsImpact3_R1</t>
  </si>
  <si>
    <t>tlOutputFBLOB2StarsImpact4_R1</t>
  </si>
  <si>
    <t>tlOutputFBLOB2StarsImpact5_R1</t>
  </si>
  <si>
    <t>tlOutputFBLOB2Stars_R1</t>
  </si>
  <si>
    <t>tlOutputFBLOB2ESATImpact1_R1</t>
  </si>
  <si>
    <t>tlOutputFBLOB2ESATImpact2_R1</t>
  </si>
  <si>
    <t>tlOutputFBLOB2ESATImpact3_R1</t>
  </si>
  <si>
    <t>tlOutputFBLOB2ESAT_R1</t>
  </si>
  <si>
    <t>tlOutputFBLOB2Emp1Cost_R1</t>
  </si>
  <si>
    <t>tlOutputFBLOB2Emp2Cost_R1</t>
  </si>
  <si>
    <t>tlOutputFBLOB2GrossProfit_R1</t>
  </si>
  <si>
    <t>tlOutputFBLOB2GrossMargin_R1</t>
  </si>
  <si>
    <t>tlOutputFBLOB2Emp1Capacity_R1</t>
  </si>
  <si>
    <t>tlOutputFBLOB2Emp1Visits_R1</t>
  </si>
  <si>
    <t>tlOutputFBLOB2Emp2Capacity_R1</t>
  </si>
  <si>
    <t>tlOutputFBLOB2Emp2Visits_R1</t>
  </si>
  <si>
    <t>tlOutputFBLOB2Emp3Capacity_R1</t>
  </si>
  <si>
    <t>tlOutputFBLOB2Emp3Visits_R1</t>
  </si>
  <si>
    <t>tlOutputFBLOB2CapacityPerc_R1</t>
  </si>
  <si>
    <t>tlOutputFBLOB2ServiceCost_R1</t>
  </si>
  <si>
    <t>tlOutputFBLOB2EmpOverhead_R1</t>
  </si>
  <si>
    <t>tlOutputFBLOB2OpProfit_R1</t>
  </si>
  <si>
    <t>tlOutputFBLOB2OpMargin_R1</t>
  </si>
  <si>
    <t>tlOutputFBSeg1Rev_R1</t>
  </si>
  <si>
    <t>tlOutputFBSeg2Rev_R1</t>
  </si>
  <si>
    <t>tlOutputFBSeg3Rev_R1</t>
  </si>
  <si>
    <t>tlOutputFBRevGrowth_R1</t>
  </si>
  <si>
    <t>tlOutputFBProd1Seg1Patients_R1</t>
  </si>
  <si>
    <t>tlOutputFBProd2Seg1Patients_R1</t>
  </si>
  <si>
    <t>tlOutputFBProd1Seg2Patients_R1</t>
  </si>
  <si>
    <t>tlOutputFBProd2Seg2Patients_R1</t>
  </si>
  <si>
    <t>tlOutputFBProd1Seg3Patients_R1</t>
  </si>
  <si>
    <t>tlOutputFBProd2Seg3Patients_R1</t>
  </si>
  <si>
    <t>tlOutputFBAdmintPerc_R1</t>
  </si>
  <si>
    <t>tlOutputFBCSATImpact1_R1</t>
  </si>
  <si>
    <t>tlOutputFBCSATImpact2_R1</t>
  </si>
  <si>
    <t>tlOutputFBCSATImpact3_R1</t>
  </si>
  <si>
    <t>tlOutputFBCSATImpact4_R1</t>
  </si>
  <si>
    <t>tlOutputFBCSAT_R1</t>
  </si>
  <si>
    <t>tlOutputFBStarsImpact1_R1</t>
  </si>
  <si>
    <t>tlOutputFBStarsImpact2_R1</t>
  </si>
  <si>
    <t>tlOutputFBStarsImpact3_R1</t>
  </si>
  <si>
    <t>tlOutputFBStarsImpact4_R1</t>
  </si>
  <si>
    <t>tlOutputFBStarsImpact5_R1</t>
  </si>
  <si>
    <t>tlOutputFBStars_R1</t>
  </si>
  <si>
    <t>tlOutputFBESATImpact1_R1</t>
  </si>
  <si>
    <t>tlOutputFBESATImpact2_R1</t>
  </si>
  <si>
    <t>tlOutputFBESATImpact3_R1</t>
  </si>
  <si>
    <t>tlOutputFBESAT_R1</t>
  </si>
  <si>
    <t>tlOutputFBEmp1Cost_R1</t>
  </si>
  <si>
    <t>tlOutputFBEmp2Cost_R1</t>
  </si>
  <si>
    <t>tlOutputFBGrossProfit_R1</t>
  </si>
  <si>
    <t>tlOutputFBGrossMargin_R1</t>
  </si>
  <si>
    <t>tlOutputFBEmp1Capacity_R1</t>
  </si>
  <si>
    <t>tlOutputFBEmp1Visits_R1</t>
  </si>
  <si>
    <t>tlOutputFBEmp2Capacity_R1</t>
  </si>
  <si>
    <t>tlOutputFBEmp2Visits_R1</t>
  </si>
  <si>
    <t>tlOutputFBEmp3Capacity_R1</t>
  </si>
  <si>
    <t>tlOutputFBEmp3Visits_R1</t>
  </si>
  <si>
    <t>tlOutputFBCapacityPerc_R1</t>
  </si>
  <si>
    <t>tlOutputFBServiceCost_R1</t>
  </si>
  <si>
    <t>tlOutputFBEmpOverhead_R1</t>
  </si>
  <si>
    <t>tlOutputFBOpProfit_R1</t>
  </si>
  <si>
    <t>tlOutputFBOpMargin_R1</t>
  </si>
  <si>
    <t>tlOutputFBLOB1Emp3Cost_R1</t>
  </si>
  <si>
    <t>tlOutputFBLOB2Emp3Cost_R1</t>
  </si>
  <si>
    <t>tlOutputFBEmp3Cost_R1</t>
  </si>
  <si>
    <t>tlOutputTriggerR1Message1</t>
  </si>
  <si>
    <t>tlInputReadR1Message1</t>
  </si>
  <si>
    <t>tlOutputTriggerR2Message1</t>
  </si>
  <si>
    <t>tlInputReadR2Message1</t>
  </si>
  <si>
    <t>tlOutputTriggerR2Event5</t>
  </si>
  <si>
    <t>tlInputReadR2Event5</t>
  </si>
  <si>
    <t>Graph Admits and Recerts</t>
  </si>
  <si>
    <t>Budget</t>
  </si>
  <si>
    <t>Projected RN/LPN Visits</t>
  </si>
  <si>
    <t>calcLOB1Disc1TotalVisits</t>
  </si>
  <si>
    <t>calcLOB1Disc2TotalVisits</t>
  </si>
  <si>
    <t>Meeting Count Remaining</t>
  </si>
  <si>
    <t>tlOutputLOB1MeetingCountRemaining_R1</t>
  </si>
  <si>
    <t>tlOutputLOB1MeetingCountRemaining_R2</t>
  </si>
  <si>
    <t>tlOutputLOB2MeetingCountRemaining_R1</t>
  </si>
  <si>
    <t>tlOutputLOB2MeetingCountRemaining_R2</t>
  </si>
  <si>
    <t>calcLOB1Disc1TotalVisitsPerc</t>
  </si>
  <si>
    <t>calcLOB1Disc2TotalVisitsPerc</t>
  </si>
  <si>
    <t>calcLOB2Disc1TotalVisits</t>
  </si>
  <si>
    <t>calcLOB2Disc2TotalVisits</t>
  </si>
  <si>
    <t>calcLOB2Disc1TotalVisitsPerc</t>
  </si>
  <si>
    <t>calcLOB2Disc2TotalVisitsPerc</t>
  </si>
  <si>
    <t>Month 1</t>
  </si>
  <si>
    <t>This should be Weekly Prod. (O) + Productivity increase or Weekly Prod. Mod (S)</t>
  </si>
  <si>
    <t>ISOMER</t>
  </si>
  <si>
    <t>tlOutputLOB1Cln1AlloWeekProd_R1</t>
  </si>
  <si>
    <t>tlOutputLOB1Cln2AlloWeekProd_R1</t>
  </si>
  <si>
    <t>tlOutputLOB1Cln3AlloWeekProd_R1</t>
  </si>
  <si>
    <t>tlOutputLOB1Cln4AlloWeekProd_R1</t>
  </si>
  <si>
    <t>tlOutputLOB1Cln5AlloWeekProd_R1</t>
  </si>
  <si>
    <t>tlOutputLOB1Cln6AlloWeekProd_R1</t>
  </si>
  <si>
    <t>tlOutputLOB1Cln7AlloWeekProd_R1</t>
  </si>
  <si>
    <t>tlOutputLOB1Cln8AlloWeekProd_R1</t>
  </si>
  <si>
    <t>tlOutputLOB1Cln9AlloWeekProd_R1</t>
  </si>
  <si>
    <t>tlOutputLOB1Cln10AlloWeekProd_R1</t>
  </si>
  <si>
    <t>tlOutputLOB1Cln11AlloWeekProd_R1</t>
  </si>
  <si>
    <t>tlOutputLOB1Cln12AlloWeekProd_R1</t>
  </si>
  <si>
    <t>tlOutputLOB1Cln1AlloWeekProd_R2</t>
  </si>
  <si>
    <t>tlOutputLOB1Cln2AlloWeekProd_R2</t>
  </si>
  <si>
    <t>tlOutputLOB1Cln3AlloWeekProd_R2</t>
  </si>
  <si>
    <t>tlOutputLOB1Cln4AlloWeekProd_R2</t>
  </si>
  <si>
    <t>tlOutputLOB1Cln5AlloWeekProd_R2</t>
  </si>
  <si>
    <t>tlOutputLOB1Cln6AlloWeekProd_R2</t>
  </si>
  <si>
    <t>tlOutputLOB1Cln7AlloWeekProd_R2</t>
  </si>
  <si>
    <t>tlOutputLOB1Cln8AlloWeekProd_R2</t>
  </si>
  <si>
    <t>tlOutputLOB1Cln9AlloWeekProd_R2</t>
  </si>
  <si>
    <t>tlOutputLOB1Cln10AlloWeekProd_R2</t>
  </si>
  <si>
    <t>tlOutputLOB1Cln11AlloWeekProd_R2</t>
  </si>
  <si>
    <t>tlOutputLOB1Cln12AlloWeekProd_R2</t>
  </si>
  <si>
    <t>tlOutputLOB2Cln1AlloWeekProd_R1</t>
  </si>
  <si>
    <t>tlOutputLOB2Cln2AlloWeekProd_R1</t>
  </si>
  <si>
    <t>tlOutputLOB2Cln3AlloWeekProd_R1</t>
  </si>
  <si>
    <t>tlOutputLOB2Cln4AlloWeekProd_R1</t>
  </si>
  <si>
    <t>tlOutputLOB2Cln5AlloWeekProd_R1</t>
  </si>
  <si>
    <t>tlOutputLOB2Cln6AlloWeekProd_R1</t>
  </si>
  <si>
    <t>tlOutputLOB2Cln7AlloWeekProd_R1</t>
  </si>
  <si>
    <t>tlOutputLOB2Cln8AlloWeekProd_R1</t>
  </si>
  <si>
    <t>tlOutputLOB2Cln9AlloWeekProd_R1</t>
  </si>
  <si>
    <t>tlOutputLOB2Cln10AlloWeekProd_R1</t>
  </si>
  <si>
    <t>tlOutputLOB2Cln11AlloWeekProd_R1</t>
  </si>
  <si>
    <t>tlOutputLOB2Cln12AlloWeekProd_R1</t>
  </si>
  <si>
    <t>tlOutputLOB2Cln1AlloWeekProd_R2</t>
  </si>
  <si>
    <t>tlOutputLOB2Cln2AlloWeekProd_R2</t>
  </si>
  <si>
    <t>tlOutputLOB2Cln3AlloWeekProd_R2</t>
  </si>
  <si>
    <t>tlOutputLOB2Cln4AlloWeekProd_R2</t>
  </si>
  <si>
    <t>tlOutputLOB2Cln5AlloWeekProd_R2</t>
  </si>
  <si>
    <t>tlOutputLOB2Cln6AlloWeekProd_R2</t>
  </si>
  <si>
    <t>tlOutputLOB2Cln7AlloWeekProd_R2</t>
  </si>
  <si>
    <t>tlOutputLOB2Cln8AlloWeekProd_R2</t>
  </si>
  <si>
    <t>tlOutputLOB2Cln9AlloWeekProd_R2</t>
  </si>
  <si>
    <t>tlOutputLOB2Cln10AlloWeekProd_R2</t>
  </si>
  <si>
    <t>tlOutputLOB2Cln11AlloWeekProd_R2</t>
  </si>
  <si>
    <t>tlOutputLOB2Cln12AlloWeekProd_R2</t>
  </si>
  <si>
    <t>tlInputLOB1DOOFocusDecisionMade_R2</t>
  </si>
  <si>
    <t>tlInputLOB2DOOFocusDecisionMade_R2</t>
  </si>
  <si>
    <t>tlInputLOB1ForecastDecisionMade_R2</t>
  </si>
  <si>
    <t>tlInputLOB1StaffDecisionMade_R2</t>
  </si>
  <si>
    <t>tlInputLOB2ForecastDecisionMade_R2</t>
  </si>
  <si>
    <t>tlInputLOB2StaffDecisionMade_R2</t>
  </si>
  <si>
    <t>calcLOB1Clinician1AllocatedProd</t>
  </si>
  <si>
    <t>calcLOB1Clinician2AllocatedProd</t>
  </si>
  <si>
    <t>calcLOB1Clinician3AllocatedProd</t>
  </si>
  <si>
    <t>calcLOB1Clinician4AllocatedProd</t>
  </si>
  <si>
    <t>calcLOB1Clinician5AllocatedProd</t>
  </si>
  <si>
    <t>calcLOB1Clinician6AllocatedProd</t>
  </si>
  <si>
    <t>calcLOB1Clinician7AllocatedProd</t>
  </si>
  <si>
    <t>calcLOB1Clinician8AllocatedProd</t>
  </si>
  <si>
    <t>calcLOB1Clinician9AllocatedProd</t>
  </si>
  <si>
    <t>calcLOB1Clinician10AllocatedProd</t>
  </si>
  <si>
    <t>calcLOB1Clinician11AllocatedProd</t>
  </si>
  <si>
    <t>calcLOB1Clinician12AllocatedProd</t>
  </si>
  <si>
    <t>calcLOB1ClinicianAllocatedVisits</t>
  </si>
  <si>
    <t>Average Weekly Allocated Visits</t>
  </si>
  <si>
    <t>calcLOB2Clinician1AllocatedProd</t>
  </si>
  <si>
    <t>calcLOB2Clinician2AllocatedProd</t>
  </si>
  <si>
    <t>calcLOB2Clinician3AllocatedProd</t>
  </si>
  <si>
    <t>calcLOB2Clinician4AllocatedProd</t>
  </si>
  <si>
    <t>calcLOB2Clinician5AllocatedProd</t>
  </si>
  <si>
    <t>calcLOB2Clinician6AllocatedProd</t>
  </si>
  <si>
    <t>calcLOB2Clinician7AllocatedProd</t>
  </si>
  <si>
    <t>calcLOB2Clinician8AllocatedProd</t>
  </si>
  <si>
    <t>calcLOB2Clinician9AllocatedProd</t>
  </si>
  <si>
    <t>calcLOB2Clinician10AllocatedProd</t>
  </si>
  <si>
    <t>calcLOB2Clinician11AllocatedProd</t>
  </si>
  <si>
    <t>calcLOB2Clinician12AllocatedProd</t>
  </si>
  <si>
    <t>calcLOB2ClinicianAllocatedVisits</t>
  </si>
  <si>
    <t>calcLOB1Prod1Seg1Budget</t>
  </si>
  <si>
    <t>calcLOB1Prod1Seg2Budget</t>
  </si>
  <si>
    <t>calcLOB1Prod1Seg3Budget</t>
  </si>
  <si>
    <t>calcLOB1Prod2Seg1Budget</t>
  </si>
  <si>
    <t>calcLOB1Prod2Seg2Budget</t>
  </si>
  <si>
    <t>calcLOB1Prod2Seg3Budget</t>
  </si>
  <si>
    <t>calcLOB1Budget</t>
  </si>
  <si>
    <t>calcLOB2Prod1Seg1Budget</t>
  </si>
  <si>
    <t>calcLOB2Prod1Seg2Budget</t>
  </si>
  <si>
    <t>calcLOB2Prod1Seg3Budget</t>
  </si>
  <si>
    <t>calcLOB2Prod2Seg1Budget</t>
  </si>
  <si>
    <t>calcLOB2Prod2Seg2Budget</t>
  </si>
  <si>
    <t>calcLOB2Prod2Seg3Budget</t>
  </si>
  <si>
    <t>calcLOB2Budget</t>
  </si>
  <si>
    <t>tlOutputLOB1Prod1Seg1Budget_R1</t>
  </si>
  <si>
    <t>tlOutputLOB1Prod1Seg2Budget_R1</t>
  </si>
  <si>
    <t>tlOutputLOB1Prod1Seg3Budget_R1</t>
  </si>
  <si>
    <t>tlOutputLOB1Prod2Seg1Budget_R1</t>
  </si>
  <si>
    <t>tlOutputLOB1Prod2Seg2Budget_R1</t>
  </si>
  <si>
    <t>tlOutputLOB1Prod2Seg3Budget_R1</t>
  </si>
  <si>
    <t>tlOutputLOB1ProjectionBudget_R1</t>
  </si>
  <si>
    <t>tlOutputLOB1Prod1Seg1Budget_R2</t>
  </si>
  <si>
    <t>tlOutputLOB1Prod1Seg2Budget_R2</t>
  </si>
  <si>
    <t>tlOutputLOB1Prod1Seg3Budget_R2</t>
  </si>
  <si>
    <t>tlOutputLOB1Prod2Seg1Budget_R2</t>
  </si>
  <si>
    <t>tlOutputLOB1Prod2Seg2Budget_R2</t>
  </si>
  <si>
    <t>tlOutputLOB1Prod2Seg3Budget_R2</t>
  </si>
  <si>
    <t>tlOutputLOB1ProjectionBudget_R2</t>
  </si>
  <si>
    <t>Month 2</t>
  </si>
  <si>
    <t>Month 3</t>
  </si>
  <si>
    <t>tlOutputLOB2Prod1Seg1Budget_R1</t>
  </si>
  <si>
    <t>tlOutputLOB2Prod1Seg2Budget_R1</t>
  </si>
  <si>
    <t>tlOutputLOB2Prod1Seg3Budget_R1</t>
  </si>
  <si>
    <t>tlOutputLOB2Prod2Seg1Budget_R1</t>
  </si>
  <si>
    <t>tlOutputLOB2Prod2Seg2Budget_R1</t>
  </si>
  <si>
    <t>tlOutputLOB2Prod2Seg3Budget_R1</t>
  </si>
  <si>
    <t>tlOutputLOB2ProjectionBudget_R1</t>
  </si>
  <si>
    <t>tlOutputLOB2Prod1Seg1Budget_R2</t>
  </si>
  <si>
    <t>tlOutputLOB2Prod1Seg2Budget_R2</t>
  </si>
  <si>
    <t>tlOutputLOB2Prod1Seg3Budget_R2</t>
  </si>
  <si>
    <t>tlOutputLOB2Prod2Seg1Budget_R2</t>
  </si>
  <si>
    <t>tlOutputLOB2Prod2Seg2Budget_R2</t>
  </si>
  <si>
    <t>tlOutputLOB2Prod2Seg3Budget_R2</t>
  </si>
  <si>
    <t>tlOutputLOB2ProjectionBudget_R2</t>
  </si>
  <si>
    <t>Salaried</t>
  </si>
  <si>
    <t>Percent of Non-Salaried</t>
  </si>
  <si>
    <t>calcLOB1Emp1PercNonSalaried</t>
  </si>
  <si>
    <t>calcLOB2Emp1PercNonSalaried</t>
  </si>
  <si>
    <t>tlInputLOB1DOOFocusDecisionMade_R1</t>
  </si>
  <si>
    <t>tlInputLOB1ForecastDecisionMade_R1</t>
  </si>
  <si>
    <t>tlInputLOB1StaffDecisionMade_R1</t>
  </si>
  <si>
    <t>tlInputLOB2DOOFocusDecisionMade_R1</t>
  </si>
  <si>
    <t>tlInputLOB2ForecastDecisionMade_R1</t>
  </si>
  <si>
    <t>tlInputLOB2StaffDecisionMade_R1</t>
  </si>
  <si>
    <t>Below</t>
  </si>
  <si>
    <t>Under Licensence</t>
  </si>
  <si>
    <t>calcLOB1Disc2BelowLicsenceVisits</t>
  </si>
  <si>
    <t>calcLOB2Disc2BelowLicsenceVisits</t>
  </si>
  <si>
    <t>tlOutputLOB1Disc2BelowLicsenceVisits_R1</t>
  </si>
  <si>
    <t>tlOutputLOB1Disc1TotalVisitsPerc_R1</t>
  </si>
  <si>
    <t>tlOutputLOB1Disc2TotalVisitsPerc_R1</t>
  </si>
  <si>
    <t>tlOutputLOB2Disc1TotalVisitsPerc_R1</t>
  </si>
  <si>
    <t>tlOutputLOB2Disc2TotalVisitsPerc_R1</t>
  </si>
  <si>
    <t>tlOutputLOB2Disc2BelowLicsenceVisits_R1</t>
  </si>
  <si>
    <t>tlOutputLOB2Disc1TotalVisitsPerc_R2</t>
  </si>
  <si>
    <t>tlOutputLOB2Disc2TotalVisitsPerc_R2</t>
  </si>
  <si>
    <t>tlOutputLOB2Disc2BelowLicsenceVisits_R2</t>
  </si>
  <si>
    <t>tlOutputLOB1Disc1TotalVisitsPerc_R2</t>
  </si>
  <si>
    <t>tlOutputLOB1Disc2TotalVisitsPerc_R2</t>
  </si>
  <si>
    <t>tlOutputLOB1Disc2BelowLicsenceVisits_R2</t>
  </si>
  <si>
    <t>Average Weekly Missed Visits For Market Model</t>
  </si>
  <si>
    <t>calcLOB1Clinician1AvgMissPerc</t>
  </si>
  <si>
    <t>calcLOB1Clinician2AvgMissPerc</t>
  </si>
  <si>
    <t>calcLOB1Clinician3AvgMissPerc</t>
  </si>
  <si>
    <t>calcLOB1Clinician4AvgMissPerc</t>
  </si>
  <si>
    <t>calcLOB1Clinician5AvgMissPerc</t>
  </si>
  <si>
    <t>calcLOB1Clinician6AvgMissPerc</t>
  </si>
  <si>
    <t>calcLOB1Clinician7AvgMissPerc</t>
  </si>
  <si>
    <t>calcLOB1Clinician8AvgMissPerc</t>
  </si>
  <si>
    <t>calcLOB1Clinician9AvgMissPerc</t>
  </si>
  <si>
    <t>calcLOB1Clinician10AvgMissPerc</t>
  </si>
  <si>
    <t>calcLOB1Clinician11AvgMissPerc</t>
  </si>
  <si>
    <t>calcLOB1Clinician12AvgMissPerc</t>
  </si>
  <si>
    <t>calcLOB1ClinicianAvgMissPerc</t>
  </si>
  <si>
    <t>calcLOB1ClinicianTotalMissPerc</t>
  </si>
  <si>
    <t>Average Miss Percentage</t>
  </si>
  <si>
    <t>obalLOB1ClinicianAvgMissPerc</t>
  </si>
  <si>
    <t>cbalLOB1ClinicianAvgMissPerc</t>
  </si>
  <si>
    <t>cbalLOB2ClinicianAvgMissPerc</t>
  </si>
  <si>
    <t>obalLOB2ClinicianAvgMissPerc</t>
  </si>
  <si>
    <t>calcLOB2Clinician1AvgMissPerc</t>
  </si>
  <si>
    <t>calcLOB2Clinician2AvgMissPerc</t>
  </si>
  <si>
    <t>calcLOB2Clinician3AvgMissPerc</t>
  </si>
  <si>
    <t>calcLOB2Clinician4AvgMissPerc</t>
  </si>
  <si>
    <t>calcLOB2Clinician5AvgMissPerc</t>
  </si>
  <si>
    <t>calcLOB2Clinician6AvgMissPerc</t>
  </si>
  <si>
    <t>calcLOB2Clinician7AvgMissPerc</t>
  </si>
  <si>
    <t>calcLOB2Clinician8AvgMissPerc</t>
  </si>
  <si>
    <t>calcLOB2Clinician9AvgMissPerc</t>
  </si>
  <si>
    <t>calcLOB2Clinician10AvgMissPerc</t>
  </si>
  <si>
    <t>calcLOB2Clinician11AvgMissPerc</t>
  </si>
  <si>
    <t>calcLOB2Clinician12AvgMissPerc</t>
  </si>
  <si>
    <t>calcLOB2ClinicianTotalMissPerc</t>
  </si>
  <si>
    <t>calcLOB2ClinicianAvgMissPerc</t>
  </si>
  <si>
    <t>calcLOB1Clinician1Disc1BaseMissPerc</t>
  </si>
  <si>
    <t>calcLOB1Clinician2Disc1BaseMissPerc</t>
  </si>
  <si>
    <t>calcLOB1Clinician3Disc1BaseMissPerc</t>
  </si>
  <si>
    <t>calcLOB1Clinician4Disc1BaseMissPerc</t>
  </si>
  <si>
    <t>calcLOB1Clinician5Disc1BaseMissPerc</t>
  </si>
  <si>
    <t>calcLOB1Clinician6Disc1BaseMissPerc</t>
  </si>
  <si>
    <t>calcLOB1Clinician7Disc1BaseMissPerc</t>
  </si>
  <si>
    <t>calcLOB1Clinician8Disc1BaseMissPerc</t>
  </si>
  <si>
    <t>calcLOB1Clinician9Disc1BaseMissPerc</t>
  </si>
  <si>
    <t>calcLOB1Clinician10Disc1BaseMissPerc</t>
  </si>
  <si>
    <t>calcLOB1Clinician11Disc1BaseMissPerc</t>
  </si>
  <si>
    <t>calcLOB1Clinician12Disc1BaseMissPerc</t>
  </si>
  <si>
    <t>calcLOB1Clinician13Disc1BaseMissPerc</t>
  </si>
  <si>
    <t>calcLOB1Clinician1Disc2BaseMissPerc</t>
  </si>
  <si>
    <t>calcLOB1Clinician2Disc2BaseMissPerc</t>
  </si>
  <si>
    <t>calcLOB1Clinician3Disc2BaseMissPerc</t>
  </si>
  <si>
    <t>calcLOB1Clinician4Disc2BaseMissPerc</t>
  </si>
  <si>
    <t>calcLOB1Clinician5Disc2BaseMissPerc</t>
  </si>
  <si>
    <t>calcLOB1Clinician6Disc2BaseMissPerc</t>
  </si>
  <si>
    <t>calcLOB1Clinician7Disc2BaseMissPerc</t>
  </si>
  <si>
    <t>calcLOB1Clinician8Disc2BaseMissPerc</t>
  </si>
  <si>
    <t>calcLOB1Clinician9Disc2BaseMissPerc</t>
  </si>
  <si>
    <t>calcLOB1Clinician10Disc2BaseMissPerc</t>
  </si>
  <si>
    <t>calcLOB1Clinician11Disc2BaseMissPerc</t>
  </si>
  <si>
    <t>calcLOB1Clinician12Disc2BaseMissPerc</t>
  </si>
  <si>
    <t>calcLOB1Clinician14Disc2BaseMissPerc</t>
  </si>
  <si>
    <t>calcLOB1Clinician1Emp2BaseMissPerc</t>
  </si>
  <si>
    <t>calcLOB1Clinician2Emp2BaseMissPerc</t>
  </si>
  <si>
    <t>calcLOB1Clinician3Emp2BaseMissPerc</t>
  </si>
  <si>
    <t>calcLOB1Clinician4Emp2BaseMissPerc</t>
  </si>
  <si>
    <t>calcLOB1Clinician5Emp2BaseMissPerc</t>
  </si>
  <si>
    <t>calcLOB1Clinician6Emp2BaseMissPerc</t>
  </si>
  <si>
    <t>calcLOB1Clinician7Emp2BaseMissPerc</t>
  </si>
  <si>
    <t>calcLOB1Clinician8Emp2BaseMissPerc</t>
  </si>
  <si>
    <t>calcLOB1Clinician9Emp2BaseMissPerc</t>
  </si>
  <si>
    <t>calcLOB1Clinician10Emp2BaseMissPerc</t>
  </si>
  <si>
    <t>calcLOB1Clinician11Emp2BaseMissPerc</t>
  </si>
  <si>
    <t>calcLOB1Clinician12Emp2BaseMissPerc</t>
  </si>
  <si>
    <t>calcLOB1Clinician16Emp2BaseMissPerc</t>
  </si>
  <si>
    <t>calcLOB1Clinician1Emp3BaseMissPerc</t>
  </si>
  <si>
    <t>calcLOB1Clinician2Emp3BaseMissPerc</t>
  </si>
  <si>
    <t>calcLOB1Clinician3Emp3BaseMissPerc</t>
  </si>
  <si>
    <t>calcLOB1Clinician4Emp3BaseMissPerc</t>
  </si>
  <si>
    <t>calcLOB1Clinician5Emp3BaseMissPerc</t>
  </si>
  <si>
    <t>calcLOB1Clinician6Emp3BaseMissPerc</t>
  </si>
  <si>
    <t>calcLOB1Clinician7Emp3BaseMissPerc</t>
  </si>
  <si>
    <t>calcLOB1Clinician8Emp3BaseMissPerc</t>
  </si>
  <si>
    <t>calcLOB1Clinician9Emp3BaseMissPerc</t>
  </si>
  <si>
    <t>calcLOB1Clinician10Emp3BaseMissPerc</t>
  </si>
  <si>
    <t>calcLOB1Clinician11Emp3BaseMissPerc</t>
  </si>
  <si>
    <t>calcLOB1Clinician12Emp3BaseMissPerc</t>
  </si>
  <si>
    <t>calcLOB1Clinician16Emp3BaseMissPerc</t>
  </si>
  <si>
    <t>calcLOB2Clinician1Disc1BaseMissPerc</t>
  </si>
  <si>
    <t>calcLOB2Clinician2Disc1BaseMissPerc</t>
  </si>
  <si>
    <t>calcLOB2Clinician3Disc1BaseMissPerc</t>
  </si>
  <si>
    <t>calcLOB2Clinician4Disc1BaseMissPerc</t>
  </si>
  <si>
    <t>calcLOB2Clinician5Disc1BaseMissPerc</t>
  </si>
  <si>
    <t>calcLOB2Clinician6Disc1BaseMissPerc</t>
  </si>
  <si>
    <t>calcLOB2Clinician7Disc1BaseMissPerc</t>
  </si>
  <si>
    <t>calcLOB2Clinician8Disc1BaseMissPerc</t>
  </si>
  <si>
    <t>calcLOB2Clinician9Disc1BaseMissPerc</t>
  </si>
  <si>
    <t>calcLOB2Clinician10Disc1BaseMissPerc</t>
  </si>
  <si>
    <t>calcLOB2Clinician11Disc1BaseMissPerc</t>
  </si>
  <si>
    <t>calcLOB2Clinician12Disc1BaseMissPerc</t>
  </si>
  <si>
    <t>calcLOB2Clinician13Disc1BaseMissPerc</t>
  </si>
  <si>
    <t>calcLOB2Clinician1Disc2BaseMissPerc</t>
  </si>
  <si>
    <t>calcLOB2Clinician2Disc2BaseMissPerc</t>
  </si>
  <si>
    <t>calcLOB2Clinician3Disc2BaseMissPerc</t>
  </si>
  <si>
    <t>calcLOB2Clinician4Disc2BaseMissPerc</t>
  </si>
  <si>
    <t>calcLOB2Clinician5Disc2BaseMissPerc</t>
  </si>
  <si>
    <t>calcLOB2Clinician6Disc2BaseMissPerc</t>
  </si>
  <si>
    <t>calcLOB2Clinician7Disc2BaseMissPerc</t>
  </si>
  <si>
    <t>calcLOB2Clinician8Disc2BaseMissPerc</t>
  </si>
  <si>
    <t>calcLOB2Clinician9Disc2BaseMissPerc</t>
  </si>
  <si>
    <t>calcLOB2Clinician10Disc2BaseMissPerc</t>
  </si>
  <si>
    <t>calcLOB2Clinician11Disc2BaseMissPerc</t>
  </si>
  <si>
    <t>calcLOB2Clinician12Disc2BaseMissPerc</t>
  </si>
  <si>
    <t>calcLOB2Clinician14Disc2BaseMissPerc</t>
  </si>
  <si>
    <t>calcLOB2Clinician1Emp2BaseMissPerc</t>
  </si>
  <si>
    <t>calcLOB2Clinician2Emp2BaseMissPerc</t>
  </si>
  <si>
    <t>calcLOB2Clinician3Emp2BaseMissPerc</t>
  </si>
  <si>
    <t>calcLOB2Clinician4Emp2BaseMissPerc</t>
  </si>
  <si>
    <t>calcLOB2Clinician5Emp2BaseMissPerc</t>
  </si>
  <si>
    <t>calcLOB2Clinician6Emp2BaseMissPerc</t>
  </si>
  <si>
    <t>calcLOB2Clinician7Emp2BaseMissPerc</t>
  </si>
  <si>
    <t>calcLOB2Clinician8Emp2BaseMissPerc</t>
  </si>
  <si>
    <t>calcLOB2Clinician9Emp2BaseMissPerc</t>
  </si>
  <si>
    <t>calcLOB2Clinician10Emp2BaseMissPerc</t>
  </si>
  <si>
    <t>calcLOB2Clinician11Emp2BaseMissPerc</t>
  </si>
  <si>
    <t>calcLOB2Clinician12Emp2BaseMissPerc</t>
  </si>
  <si>
    <t>calcLOB2Clinician16Emp2BaseMissPerc</t>
  </si>
  <si>
    <t>calcLOB2Clinician1Emp3BaseMissPerc</t>
  </si>
  <si>
    <t>calcLOB2Clinician2Emp3BaseMissPerc</t>
  </si>
  <si>
    <t>calcLOB2Clinician3Emp3BaseMissPerc</t>
  </si>
  <si>
    <t>calcLOB2Clinician4Emp3BaseMissPerc</t>
  </si>
  <si>
    <t>calcLOB2Clinician5Emp3BaseMissPerc</t>
  </si>
  <si>
    <t>calcLOB2Clinician6Emp3BaseMissPerc</t>
  </si>
  <si>
    <t>calcLOB2Clinician7Emp3BaseMissPerc</t>
  </si>
  <si>
    <t>calcLOB2Clinician8Emp3BaseMissPerc</t>
  </si>
  <si>
    <t>calcLOB2Clinician9Emp3BaseMissPerc</t>
  </si>
  <si>
    <t>calcLOB2Clinician10Emp3BaseMissPerc</t>
  </si>
  <si>
    <t>calcLOB2Clinician11Emp3BaseMissPerc</t>
  </si>
  <si>
    <t>calcLOB2Clinician12Emp3BaseMissPerc</t>
  </si>
  <si>
    <t>calcLOB2Clinician16Emp3BaseMissPerc</t>
  </si>
  <si>
    <t>obalR2_Paste</t>
  </si>
  <si>
    <t>obalR2Rev</t>
  </si>
  <si>
    <t>obalR2RevGrowth</t>
  </si>
  <si>
    <t>obalR2Stars</t>
  </si>
  <si>
    <t>obalR2ESAT</t>
  </si>
  <si>
    <t>obalR2CSAT</t>
  </si>
  <si>
    <t>obalR2LOB1Seg1Perc</t>
  </si>
  <si>
    <t>obalR2LOB1Seg2Perc</t>
  </si>
  <si>
    <t>obalR2LOB1Seg3Perc</t>
  </si>
  <si>
    <t>obalR2LOB1Emp1VisitPEp</t>
  </si>
  <si>
    <t>obalR2LOB1Emp2VisitPEp</t>
  </si>
  <si>
    <t>obalR2LOB1Emp3VisitPEp</t>
  </si>
  <si>
    <t>obalR2LOB1Emp1Seg1RevPVisit</t>
  </si>
  <si>
    <t>obalR2LOB1Emp1Seg2RevPVisit</t>
  </si>
  <si>
    <t>obalR2LOB1Emp1Seg3RevPVisit</t>
  </si>
  <si>
    <t>obalR2LOB1Emp2Seg1RevPVisit</t>
  </si>
  <si>
    <t>obalR2LOB1Emp2Seg2RevPVisit</t>
  </si>
  <si>
    <t>obalR2LOB1Emp2Seg3RevPVisit</t>
  </si>
  <si>
    <t>obalR2LOB1Emp3Seg1RevPVisit</t>
  </si>
  <si>
    <t>obalR2LOB1Emp3Seg2RevPVisit</t>
  </si>
  <si>
    <t>obalR2LOB1Emp3Seg3RevPVisit</t>
  </si>
  <si>
    <t>obalR2LOB1Emp1CostPVisit</t>
  </si>
  <si>
    <t>obalR2LOB1Emp2CostPVisit</t>
  </si>
  <si>
    <t>obalR2LOB1Emp3CostPVisit</t>
  </si>
  <si>
    <t>obalR2LOB1Prod2Seg1Perc</t>
  </si>
  <si>
    <t>obalR2LOB1Prod2Seg2Perc</t>
  </si>
  <si>
    <t>obalR2LOB1Prod2Seg3Perc</t>
  </si>
  <si>
    <t>obalR2LOB1MarketShare</t>
  </si>
  <si>
    <t>obalR2LOB1FullEmpOverhead</t>
  </si>
  <si>
    <t>obalR2LOB1PartEmpOverhead</t>
  </si>
  <si>
    <t>obalR2LOB1Rev</t>
  </si>
  <si>
    <t>obalR2LOB1RevGrowth</t>
  </si>
  <si>
    <t>obalR2LOB1Stars</t>
  </si>
  <si>
    <t>obalR2LOB1ESAT</t>
  </si>
  <si>
    <t>obalR2LOB1CSAT</t>
  </si>
  <si>
    <t>obalR2LOB1BDEngage</t>
  </si>
  <si>
    <t>obalR2LOB1DOOUtilization</t>
  </si>
  <si>
    <t>obalR2LOB1AddFullTime</t>
  </si>
  <si>
    <t>obalR2LOB1AddPartTime</t>
  </si>
  <si>
    <t>obalR2LOB1Disc1Retention</t>
  </si>
  <si>
    <t>obalR2LOB1Disc2Retention</t>
  </si>
  <si>
    <t>obalR2LOB1Disc3Retention</t>
  </si>
  <si>
    <t>obalR2LOB1Disc4Retention</t>
  </si>
  <si>
    <t>obalR2LOB1DOOTime1</t>
  </si>
  <si>
    <t>obalR2LOB1DOOTime2</t>
  </si>
  <si>
    <t>obalR2LOB1DOOTime3</t>
  </si>
  <si>
    <t>obalR2LOB1DOOTime4</t>
  </si>
  <si>
    <t>obalR2LOB1DOOTime5</t>
  </si>
  <si>
    <t>obalR2LOB1DOOTime6</t>
  </si>
  <si>
    <t>obalR2LOB1DOOTotalTime</t>
  </si>
  <si>
    <t>obalR2LOB1DiscClinician1</t>
  </si>
  <si>
    <t>obalR2LOB1DiscClinician2</t>
  </si>
  <si>
    <t>obalR2LOB1DiscClinician3</t>
  </si>
  <si>
    <t>obalR2LOB1DiscClinician4</t>
  </si>
  <si>
    <t>obalR2LOB1DiscClinician5</t>
  </si>
  <si>
    <t>obalR2LOB1DiscClinician6</t>
  </si>
  <si>
    <t>obalR2LOB1DiscClinician7</t>
  </si>
  <si>
    <t>obalR2LOB1DiscClinician8</t>
  </si>
  <si>
    <t>obalR2LOB1DiscClinician9</t>
  </si>
  <si>
    <t>obalR2LOB1DiscClinician10</t>
  </si>
  <si>
    <t>obalR2LOB1DiscClinician11</t>
  </si>
  <si>
    <t>obalR2LOB1DiscClinician12</t>
  </si>
  <si>
    <t>obalR2LOB1DiscClinician13</t>
  </si>
  <si>
    <t>obalR2LOB1DiscClinician14</t>
  </si>
  <si>
    <t>obalR2LOB1DiscClinician15</t>
  </si>
  <si>
    <t>obalR2LOB1DiscClinician16</t>
  </si>
  <si>
    <t>obalR2LOB1EmpStatClinician1</t>
  </si>
  <si>
    <t>obalR2LOB1EmpStatClinician2</t>
  </si>
  <si>
    <t>obalR2LOB1EmpStatClinician3</t>
  </si>
  <si>
    <t>obalR2LOB1EmpStatClinician4</t>
  </si>
  <si>
    <t>obalR2LOB1EmpStatClinician5</t>
  </si>
  <si>
    <t>obalR2LOB1EmpStatClinician6</t>
  </si>
  <si>
    <t>obalR2LOB1EmpStatClinician7</t>
  </si>
  <si>
    <t>obalR2LOB1EmpStatClinician8</t>
  </si>
  <si>
    <t>obalR2LOB1EmpStatClinician9</t>
  </si>
  <si>
    <t>obalR2LOB1EmpStatClinician10</t>
  </si>
  <si>
    <t>obalR2LOB1EmpStatClinician11</t>
  </si>
  <si>
    <t>obalR2LOB1EmpStatClinician12</t>
  </si>
  <si>
    <t>obalR2LOB1EmpStatClinician13</t>
  </si>
  <si>
    <t>obalR2LOB1EmpStatClinician14</t>
  </si>
  <si>
    <t>obalR2LOB1EmpStatClinician15</t>
  </si>
  <si>
    <t>obalR2LOB1EmpStatClinician16</t>
  </si>
  <si>
    <t>obalR2LOB1NameClinician1</t>
  </si>
  <si>
    <t>obalR2LOB1NameClinician2</t>
  </si>
  <si>
    <t>obalR2LOB1NameClinician3</t>
  </si>
  <si>
    <t>obalR2LOB1NameClinician4</t>
  </si>
  <si>
    <t>obalR2LOB1NameClinician5</t>
  </si>
  <si>
    <t>obalR2LOB1NameClinician6</t>
  </si>
  <si>
    <t>obalR2LOB1NameClinician7</t>
  </si>
  <si>
    <t>obalR2LOB1NameClinician8</t>
  </si>
  <si>
    <t>obalR2LOB1NameClinician9</t>
  </si>
  <si>
    <t>obalR2LOB1NameClinician10</t>
  </si>
  <si>
    <t>obalR2LOB1NameClinician11</t>
  </si>
  <si>
    <t>obalR2LOB1NameClinician12</t>
  </si>
  <si>
    <t>obalR2LOB1AvgProdClinician1</t>
  </si>
  <si>
    <t>obalR2LOB1AvgProdClinician2</t>
  </si>
  <si>
    <t>obalR2LOB1AvgProdClinician3</t>
  </si>
  <si>
    <t>obalR2LOB1AvgProdClinician4</t>
  </si>
  <si>
    <t>obalR2LOB1AvgProdClinician5</t>
  </si>
  <si>
    <t>obalR2LOB1AvgProdClinician6</t>
  </si>
  <si>
    <t>obalR2LOB1AvgProdClinician7</t>
  </si>
  <si>
    <t>obalR2LOB1AvgProdClinician8</t>
  </si>
  <si>
    <t>obalR2LOB1AvgProdClinician9</t>
  </si>
  <si>
    <t>obalR2LOB1AvgProdClinician10</t>
  </si>
  <si>
    <t>obalR2LOB1AvgProdClinician11</t>
  </si>
  <si>
    <t>obalR2LOB1AvgProdClinician12</t>
  </si>
  <si>
    <t>obalR2LOB1AvgProdClinician13</t>
  </si>
  <si>
    <t>obalR2LOB1AvgProdClinician14</t>
  </si>
  <si>
    <t>obalR2LOB1AvgProdClinician15</t>
  </si>
  <si>
    <t>obalR2LOB1AvgProdClinician16</t>
  </si>
  <si>
    <t>obalR2LOB1AvgBaseProdClinician11</t>
  </si>
  <si>
    <t>obalR2LOB1AvgBaseProdClinician12</t>
  </si>
  <si>
    <t>obalR2LOB1MileagePVisitClinician1</t>
  </si>
  <si>
    <t>obalR2LOB1MileagePVisitClinician2</t>
  </si>
  <si>
    <t>obalR2LOB1MileagePVisitClinician3</t>
  </si>
  <si>
    <t>obalR2LOB1MileagePVisitClinician4</t>
  </si>
  <si>
    <t>obalR2LOB1MileagePVisitClinician5</t>
  </si>
  <si>
    <t>obalR2LOB1MileagePVisitClinician6</t>
  </si>
  <si>
    <t>obalR2LOB1MileagePVisitClinician7</t>
  </si>
  <si>
    <t>obalR2LOB1MileagePVisitClinician8</t>
  </si>
  <si>
    <t>obalR2LOB1MileagePVisitClinician9</t>
  </si>
  <si>
    <t>obalR2LOB1MileagePVisitClinician10</t>
  </si>
  <si>
    <t>obalR2LOB1MileagePVisitClinician11</t>
  </si>
  <si>
    <t>obalR2LOB1MileagePVisitClinician12</t>
  </si>
  <si>
    <t>obalR2LOB1MileageClinician1</t>
  </si>
  <si>
    <t>obalR2LOB1MileageClinician2</t>
  </si>
  <si>
    <t>obalR2LOB1MileageClinician3</t>
  </si>
  <si>
    <t>obalR2LOB1MileageClinician4</t>
  </si>
  <si>
    <t>obalR2LOB1MileageClinician5</t>
  </si>
  <si>
    <t>obalR2LOB1MileageClinician6</t>
  </si>
  <si>
    <t>obalR2LOB1MileageClinician7</t>
  </si>
  <si>
    <t>obalR2LOB1MileageClinician8</t>
  </si>
  <si>
    <t>obalR2LOB1MileageClinician9</t>
  </si>
  <si>
    <t>obalR2LOB1MileageClinician10</t>
  </si>
  <si>
    <t>obalR2LOB1MileageClinician11</t>
  </si>
  <si>
    <t>obalR2LOB1MileageClinician12</t>
  </si>
  <si>
    <t>obalR2LOB1AvgMissPercClinician1</t>
  </si>
  <si>
    <t>obalR2LOB1AvgMissPercClinician2</t>
  </si>
  <si>
    <t>obalR2LOB1AvgMissPercClinician3</t>
  </si>
  <si>
    <t>obalR2LOB1AvgMissPercClinician4</t>
  </si>
  <si>
    <t>obalR2LOB1AvgMissPercClinician5</t>
  </si>
  <si>
    <t>obalR2LOB1AvgMissPercClinician6</t>
  </si>
  <si>
    <t>obalR2LOB1AvgMissPercClinician7</t>
  </si>
  <si>
    <t>obalR2LOB1AvgMissPercClinician8</t>
  </si>
  <si>
    <t>obalR2LOB1AvgMissPercClinician9</t>
  </si>
  <si>
    <t>obalR2LOB1AvgMissPercClinician10</t>
  </si>
  <si>
    <t>obalR2LOB1AvgMissPercClinician11</t>
  </si>
  <si>
    <t>obalR2LOB1AvgMissPercClinician12</t>
  </si>
  <si>
    <t>obalR2LOB1AvgMissPercClinician13</t>
  </si>
  <si>
    <t>obalR2LOB1AvgMissPercClinician14</t>
  </si>
  <si>
    <t>obalR2LOB1AvgMissPercClinician15</t>
  </si>
  <si>
    <t>obalR2LOB1AvgMissPercClinician16</t>
  </si>
  <si>
    <t>obalR2LOB1ClinicianAvgMissPerc</t>
  </si>
  <si>
    <t>obalR2LOB1AdminTimeClinician1</t>
  </si>
  <si>
    <t>obalR2LOB1AdminTimeClinician2</t>
  </si>
  <si>
    <t>obalR2LOB1AdminTimeClinician3</t>
  </si>
  <si>
    <t>obalR2LOB1AdminTimeClinician4</t>
  </si>
  <si>
    <t>obalR2LOB1AdminTimeClinician5</t>
  </si>
  <si>
    <t>obalR2LOB1AdminTimeClinician6</t>
  </si>
  <si>
    <t>obalR2LOB1AdminTimeClinician7</t>
  </si>
  <si>
    <t>obalR2LOB1AdminTimeClinician8</t>
  </si>
  <si>
    <t>obalR2LOB1AdminTimeClinician9</t>
  </si>
  <si>
    <t>obalR2LOB1AdminTimeClinician10</t>
  </si>
  <si>
    <t>obalR2LOB1AdminTimeClinician11</t>
  </si>
  <si>
    <t>obalR2LOB1AdminTimeClinician12</t>
  </si>
  <si>
    <t>obalR2LOB1AvgMissClinician1</t>
  </si>
  <si>
    <t>obalR2LOB1AvgMissClinician2</t>
  </si>
  <si>
    <t>obalR2LOB1AvgMissClinician3</t>
  </si>
  <si>
    <t>obalR2LOB1AvgMissClinician4</t>
  </si>
  <si>
    <t>obalR2LOB1AvgMissClinician5</t>
  </si>
  <si>
    <t>obalR2LOB1AvgMissClinician6</t>
  </si>
  <si>
    <t>obalR2LOB1AvgMissClinician7</t>
  </si>
  <si>
    <t>obalR2LOB1AvgMissClinician8</t>
  </si>
  <si>
    <t>obalR2LOB1AvgMissClinician9</t>
  </si>
  <si>
    <t>obalR2LOB1AvgMissClinician10</t>
  </si>
  <si>
    <t>obalR2LOB1AvgMissClinician11</t>
  </si>
  <si>
    <t>obalR2LOB1AvgMissClinician12</t>
  </si>
  <si>
    <t>obalR2LOB2Seg1Perc</t>
  </si>
  <si>
    <t>obalR2LOB2Seg2Perc</t>
  </si>
  <si>
    <t>obalR2LOB2Seg3Perc</t>
  </si>
  <si>
    <t>obalR2LOB2Emp1VisitPEp</t>
  </si>
  <si>
    <t>obalR2LOB2Emp2VisitPEp</t>
  </si>
  <si>
    <t>obalR2LOB2Emp3VisitPEp</t>
  </si>
  <si>
    <t>obalR2LOB2Emp1Seg1RevPVisit</t>
  </si>
  <si>
    <t>obalR2LOB2Emp1Seg2RevPVisit</t>
  </si>
  <si>
    <t>obalR2LOB2Emp1Seg3RevPVisit</t>
  </si>
  <si>
    <t>obalR2LOB2Emp2Seg1RevPVisit</t>
  </si>
  <si>
    <t>obalR2LOB2Emp2Seg2RevPVisit</t>
  </si>
  <si>
    <t>obalR2LOB2Emp2Seg3RevPVisit</t>
  </si>
  <si>
    <t>obalR2LOB2Emp3Seg1RevPVisit</t>
  </si>
  <si>
    <t>obalR2LOB2Emp3Seg2RevPVisit</t>
  </si>
  <si>
    <t>obalR2LOB2Emp3Seg3RevPVisit</t>
  </si>
  <si>
    <t>obalR2LOB2Emp1CostPVisit</t>
  </si>
  <si>
    <t>obalR2LOB2Emp2CostPVisit</t>
  </si>
  <si>
    <t>obalR2LOB2Emp3CostPVisit</t>
  </si>
  <si>
    <t>obalR2LOB2Prod2Seg1Perc</t>
  </si>
  <si>
    <t>obalR2LOB2Prod2Seg2Perc</t>
  </si>
  <si>
    <t>obalR2LOB2Prod2Seg3Perc</t>
  </si>
  <si>
    <t>obalR2LOB2MarketShare</t>
  </si>
  <si>
    <t>obalR2LOB2FullEmpOverhead</t>
  </si>
  <si>
    <t>obalR2LOB2PartEmpOverhead</t>
  </si>
  <si>
    <t>obalR2LOB2Rev</t>
  </si>
  <si>
    <t>obalR2LOB2RevGrowth</t>
  </si>
  <si>
    <t>obalR2LOB2Stars</t>
  </si>
  <si>
    <t>obalR2LOB2ESAT</t>
  </si>
  <si>
    <t>obalR2LOB2CSAT</t>
  </si>
  <si>
    <t>obalR2LOB2BDEngage</t>
  </si>
  <si>
    <t>obalR2LOB2DOOUtilization</t>
  </si>
  <si>
    <t>obalR2LOB2AddFullTime</t>
  </si>
  <si>
    <t>obalR2LOB2AddPartTime</t>
  </si>
  <si>
    <t>obalR2LOB2Disc1Retention</t>
  </si>
  <si>
    <t>obalR2LOB2Disc2Retention</t>
  </si>
  <si>
    <t>obalR2LOB2Disc3Retention</t>
  </si>
  <si>
    <t>obalR2LOB2Disc4Retention</t>
  </si>
  <si>
    <t>obalR2LOB2DOOTime1</t>
  </si>
  <si>
    <t>obalR2LOB2DOOTime2</t>
  </si>
  <si>
    <t>obalR2LOB2DOOTime3</t>
  </si>
  <si>
    <t>obalR2LOB2DOOTime4</t>
  </si>
  <si>
    <t>obalR2LOB2DOOTime5</t>
  </si>
  <si>
    <t>obalR2LOB2DOOTime6</t>
  </si>
  <si>
    <t>obalR2LOB2DOOTotalTime</t>
  </si>
  <si>
    <t>obalR2LOB2DiscClinician1</t>
  </si>
  <si>
    <t>obalR2LOB2DiscClinician2</t>
  </si>
  <si>
    <t>obalR2LOB2DiscClinician3</t>
  </si>
  <si>
    <t>obalR2LOB2DiscClinician4</t>
  </si>
  <si>
    <t>obalR2LOB2DiscClinician5</t>
  </si>
  <si>
    <t>obalR2LOB2DiscClinician6</t>
  </si>
  <si>
    <t>obalR2LOB2DiscClinician7</t>
  </si>
  <si>
    <t>obalR2LOB2DiscClinician8</t>
  </si>
  <si>
    <t>obalR2LOB2DiscClinician9</t>
  </si>
  <si>
    <t>obalR2LOB2DiscClinician10</t>
  </si>
  <si>
    <t>obalR2LOB2DiscClinician11</t>
  </si>
  <si>
    <t>obalR2LOB2DiscClinician12</t>
  </si>
  <si>
    <t>obalR2LOB2DiscClinician13</t>
  </si>
  <si>
    <t>obalR2LOB2DiscClinician14</t>
  </si>
  <si>
    <t>obalR2LOB2DiscClinician15</t>
  </si>
  <si>
    <t>obalR2LOB2DiscClinician16</t>
  </si>
  <si>
    <t>obalR2LOB2EmpStatClinician1</t>
  </si>
  <si>
    <t>obalR2LOB2EmpStatClinician2</t>
  </si>
  <si>
    <t>obalR2LOB2EmpStatClinician3</t>
  </si>
  <si>
    <t>obalR2LOB2EmpStatClinician4</t>
  </si>
  <si>
    <t>obalR2LOB2EmpStatClinician5</t>
  </si>
  <si>
    <t>obalR2LOB2EmpStatClinician6</t>
  </si>
  <si>
    <t>obalR2LOB2EmpStatClinician7</t>
  </si>
  <si>
    <t>obalR2LOB2EmpStatClinician8</t>
  </si>
  <si>
    <t>obalR2LOB2EmpStatClinician9</t>
  </si>
  <si>
    <t>obalR2LOB2EmpStatClinician10</t>
  </si>
  <si>
    <t>obalR2LOB2EmpStatClinician11</t>
  </si>
  <si>
    <t>obalR2LOB2EmpStatClinician12</t>
  </si>
  <si>
    <t>obalR2LOB2EmpStatClinician13</t>
  </si>
  <si>
    <t>obalR2LOB2EmpStatClinician14</t>
  </si>
  <si>
    <t>obalR2LOB2EmpStatClinician15</t>
  </si>
  <si>
    <t>obalR2LOB2EmpStatClinician16</t>
  </si>
  <si>
    <t>obalR2LOB2NameClinician1</t>
  </si>
  <si>
    <t>obalR2LOB2NameClinician2</t>
  </si>
  <si>
    <t>obalR2LOB2NameClinician3</t>
  </si>
  <si>
    <t>obalR2LOB2NameClinician4</t>
  </si>
  <si>
    <t>obalR2LOB2NameClinician5</t>
  </si>
  <si>
    <t>obalR2LOB2NameClinician6</t>
  </si>
  <si>
    <t>obalR2LOB2NameClinician7</t>
  </si>
  <si>
    <t>obalR2LOB2NameClinician8</t>
  </si>
  <si>
    <t>obalR2LOB2NameClinician9</t>
  </si>
  <si>
    <t>obalR2LOB2NameClinician10</t>
  </si>
  <si>
    <t>obalR2LOB2NameClinician11</t>
  </si>
  <si>
    <t>obalR2LOB2NameClinician12</t>
  </si>
  <si>
    <t>obalR2LOB2AvgProdClinician1</t>
  </si>
  <si>
    <t>obalR2LOB2AvgProdClinician2</t>
  </si>
  <si>
    <t>obalR2LOB2AvgProdClinician3</t>
  </si>
  <si>
    <t>obalR2LOB2AvgProdClinician4</t>
  </si>
  <si>
    <t>obalR2LOB2AvgProdClinician5</t>
  </si>
  <si>
    <t>obalR2LOB2AvgProdClinician6</t>
  </si>
  <si>
    <t>obalR2LOB2AvgProdClinician7</t>
  </si>
  <si>
    <t>obalR2LOB2AvgProdClinician8</t>
  </si>
  <si>
    <t>obalR2LOB2AvgProdClinician9</t>
  </si>
  <si>
    <t>obalR2LOB2AvgProdClinician10</t>
  </si>
  <si>
    <t>obalR2LOB2AvgProdClinician11</t>
  </si>
  <si>
    <t>obalR2LOB2AvgProdClinician12</t>
  </si>
  <si>
    <t>obalR2LOB2AvgProdClinician13</t>
  </si>
  <si>
    <t>obalR2LOB2AvgProdClinician14</t>
  </si>
  <si>
    <t>obalR2LOB2AvgProdClinician15</t>
  </si>
  <si>
    <t>obalR2LOB2AvgProdClinician16</t>
  </si>
  <si>
    <t>obalR2LOB2AvgBaseProdClinician11</t>
  </si>
  <si>
    <t>obalR2LOB2AvgBaseProdClinician12</t>
  </si>
  <si>
    <t>obalR2LOB2MileagePVisitClinician1</t>
  </si>
  <si>
    <t>obalR2LOB2MileagePVisitClinician2</t>
  </si>
  <si>
    <t>obalR2LOB2MileagePVisitClinician3</t>
  </si>
  <si>
    <t>obalR2LOB2MileagePVisitClinician4</t>
  </si>
  <si>
    <t>obalR2LOB2MileagePVisitClinician5</t>
  </si>
  <si>
    <t>obalR2LOB2MileagePVisitClinician6</t>
  </si>
  <si>
    <t>obalR2LOB2MileagePVisitClinician7</t>
  </si>
  <si>
    <t>obalR2LOB2MileagePVisitClinician8</t>
  </si>
  <si>
    <t>obalR2LOB2MileagePVisitClinician9</t>
  </si>
  <si>
    <t>obalR2LOB2MileagePVisitClinician10</t>
  </si>
  <si>
    <t>obalR2LOB2MileagePVisitClinician11</t>
  </si>
  <si>
    <t>obalR2LOB2MileagePVisitClinician12</t>
  </si>
  <si>
    <t>obalR2LOB2MileageClinician1</t>
  </si>
  <si>
    <t>obalR2LOB2MileageClinician2</t>
  </si>
  <si>
    <t>obalR2LOB2MileageClinician3</t>
  </si>
  <si>
    <t>obalR2LOB2MileageClinician4</t>
  </si>
  <si>
    <t>obalR2LOB2MileageClinician5</t>
  </si>
  <si>
    <t>obalR2LOB2MileageClinician6</t>
  </si>
  <si>
    <t>obalR2LOB2MileageClinician7</t>
  </si>
  <si>
    <t>obalR2LOB2MileageClinician8</t>
  </si>
  <si>
    <t>obalR2LOB2MileageClinician9</t>
  </si>
  <si>
    <t>obalR2LOB2MileageClinician10</t>
  </si>
  <si>
    <t>obalR2LOB2MileageClinician11</t>
  </si>
  <si>
    <t>obalR2LOB2MileageClinician12</t>
  </si>
  <si>
    <t>obalR2LOB2AvgMissPercClinician1</t>
  </si>
  <si>
    <t>obalR2LOB2AvgMissPercClinician2</t>
  </si>
  <si>
    <t>obalR2LOB2AvgMissPercClinician3</t>
  </si>
  <si>
    <t>obalR2LOB2AvgMissPercClinician4</t>
  </si>
  <si>
    <t>obalR2LOB2AvgMissPercClinician5</t>
  </si>
  <si>
    <t>obalR2LOB2AvgMissPercClinician6</t>
  </si>
  <si>
    <t>obalR2LOB2AvgMissPercClinician7</t>
  </si>
  <si>
    <t>obalR2LOB2AvgMissPercClinician8</t>
  </si>
  <si>
    <t>obalR2LOB2AvgMissPercClinician9</t>
  </si>
  <si>
    <t>obalR2LOB2AvgMissPercClinician10</t>
  </si>
  <si>
    <t>obalR2LOB2AvgMissPercClinician11</t>
  </si>
  <si>
    <t>obalR2LOB2AvgMissPercClinician12</t>
  </si>
  <si>
    <t>obalR2LOB2AvgMissPercClinician13</t>
  </si>
  <si>
    <t>obalR2LOB2AvgMissPercClinician14</t>
  </si>
  <si>
    <t>obalR2LOB2AvgMissPercClinician15</t>
  </si>
  <si>
    <t>obalR2LOB2AvgMissPercClinician16</t>
  </si>
  <si>
    <t>obalR2LOB2ClinicianAvgMissPerc</t>
  </si>
  <si>
    <t>obalR2LOB2AdminTimeClinician1</t>
  </si>
  <si>
    <t>obalR2LOB2AdminTimeClinician2</t>
  </si>
  <si>
    <t>obalR2LOB2AdminTimeClinician3</t>
  </si>
  <si>
    <t>obalR2LOB2AdminTimeClinician4</t>
  </si>
  <si>
    <t>obalR2LOB2AdminTimeClinician5</t>
  </si>
  <si>
    <t>obalR2LOB2AdminTimeClinician6</t>
  </si>
  <si>
    <t>obalR2LOB2AdminTimeClinician7</t>
  </si>
  <si>
    <t>obalR2LOB2AdminTimeClinician8</t>
  </si>
  <si>
    <t>obalR2LOB2AdminTimeClinician9</t>
  </si>
  <si>
    <t>obalR2LOB2AdminTimeClinician10</t>
  </si>
  <si>
    <t>obalR2LOB2AdminTimeClinician11</t>
  </si>
  <si>
    <t>obalR2LOB2AdminTimeClinician12</t>
  </si>
  <si>
    <t>obalR2SI1CodeR1</t>
  </si>
  <si>
    <t>obalR2SI2CodeR1</t>
  </si>
  <si>
    <t>obalR2SI3CodeR1</t>
  </si>
  <si>
    <t>obalR2SI4CodeR1</t>
  </si>
  <si>
    <t>obalR2SI5CodeR1</t>
  </si>
  <si>
    <t>obalR2SI1CodeR2</t>
  </si>
  <si>
    <t>obalR2SI2CodeR2</t>
  </si>
  <si>
    <t>obalR2SI3CodeR2</t>
  </si>
  <si>
    <t>obalR2SI4CodeR2</t>
  </si>
  <si>
    <t>obalR2SI5CodeR2</t>
  </si>
  <si>
    <t>obalR2SI1CodeR3</t>
  </si>
  <si>
    <t>obalR2SI2CodeR3</t>
  </si>
  <si>
    <t>obalR2SI3CodeR3</t>
  </si>
  <si>
    <t>obalR2SI4CodeR3</t>
  </si>
  <si>
    <t>obalR2SI5CodeR3</t>
  </si>
  <si>
    <t>cbalR2_Paste</t>
  </si>
  <si>
    <t>cbalR2Rev</t>
  </si>
  <si>
    <t>cbalR2RevGrowth</t>
  </si>
  <si>
    <t>cbalR2Stars</t>
  </si>
  <si>
    <t>cbalR2ESAT</t>
  </si>
  <si>
    <t>cbalR2CSAT</t>
  </si>
  <si>
    <t>cbalR2LOB1Seg1Perc</t>
  </si>
  <si>
    <t>cbalR2LOB1Seg2Perc</t>
  </si>
  <si>
    <t>cbalR2LOB1Seg3Perc</t>
  </si>
  <si>
    <t>cbalR2LOB1Emp1VisitPEp</t>
  </si>
  <si>
    <t>cbalR2LOB1Emp2VisitPEp</t>
  </si>
  <si>
    <t>cbalR2LOB1Emp3VisitPEp</t>
  </si>
  <si>
    <t>cbalR2LOB1Emp1Seg1RevPVisit</t>
  </si>
  <si>
    <t>cbalR2LOB1Emp1Seg2RevPVisit</t>
  </si>
  <si>
    <t>cbalR2LOB1Emp1Seg3RevPVisit</t>
  </si>
  <si>
    <t>cbalR2LOB1Emp2Seg1RevPVisit</t>
  </si>
  <si>
    <t>cbalR2LOB1Emp2Seg2RevPVisit</t>
  </si>
  <si>
    <t>cbalR2LOB1Emp2Seg3RevPVisit</t>
  </si>
  <si>
    <t>cbalR2LOB1Emp3Seg1RevPVisit</t>
  </si>
  <si>
    <t>cbalR2LOB1Emp3Seg2RevPVisit</t>
  </si>
  <si>
    <t>cbalR2LOB1Emp3Seg3RevPVisit</t>
  </si>
  <si>
    <t>cbalR2LOB1Emp1CostPVisit</t>
  </si>
  <si>
    <t>cbalR2LOB1Emp2CostPVisit</t>
  </si>
  <si>
    <t>cbalR2LOB1Emp3CostPVisit</t>
  </si>
  <si>
    <t>cbalR2LOB1Prod2Seg1Perc</t>
  </si>
  <si>
    <t>cbalR2LOB1Prod2Seg2Perc</t>
  </si>
  <si>
    <t>cbalR2LOB1Prod2Seg3Perc</t>
  </si>
  <si>
    <t>cbalR2LOB1MarketShare</t>
  </si>
  <si>
    <t>cbalR2LOB1FullEmpOverhead</t>
  </si>
  <si>
    <t>cbalR2LOB1PartEmpOverhead</t>
  </si>
  <si>
    <t>cbalR2LOB1Rev</t>
  </si>
  <si>
    <t>cbalR2LOB1RevGrowth</t>
  </si>
  <si>
    <t>cbalR2LOB1Stars</t>
  </si>
  <si>
    <t>cbalR2LOB1ESAT</t>
  </si>
  <si>
    <t>cbalR2LOB1CSAT</t>
  </si>
  <si>
    <t>cbalR2LOB1BDEngage</t>
  </si>
  <si>
    <t>cbalR2LOB1DOOUtilization</t>
  </si>
  <si>
    <t>cbalR2LOB1AddFullTime</t>
  </si>
  <si>
    <t>cbalR2LOB1AddPartTime</t>
  </si>
  <si>
    <t>cbalR2LOB1Disc1Retention</t>
  </si>
  <si>
    <t>cbalR2LOB1Disc2Retention</t>
  </si>
  <si>
    <t>cbalR2LOB1Disc3Retention</t>
  </si>
  <si>
    <t>cbalR2LOB1Disc4Retention</t>
  </si>
  <si>
    <t>cbalR2LOB1DOOTime1</t>
  </si>
  <si>
    <t>cbalR2LOB1DOOTime2</t>
  </si>
  <si>
    <t>cbalR2LOB1DOOTime3</t>
  </si>
  <si>
    <t>cbalR2LOB1DOOTime4</t>
  </si>
  <si>
    <t>cbalR2LOB1DOOTime5</t>
  </si>
  <si>
    <t>cbalR2LOB1DOOTime6</t>
  </si>
  <si>
    <t>cbalR2LOB1DOOTotalTime</t>
  </si>
  <si>
    <t>cbalR2LOB1DiscClinician1</t>
  </si>
  <si>
    <t>cbalR2LOB1DiscClinician2</t>
  </si>
  <si>
    <t>cbalR2LOB1DiscClinician3</t>
  </si>
  <si>
    <t>cbalR2LOB1DiscClinician4</t>
  </si>
  <si>
    <t>cbalR2LOB1DiscClinician5</t>
  </si>
  <si>
    <t>cbalR2LOB1DiscClinician6</t>
  </si>
  <si>
    <t>cbalR2LOB1DiscClinician7</t>
  </si>
  <si>
    <t>cbalR2LOB1DiscClinician8</t>
  </si>
  <si>
    <t>cbalR2LOB1DiscClinician9</t>
  </si>
  <si>
    <t>cbalR2LOB1DiscClinician10</t>
  </si>
  <si>
    <t>cbalR2LOB1DiscClinician11</t>
  </si>
  <si>
    <t>cbalR2LOB1DiscClinician12</t>
  </si>
  <si>
    <t>cbalR2LOB1DiscClinician13</t>
  </si>
  <si>
    <t>cbalR2LOB1DiscClinician14</t>
  </si>
  <si>
    <t>cbalR2LOB1DiscClinician15</t>
  </si>
  <si>
    <t>cbalR2LOB1DiscClinician16</t>
  </si>
  <si>
    <t>cbalR2LOB1EmpStatClinician1</t>
  </si>
  <si>
    <t>cbalR2LOB1EmpStatClinician2</t>
  </si>
  <si>
    <t>cbalR2LOB1EmpStatClinician3</t>
  </si>
  <si>
    <t>cbalR2LOB1EmpStatClinician4</t>
  </si>
  <si>
    <t>cbalR2LOB1EmpStatClinician5</t>
  </si>
  <si>
    <t>cbalR2LOB1EmpStatClinician6</t>
  </si>
  <si>
    <t>cbalR2LOB1EmpStatClinician7</t>
  </si>
  <si>
    <t>cbalR2LOB1EmpStatClinician8</t>
  </si>
  <si>
    <t>cbalR2LOB1EmpStatClinician9</t>
  </si>
  <si>
    <t>cbalR2LOB1EmpStatClinician10</t>
  </si>
  <si>
    <t>cbalR2LOB1EmpStatClinician11</t>
  </si>
  <si>
    <t>cbalR2LOB1EmpStatClinician12</t>
  </si>
  <si>
    <t>cbalR2LOB1EmpStatClinician13</t>
  </si>
  <si>
    <t>cbalR2LOB1EmpStatClinician14</t>
  </si>
  <si>
    <t>cbalR2LOB1EmpStatClinician15</t>
  </si>
  <si>
    <t>cbalR2LOB1EmpStatClinician16</t>
  </si>
  <si>
    <t>cbalR2LOB1NameClinician1</t>
  </si>
  <si>
    <t>cbalR2LOB1NameClinician2</t>
  </si>
  <si>
    <t>cbalR2LOB1NameClinician3</t>
  </si>
  <si>
    <t>cbalR2LOB1NameClinician4</t>
  </si>
  <si>
    <t>cbalR2LOB1NameClinician5</t>
  </si>
  <si>
    <t>cbalR2LOB1NameClinician6</t>
  </si>
  <si>
    <t>cbalR2LOB1NameClinician7</t>
  </si>
  <si>
    <t>cbalR2LOB1NameClinician8</t>
  </si>
  <si>
    <t>cbalR2LOB1NameClinician9</t>
  </si>
  <si>
    <t>cbalR2LOB1NameClinician10</t>
  </si>
  <si>
    <t>cbalR2LOB1NameClinician11</t>
  </si>
  <si>
    <t>cbalR2LOB1NameClinician12</t>
  </si>
  <si>
    <t>cbalR2LOB1AvgProdClinician1</t>
  </si>
  <si>
    <t>cbalR2LOB1AvgProdClinician2</t>
  </si>
  <si>
    <t>cbalR2LOB1AvgProdClinician3</t>
  </si>
  <si>
    <t>cbalR2LOB1AvgProdClinician4</t>
  </si>
  <si>
    <t>cbalR2LOB1AvgProdClinician5</t>
  </si>
  <si>
    <t>cbalR2LOB1AvgProdClinician6</t>
  </si>
  <si>
    <t>cbalR2LOB1AvgProdClinician7</t>
  </si>
  <si>
    <t>cbalR2LOB1AvgProdClinician8</t>
  </si>
  <si>
    <t>cbalR2LOB1AvgProdClinician9</t>
  </si>
  <si>
    <t>cbalR2LOB1AvgProdClinician10</t>
  </si>
  <si>
    <t>cbalR2LOB1AvgProdClinician11</t>
  </si>
  <si>
    <t>cbalR2LOB1AvgProdClinician12</t>
  </si>
  <si>
    <t>cbalR2LOB1AvgProdClinician13</t>
  </si>
  <si>
    <t>cbalR2LOB1AvgProdClinician14</t>
  </si>
  <si>
    <t>cbalR2LOB1AvgProdClinician15</t>
  </si>
  <si>
    <t>cbalR2LOB1AvgProdClinician16</t>
  </si>
  <si>
    <t>cbalR2LOB1AvgBaseProdClinician11</t>
  </si>
  <si>
    <t>cbalR2LOB1AvgBaseProdClinician12</t>
  </si>
  <si>
    <t>cbalR2LOB1MileagePVisitClinician1</t>
  </si>
  <si>
    <t>cbalR2LOB1MileagePVisitClinician2</t>
  </si>
  <si>
    <t>cbalR2LOB1MileagePVisitClinician3</t>
  </si>
  <si>
    <t>cbalR2LOB1MileagePVisitClinician4</t>
  </si>
  <si>
    <t>cbalR2LOB1MileagePVisitClinician5</t>
  </si>
  <si>
    <t>cbalR2LOB1MileagePVisitClinician6</t>
  </si>
  <si>
    <t>cbalR2LOB1MileagePVisitClinician7</t>
  </si>
  <si>
    <t>cbalR2LOB1MileagePVisitClinician8</t>
  </si>
  <si>
    <t>cbalR2LOB1MileagePVisitClinician9</t>
  </si>
  <si>
    <t>cbalR2LOB1MileagePVisitClinician10</t>
  </si>
  <si>
    <t>cbalR2LOB1MileagePVisitClinician11</t>
  </si>
  <si>
    <t>cbalR2LOB1MileagePVisitClinician12</t>
  </si>
  <si>
    <t>cbalR2LOB1MileageClinician1</t>
  </si>
  <si>
    <t>cbalR2LOB1MileageClinician2</t>
  </si>
  <si>
    <t>cbalR2LOB1MileageClinician3</t>
  </si>
  <si>
    <t>cbalR2LOB1MileageClinician4</t>
  </si>
  <si>
    <t>cbalR2LOB1MileageClinician5</t>
  </si>
  <si>
    <t>cbalR2LOB1MileageClinician6</t>
  </si>
  <si>
    <t>cbalR2LOB1MileageClinician7</t>
  </si>
  <si>
    <t>cbalR2LOB1MileageClinician8</t>
  </si>
  <si>
    <t>cbalR2LOB1MileageClinician9</t>
  </si>
  <si>
    <t>cbalR2LOB1MileageClinician10</t>
  </si>
  <si>
    <t>cbalR2LOB1MileageClinician11</t>
  </si>
  <si>
    <t>cbalR2LOB1MileageClinician12</t>
  </si>
  <si>
    <t>cbalR2LOB1AvgMissPercClinician1</t>
  </si>
  <si>
    <t>cbalR2LOB1AvgMissPercClinician2</t>
  </si>
  <si>
    <t>cbalR2LOB1AvgMissPercClinician3</t>
  </si>
  <si>
    <t>cbalR2LOB1AvgMissPercClinician4</t>
  </si>
  <si>
    <t>cbalR2LOB1AvgMissPercClinician5</t>
  </si>
  <si>
    <t>cbalR2LOB1AvgMissPercClinician6</t>
  </si>
  <si>
    <t>cbalR2LOB1AvgMissPercClinician7</t>
  </si>
  <si>
    <t>cbalR2LOB1AvgMissPercClinician8</t>
  </si>
  <si>
    <t>cbalR2LOB1AvgMissPercClinician9</t>
  </si>
  <si>
    <t>cbalR2LOB1AvgMissPercClinician10</t>
  </si>
  <si>
    <t>cbalR2LOB1AvgMissPercClinician11</t>
  </si>
  <si>
    <t>cbalR2LOB1AvgMissPercClinician12</t>
  </si>
  <si>
    <t>cbalR2LOB1AvgMissPercClinician13</t>
  </si>
  <si>
    <t>cbalR2LOB1AvgMissPercClinician14</t>
  </si>
  <si>
    <t>cbalR2LOB1AvgMissPercClinician15</t>
  </si>
  <si>
    <t>cbalR2LOB1AvgMissPercClinician16</t>
  </si>
  <si>
    <t>cbalR2LOB1ClinicianAvgMissPerc</t>
  </si>
  <si>
    <t>cbalR2LOB1AdminTimeClinician1</t>
  </si>
  <si>
    <t>cbalR2LOB1AdminTimeClinician2</t>
  </si>
  <si>
    <t>cbalR2LOB1AdminTimeClinician3</t>
  </si>
  <si>
    <t>cbalR2LOB1AdminTimeClinician4</t>
  </si>
  <si>
    <t>cbalR2LOB1AdminTimeClinician5</t>
  </si>
  <si>
    <t>cbalR2LOB1AdminTimeClinician6</t>
  </si>
  <si>
    <t>cbalR2LOB1AdminTimeClinician7</t>
  </si>
  <si>
    <t>cbalR2LOB1AdminTimeClinician8</t>
  </si>
  <si>
    <t>cbalR2LOB1AdminTimeClinician9</t>
  </si>
  <si>
    <t>cbalR2LOB1AdminTimeClinician10</t>
  </si>
  <si>
    <t>cbalR2LOB1AdminTimeClinician11</t>
  </si>
  <si>
    <t>cbalR2LOB1AdminTimeClinician12</t>
  </si>
  <si>
    <t>cbalR2LOB1AvgMissClinician1</t>
  </si>
  <si>
    <t>cbalR2LOB1AvgMissClinician2</t>
  </si>
  <si>
    <t>cbalR2LOB1AvgMissClinician3</t>
  </si>
  <si>
    <t>cbalR2LOB1AvgMissClinician4</t>
  </si>
  <si>
    <t>cbalR2LOB1AvgMissClinician5</t>
  </si>
  <si>
    <t>cbalR2LOB1AvgMissClinician6</t>
  </si>
  <si>
    <t>cbalR2LOB1AvgMissClinician7</t>
  </si>
  <si>
    <t>cbalR2LOB1AvgMissClinician8</t>
  </si>
  <si>
    <t>cbalR2LOB1AvgMissClinician9</t>
  </si>
  <si>
    <t>cbalR2LOB1AvgMissClinician10</t>
  </si>
  <si>
    <t>cbalR2LOB1AvgMissClinician11</t>
  </si>
  <si>
    <t>cbalR2LOB1AvgMissClinician12</t>
  </si>
  <si>
    <t>cbalR2LOB2Seg1Perc</t>
  </si>
  <si>
    <t>cbalR2LOB2Seg2Perc</t>
  </si>
  <si>
    <t>cbalR2LOB2Seg3Perc</t>
  </si>
  <si>
    <t>cbalR2LOB2Emp1VisitPEp</t>
  </si>
  <si>
    <t>cbalR2LOB2Emp2VisitPEp</t>
  </si>
  <si>
    <t>cbalR2LOB2Emp3VisitPEp</t>
  </si>
  <si>
    <t>cbalR2LOB2Emp1Seg1RevPVisit</t>
  </si>
  <si>
    <t>cbalR2LOB2Emp1Seg2RevPVisit</t>
  </si>
  <si>
    <t>cbalR2LOB2Emp1Seg3RevPVisit</t>
  </si>
  <si>
    <t>cbalR2LOB2Emp2Seg1RevPVisit</t>
  </si>
  <si>
    <t>cbalR2LOB2Emp2Seg2RevPVisit</t>
  </si>
  <si>
    <t>cbalR2LOB2Emp2Seg3RevPVisit</t>
  </si>
  <si>
    <t>cbalR2LOB2Emp3Seg1RevPVisit</t>
  </si>
  <si>
    <t>cbalR2LOB2Emp3Seg2RevPVisit</t>
  </si>
  <si>
    <t>cbalR2LOB2Emp3Seg3RevPVisit</t>
  </si>
  <si>
    <t>cbalR2LOB2Emp1CostPVisit</t>
  </si>
  <si>
    <t>cbalR2LOB2Emp2CostPVisit</t>
  </si>
  <si>
    <t>cbalR2LOB2Emp3CostPVisit</t>
  </si>
  <si>
    <t>cbalR2LOB2Prod2Seg1Perc</t>
  </si>
  <si>
    <t>cbalR2LOB2Prod2Seg2Perc</t>
  </si>
  <si>
    <t>cbalR2LOB2Prod2Seg3Perc</t>
  </si>
  <si>
    <t>cbalR2LOB2MarketShare</t>
  </si>
  <si>
    <t>cbalR2LOB2FullEmpOverhead</t>
  </si>
  <si>
    <t>cbalR2LOB2PartEmpOverhead</t>
  </si>
  <si>
    <t>cbalR2LOB2Rev</t>
  </si>
  <si>
    <t>cbalR2LOB2RevGrowth</t>
  </si>
  <si>
    <t>cbalR2LOB2Stars</t>
  </si>
  <si>
    <t>cbalR2LOB2ESAT</t>
  </si>
  <si>
    <t>cbalR2LOB2CSAT</t>
  </si>
  <si>
    <t>cbalR2LOB2BDEngage</t>
  </si>
  <si>
    <t>cbalR2LOB2DOOUtilization</t>
  </si>
  <si>
    <t>cbalR2LOB2AddFullTime</t>
  </si>
  <si>
    <t>cbalR2LOB2AddPartTime</t>
  </si>
  <si>
    <t>cbalR2LOB2Disc1Retention</t>
  </si>
  <si>
    <t>cbalR2LOB2Disc2Retention</t>
  </si>
  <si>
    <t>cbalR2LOB2Disc3Retention</t>
  </si>
  <si>
    <t>cbalR2LOB2Disc4Retention</t>
  </si>
  <si>
    <t>cbalR2LOB2DOOTime1</t>
  </si>
  <si>
    <t>cbalR2LOB2DOOTime2</t>
  </si>
  <si>
    <t>cbalR2LOB2DOOTime3</t>
  </si>
  <si>
    <t>cbalR2LOB2DOOTime4</t>
  </si>
  <si>
    <t>cbalR2LOB2DOOTime5</t>
  </si>
  <si>
    <t>cbalR2LOB2DOOTime6</t>
  </si>
  <si>
    <t>cbalR2LOB2DOOTotalTime</t>
  </si>
  <si>
    <t>cbalR2LOB2DiscClinician1</t>
  </si>
  <si>
    <t>cbalR2LOB2DiscClinician2</t>
  </si>
  <si>
    <t>cbalR2LOB2DiscClinician3</t>
  </si>
  <si>
    <t>cbalR2LOB2DiscClinician4</t>
  </si>
  <si>
    <t>cbalR2LOB2DiscClinician5</t>
  </si>
  <si>
    <t>cbalR2LOB2DiscClinician6</t>
  </si>
  <si>
    <t>cbalR2LOB2DiscClinician7</t>
  </si>
  <si>
    <t>cbalR2LOB2DiscClinician8</t>
  </si>
  <si>
    <t>cbalR2LOB2DiscClinician9</t>
  </si>
  <si>
    <t>cbalR2LOB2DiscClinician10</t>
  </si>
  <si>
    <t>cbalR2LOB2DiscClinician11</t>
  </si>
  <si>
    <t>cbalR2LOB2DiscClinician12</t>
  </si>
  <si>
    <t>cbalR2LOB2DiscClinician13</t>
  </si>
  <si>
    <t>cbalR2LOB2DiscClinician14</t>
  </si>
  <si>
    <t>cbalR2LOB2DiscClinician15</t>
  </si>
  <si>
    <t>cbalR2LOB2DiscClinician16</t>
  </si>
  <si>
    <t>cbalR2LOB2EmpStatClinician1</t>
  </si>
  <si>
    <t>cbalR2LOB2EmpStatClinician2</t>
  </si>
  <si>
    <t>cbalR2LOB2EmpStatClinician3</t>
  </si>
  <si>
    <t>cbalR2LOB2EmpStatClinician4</t>
  </si>
  <si>
    <t>cbalR2LOB2EmpStatClinician5</t>
  </si>
  <si>
    <t>cbalR2LOB2EmpStatClinician6</t>
  </si>
  <si>
    <t>cbalR2LOB2EmpStatClinician7</t>
  </si>
  <si>
    <t>cbalR2LOB2EmpStatClinician8</t>
  </si>
  <si>
    <t>cbalR2LOB2EmpStatClinician9</t>
  </si>
  <si>
    <t>cbalR2LOB2EmpStatClinician10</t>
  </si>
  <si>
    <t>cbalR2LOB2EmpStatClinician11</t>
  </si>
  <si>
    <t>cbalR2LOB2EmpStatClinician12</t>
  </si>
  <si>
    <t>cbalR2LOB2EmpStatClinician13</t>
  </si>
  <si>
    <t>cbalR2LOB2EmpStatClinician14</t>
  </si>
  <si>
    <t>cbalR2LOB2EmpStatClinician15</t>
  </si>
  <si>
    <t>cbalR2LOB2EmpStatClinician16</t>
  </si>
  <si>
    <t>cbalR2LOB2NameClinician1</t>
  </si>
  <si>
    <t>cbalR2LOB2NameClinician2</t>
  </si>
  <si>
    <t>cbalR2LOB2NameClinician3</t>
  </si>
  <si>
    <t>cbalR2LOB2NameClinician4</t>
  </si>
  <si>
    <t>cbalR2LOB2NameClinician5</t>
  </si>
  <si>
    <t>cbalR2LOB2NameClinician6</t>
  </si>
  <si>
    <t>cbalR2LOB2NameClinician7</t>
  </si>
  <si>
    <t>cbalR2LOB2NameClinician8</t>
  </si>
  <si>
    <t>cbalR2LOB2NameClinician9</t>
  </si>
  <si>
    <t>cbalR2LOB2NameClinician10</t>
  </si>
  <si>
    <t>cbalR2LOB2NameClinician11</t>
  </si>
  <si>
    <t>cbalR2LOB2NameClinician12</t>
  </si>
  <si>
    <t>cbalR2LOB2AvgProdClinician1</t>
  </si>
  <si>
    <t>cbalR2LOB2AvgProdClinician2</t>
  </si>
  <si>
    <t>cbalR2LOB2AvgProdClinician3</t>
  </si>
  <si>
    <t>cbalR2LOB2AvgProdClinician4</t>
  </si>
  <si>
    <t>cbalR2LOB2AvgProdClinician5</t>
  </si>
  <si>
    <t>cbalR2LOB2AvgProdClinician6</t>
  </si>
  <si>
    <t>cbalR2LOB2AvgProdClinician7</t>
  </si>
  <si>
    <t>cbalR2LOB2AvgProdClinician8</t>
  </si>
  <si>
    <t>cbalR2LOB2AvgProdClinician9</t>
  </si>
  <si>
    <t>cbalR2LOB2AvgProdClinician10</t>
  </si>
  <si>
    <t>cbalR2LOB2AvgProdClinician11</t>
  </si>
  <si>
    <t>cbalR2LOB2AvgProdClinician12</t>
  </si>
  <si>
    <t>cbalR2LOB2AvgProdClinician13</t>
  </si>
  <si>
    <t>cbalR2LOB2AvgProdClinician14</t>
  </si>
  <si>
    <t>cbalR2LOB2AvgProdClinician15</t>
  </si>
  <si>
    <t>cbalR2LOB2AvgProdClinician16</t>
  </si>
  <si>
    <t>cbalR2LOB2AvgBaseProdClinician11</t>
  </si>
  <si>
    <t>cbalR2LOB2AvgBaseProdClinician12</t>
  </si>
  <si>
    <t>cbalR2LOB2MileagePVisitClinician1</t>
  </si>
  <si>
    <t>cbalR2LOB2MileagePVisitClinician2</t>
  </si>
  <si>
    <t>cbalR2LOB2MileagePVisitClinician3</t>
  </si>
  <si>
    <t>cbalR2LOB2MileagePVisitClinician4</t>
  </si>
  <si>
    <t>cbalR2LOB2MileagePVisitClinician5</t>
  </si>
  <si>
    <t>cbalR2LOB2MileagePVisitClinician6</t>
  </si>
  <si>
    <t>cbalR2LOB2MileagePVisitClinician7</t>
  </si>
  <si>
    <t>cbalR2LOB2MileagePVisitClinician8</t>
  </si>
  <si>
    <t>cbalR2LOB2MileagePVisitClinician9</t>
  </si>
  <si>
    <t>cbalR2LOB2MileagePVisitClinician10</t>
  </si>
  <si>
    <t>cbalR2LOB2MileagePVisitClinician11</t>
  </si>
  <si>
    <t>cbalR2LOB2MileagePVisitClinician12</t>
  </si>
  <si>
    <t>cbalR2LOB2MileageClinician1</t>
  </si>
  <si>
    <t>cbalR2LOB2MileageClinician2</t>
  </si>
  <si>
    <t>cbalR2LOB2MileageClinician3</t>
  </si>
  <si>
    <t>cbalR2LOB2MileageClinician4</t>
  </si>
  <si>
    <t>cbalR2LOB2MileageClinician5</t>
  </si>
  <si>
    <t>cbalR2LOB2MileageClinician6</t>
  </si>
  <si>
    <t>cbalR2LOB2MileageClinician7</t>
  </si>
  <si>
    <t>cbalR2LOB2MileageClinician8</t>
  </si>
  <si>
    <t>cbalR2LOB2MileageClinician9</t>
  </si>
  <si>
    <t>cbalR2LOB2MileageClinician10</t>
  </si>
  <si>
    <t>cbalR2LOB2MileageClinician11</t>
  </si>
  <si>
    <t>cbalR2LOB2MileageClinician12</t>
  </si>
  <si>
    <t>cbalR2LOB2AvgMissPercClinician1</t>
  </si>
  <si>
    <t>cbalR2LOB2AvgMissPercClinician2</t>
  </si>
  <si>
    <t>cbalR2LOB2AvgMissPercClinician3</t>
  </si>
  <si>
    <t>cbalR2LOB2AvgMissPercClinician4</t>
  </si>
  <si>
    <t>cbalR2LOB2AvgMissPercClinician5</t>
  </si>
  <si>
    <t>cbalR2LOB2AvgMissPercClinician6</t>
  </si>
  <si>
    <t>cbalR2LOB2AvgMissPercClinician7</t>
  </si>
  <si>
    <t>cbalR2LOB2AvgMissPercClinician8</t>
  </si>
  <si>
    <t>cbalR2LOB2AvgMissPercClinician9</t>
  </si>
  <si>
    <t>cbalR2LOB2AvgMissPercClinician10</t>
  </si>
  <si>
    <t>cbalR2LOB2AvgMissPercClinician11</t>
  </si>
  <si>
    <t>cbalR2LOB2AvgMissPercClinician12</t>
  </si>
  <si>
    <t>cbalR2LOB2AvgMissPercClinician13</t>
  </si>
  <si>
    <t>cbalR2LOB2AvgMissPercClinician14</t>
  </si>
  <si>
    <t>cbalR2LOB2AvgMissPercClinician15</t>
  </si>
  <si>
    <t>cbalR2LOB2AvgMissPercClinician16</t>
  </si>
  <si>
    <t>cbalR2LOB2ClinicianAvgMissPerc</t>
  </si>
  <si>
    <t>cbalR2LOB2AdminTimeClinician1</t>
  </si>
  <si>
    <t>cbalR2LOB2AdminTimeClinician2</t>
  </si>
  <si>
    <t>cbalR2LOB2AdminTimeClinician3</t>
  </si>
  <si>
    <t>cbalR2LOB2AdminTimeClinician4</t>
  </si>
  <si>
    <t>cbalR2LOB2AdminTimeClinician5</t>
  </si>
  <si>
    <t>cbalR2LOB2AdminTimeClinician6</t>
  </si>
  <si>
    <t>cbalR2LOB2AdminTimeClinician7</t>
  </si>
  <si>
    <t>cbalR2LOB2AdminTimeClinician8</t>
  </si>
  <si>
    <t>cbalR2LOB2AdminTimeClinician9</t>
  </si>
  <si>
    <t>cbalR2LOB2AdminTimeClinician10</t>
  </si>
  <si>
    <t>cbalR2LOB2AdminTimeClinician11</t>
  </si>
  <si>
    <t>cbalR2LOB2AdminTimeClinician12</t>
  </si>
  <si>
    <t>cbalR2SI1CodeR1</t>
  </si>
  <si>
    <t>cbalR2SI2CodeR1</t>
  </si>
  <si>
    <t>cbalR2SI3CodeR1</t>
  </si>
  <si>
    <t>cbalR2SI4CodeR1</t>
  </si>
  <si>
    <t>cbalR2SI5CodeR1</t>
  </si>
  <si>
    <t>cbalR2SI1CodeR2</t>
  </si>
  <si>
    <t>cbalR2SI2CodeR2</t>
  </si>
  <si>
    <t>cbalR2SI3CodeR2</t>
  </si>
  <si>
    <t>cbalR2SI4CodeR2</t>
  </si>
  <si>
    <t>cbalR2SI5CodeR2</t>
  </si>
  <si>
    <t>cbalR2SI1CodeR3</t>
  </si>
  <si>
    <t>cbalR2SI2CodeR3</t>
  </si>
  <si>
    <t>cbalR2SI3CodeR3</t>
  </si>
  <si>
    <t>cbalR2SI4CodeR3</t>
  </si>
  <si>
    <t>cbalR2SI5CodeR3</t>
  </si>
  <si>
    <t>calcR2LOB1Prod1Seg1RunRate</t>
  </si>
  <si>
    <t>calcR2LOB1Prod1Seg2RunRate</t>
  </si>
  <si>
    <t>calcR2LOB1Prod1Seg3RunRate</t>
  </si>
  <si>
    <t>calcR2LOB1Prod2Seg1RunRate</t>
  </si>
  <si>
    <t>calcR2LOB1Prod2Seg2RunRate</t>
  </si>
  <si>
    <t>calcR2LOB1Prod2Seg3RunRate</t>
  </si>
  <si>
    <t>calcR2LOB1RunRate</t>
  </si>
  <si>
    <t>calcR2LOB1Prod1Seg1Budget</t>
  </si>
  <si>
    <t>calcR2LOB1Prod1Seg2Budget</t>
  </si>
  <si>
    <t>calcR2LOB1Prod1Seg3Budget</t>
  </si>
  <si>
    <t>calcR2LOB1Prod2Seg1Budget</t>
  </si>
  <si>
    <t>calcR2LOB1Prod2Seg2Budget</t>
  </si>
  <si>
    <t>calcR2LOB1Prod2Seg3Budget</t>
  </si>
  <si>
    <t>calcR2LOB1Budget</t>
  </si>
  <si>
    <t>calcR2LOB1Prod1Seg1RunRateM1</t>
  </si>
  <si>
    <t>calcR2LOB1Prod1Seg2RunRateM1</t>
  </si>
  <si>
    <t>calcR2LOB1Prod1Seg3RunRateM1</t>
  </si>
  <si>
    <t>calcR2LOB1Prod2Seg1RunRateM1</t>
  </si>
  <si>
    <t>calcR2LOB1Prod2Seg2RunRateM1</t>
  </si>
  <si>
    <t>calcR2LOB1Prod2Seg3RunRateM1</t>
  </si>
  <si>
    <t>calcR2LOB1RunRateM1</t>
  </si>
  <si>
    <t>calcR2LOB1Prod1Seg1RunRateM2</t>
  </si>
  <si>
    <t>calcR2LOB1Prod1Seg2RunRateM2</t>
  </si>
  <si>
    <t>calcR2LOB1Prod1Seg3RunRateM2</t>
  </si>
  <si>
    <t>calcR2LOB1Prod2Seg1RunRateM2</t>
  </si>
  <si>
    <t>calcR2LOB1Prod2Seg2RunRateM2</t>
  </si>
  <si>
    <t>calcR2LOB1Prod2Seg3RunRateM2</t>
  </si>
  <si>
    <t>calcR2LOB1RunRateM2</t>
  </si>
  <si>
    <t>calcR2LOB1Prod1Seg1RunRateM3</t>
  </si>
  <si>
    <t>calcR2LOB1Prod1Seg2RunRateM3</t>
  </si>
  <si>
    <t>calcR2LOB1Prod1Seg3RunRateM3</t>
  </si>
  <si>
    <t>calcR2LOB1Prod2Seg1RunRateM3</t>
  </si>
  <si>
    <t>calcR2LOB1Prod2Seg2RunRateM3</t>
  </si>
  <si>
    <t>calcR2LOB1Prod2Seg3RunRateM3</t>
  </si>
  <si>
    <t>calcR2LOB1RunRateM3</t>
  </si>
  <si>
    <t>calcR2LOB1Prod1Seg1Patients</t>
  </si>
  <si>
    <t>calcR2LOB1Prod1Seg2Patients</t>
  </si>
  <si>
    <t>calcR2LOB1Prod1Seg3Patients</t>
  </si>
  <si>
    <t>calcR2LOB1Prod2Seg1Patients</t>
  </si>
  <si>
    <t>calcR2LOB1Prod2Seg2Patients</t>
  </si>
  <si>
    <t>calcR2LOB1Prod2Seg3Patients</t>
  </si>
  <si>
    <t>calcR2LOB1Patients</t>
  </si>
  <si>
    <t>calcR2LOB1Prod1Seg1Emp1Visits</t>
  </si>
  <si>
    <t>calcR2LOB1Prod1Seg2Emp1Visits</t>
  </si>
  <si>
    <t>calcR2LOB1Prod1Seg3Emp1Visits</t>
  </si>
  <si>
    <t>calcR2LOB1Prod2Seg1Emp1Visits</t>
  </si>
  <si>
    <t>calcR2LOB1Prod2Seg2Emp1Visits</t>
  </si>
  <si>
    <t>calcR2LOB1Prod2Seg3Emp1Visits</t>
  </si>
  <si>
    <t>calcR2LOB1Emp1Visits</t>
  </si>
  <si>
    <t>calcR2LOB1Prod1Seg1Emp2Visits</t>
  </si>
  <si>
    <t>calcR2LOB1Prod1Seg2Emp2Visits</t>
  </si>
  <si>
    <t>calcR2LOB1Prod1Seg3Emp2Visits</t>
  </si>
  <si>
    <t>calcR2LOB1Prod2Seg1Emp2Visits</t>
  </si>
  <si>
    <t>calcR2LOB1Prod2Seg2Emp2Visits</t>
  </si>
  <si>
    <t>calcR2LOB1Prod2Seg3Emp2Visits</t>
  </si>
  <si>
    <t>calcR2LOB1Emp2Visits</t>
  </si>
  <si>
    <t>calcR2LOB1Prod1Seg1Emp3Visits</t>
  </si>
  <si>
    <t>calcR2LOB1Prod1Seg2Emp3Visits</t>
  </si>
  <si>
    <t>calcR2LOB1Prod1Seg3Emp3Visits</t>
  </si>
  <si>
    <t>calcR2LOB1Prod2Seg1Emp3Visits</t>
  </si>
  <si>
    <t>calcR2LOB1Prod2Seg2Emp3Visits</t>
  </si>
  <si>
    <t>calcR2LOB1Prod2Seg3Emp3Visits</t>
  </si>
  <si>
    <t>calcR2LOB1Emp3Visits</t>
  </si>
  <si>
    <t>calcR2LOB1Emp1Capacity</t>
  </si>
  <si>
    <t>calcR2LOB1Emp2Capacity</t>
  </si>
  <si>
    <t>calcR2LOB1Emp3Capacity</t>
  </si>
  <si>
    <t>calcR2LOB1Clinician1Disc1Emp1BaseProd</t>
  </si>
  <si>
    <t>calcR2LOB1Clinician2Disc1Emp1BaseProd</t>
  </si>
  <si>
    <t>calcR2LOB1Clinician3Disc1Emp1BaseProd</t>
  </si>
  <si>
    <t>calcR2LOB1Clinician4Disc1Emp1BaseProd</t>
  </si>
  <si>
    <t>calcR2LOB1Clinician5Disc1Emp1BaseProd</t>
  </si>
  <si>
    <t>calcR2LOB1Clinician6Disc1Emp1BaseProd</t>
  </si>
  <si>
    <t>calcR2LOB1Clinician7Disc1Emp1BaseProd</t>
  </si>
  <si>
    <t>calcR2LOB1Clinician8Disc1Emp1BaseProd</t>
  </si>
  <si>
    <t>calcR2LOB1Clinician9Disc1Emp1BaseProd</t>
  </si>
  <si>
    <t>calcR2LOB1Clinician10Disc1Emp1BaseProd</t>
  </si>
  <si>
    <t>calcR2LOB1Clinician11Disc1Emp1BaseProd</t>
  </si>
  <si>
    <t>calcR2LOB1Clinician12Disc1Emp1BaseProd</t>
  </si>
  <si>
    <t>calcR2LOB1Clinician13Disc1Emp1BaseProd</t>
  </si>
  <si>
    <t>calcR2LOB1Clinician1Disc2Emp1BaseProd</t>
  </si>
  <si>
    <t>calcR2LOB1Clinician2Disc2Emp1BaseProd</t>
  </si>
  <si>
    <t>calcR2LOB1Clinician3Disc2Emp1BaseProd</t>
  </si>
  <si>
    <t>calcR2LOB1Clinician4Disc2Emp1BaseProd</t>
  </si>
  <si>
    <t>calcR2LOB1Clinician5Disc2Emp1BaseProd</t>
  </si>
  <si>
    <t>calcR2LOB1Clinician6Disc2Emp1BaseProd</t>
  </si>
  <si>
    <t>calcR2LOB1Clinician7Disc2Emp1BaseProd</t>
  </si>
  <si>
    <t>calcR2LOB1Clinician8Disc2Emp1BaseProd</t>
  </si>
  <si>
    <t>calcR2LOB1Clinician9Disc2Emp1BaseProd</t>
  </si>
  <si>
    <t>calcR2LOB1Clinician10Disc2Emp1BaseProd</t>
  </si>
  <si>
    <t>calcR2LOB1Clinician11Disc2Emp1BaseProd</t>
  </si>
  <si>
    <t>calcR2LOB1Clinician12Disc2Emp1BaseProd</t>
  </si>
  <si>
    <t>calcR2LOB1Clinician14Disc2Emp1BaseProd</t>
  </si>
  <si>
    <t>calcR2LOB1Emp1BaseProdCapacity</t>
  </si>
  <si>
    <t>calcR2LOB1Clinician1Disc1Emp1AllowPerc</t>
  </si>
  <si>
    <t>calcR2LOB1Clinician2Disc1Emp1AllowPerc</t>
  </si>
  <si>
    <t>calcR2LOB1Clinician3Disc1Emp1AllowPerc</t>
  </si>
  <si>
    <t>calcR2LOB1Clinician4Disc1Emp1AllowPerc</t>
  </si>
  <si>
    <t>calcR2LOB1Clinician5Disc1Emp1AllowPerc</t>
  </si>
  <si>
    <t>calcR2LOB1Clinician6Disc1Emp1AllowPerc</t>
  </si>
  <si>
    <t>calcR2LOB1Clinician7Disc1Emp1AllowPerc</t>
  </si>
  <si>
    <t>calcR2LOB1Clinician8Disc1Emp1AllowPerc</t>
  </si>
  <si>
    <t>calcR2LOB1Clinician9Disc1Emp1AllowPerc</t>
  </si>
  <si>
    <t>calcR2LOB1Clinician10Disc1Emp1AllowPerc</t>
  </si>
  <si>
    <t>calcR2LOB1Clinician11Disc1Emp1AllowPerc</t>
  </si>
  <si>
    <t>calcR2LOB1Clinician12Disc1Emp1AllowPerc</t>
  </si>
  <si>
    <t>calcR2LOB1Clinician13Disc1Emp1AllowPerc</t>
  </si>
  <si>
    <t>calcR2LOB1Clinician1Disc2Emp1AllowPerc</t>
  </si>
  <si>
    <t>calcR2LOB1Clinician2Disc2Emp1AllowPerc</t>
  </si>
  <si>
    <t>calcR2LOB1Clinician3Disc2Emp1AllowPerc</t>
  </si>
  <si>
    <t>calcR2LOB1Clinician4Disc2Emp1AllowPerc</t>
  </si>
  <si>
    <t>calcR2LOB1Clinician5Disc2Emp1AllowPerc</t>
  </si>
  <si>
    <t>calcR2LOB1Clinician6Disc2Emp1AllowPerc</t>
  </si>
  <si>
    <t>calcR2LOB1Clinician7Disc2Emp1AllowPerc</t>
  </si>
  <si>
    <t>calcR2LOB1Clinician8Disc2Emp1AllowPerc</t>
  </si>
  <si>
    <t>calcR2LOB1Clinician9Disc2Emp1AllowPerc</t>
  </si>
  <si>
    <t>calcR2LOB1Clinician10Disc2Emp1AllowPerc</t>
  </si>
  <si>
    <t>calcR2LOB1Clinician11Disc2Emp1AllowPerc</t>
  </si>
  <si>
    <t>calcR2LOB1Clinician12Disc2Emp1AllowPerc</t>
  </si>
  <si>
    <t>calcR2LOB1Clinician14Disc2Emp1AllowPerc</t>
  </si>
  <si>
    <t>calcR2LOB1Clinician1Disc1Emp1AllocatedProd</t>
  </si>
  <si>
    <t>calcR2LOB1Clinician2Disc1Emp1AllocatedProd</t>
  </si>
  <si>
    <t>calcR2LOB1Clinician3Disc1Emp1AllocatedProd</t>
  </si>
  <si>
    <t>calcR2LOB1Clinician4Disc1Emp1AllocatedProd</t>
  </si>
  <si>
    <t>calcR2LOB1Clinician5Disc1Emp1AllocatedProd</t>
  </si>
  <si>
    <t>calcR2LOB1Clinician6Disc1Emp1AllocatedProd</t>
  </si>
  <si>
    <t>calcR2LOB1Clinician7Disc1Emp1AllocatedProd</t>
  </si>
  <si>
    <t>calcR2LOB1Clinician8Disc1Emp1AllocatedProd</t>
  </si>
  <si>
    <t>calcR2LOB1Clinician9Disc1Emp1AllocatedProd</t>
  </si>
  <si>
    <t>calcR2LOB1Clinician10Disc1Emp1AllocatedProd</t>
  </si>
  <si>
    <t>calcR2LOB1Clinician11Disc1Emp1AllocatedProd</t>
  </si>
  <si>
    <t>calcR2LOB1Clinician12Disc1Emp1AllocatedProd</t>
  </si>
  <si>
    <t>calcR2LOB1Clinician13Disc1Emp1AllocatedProd</t>
  </si>
  <si>
    <t>calcR2LOB1Clinician1Disc2Emp1AllocatedProd</t>
  </si>
  <si>
    <t>calcR2LOB1Clinician2Disc2Emp1AllocatedProd</t>
  </si>
  <si>
    <t>calcR2LOB1Clinician3Disc2Emp1AllocatedProd</t>
  </si>
  <si>
    <t>calcR2LOB1Clinician4Disc2Emp1AllocatedProd</t>
  </si>
  <si>
    <t>calcR2LOB1Clinician5Disc2Emp1AllocatedProd</t>
  </si>
  <si>
    <t>calcR2LOB1Clinician6Disc2Emp1AllocatedProd</t>
  </si>
  <si>
    <t>calcR2LOB1Clinician7Disc2Emp1AllocatedProd</t>
  </si>
  <si>
    <t>calcR2LOB1Clinician8Disc2Emp1AllocatedProd</t>
  </si>
  <si>
    <t>calcR2LOB1Clinician9Disc2Emp1AllocatedProd</t>
  </si>
  <si>
    <t>calcR2LOB1Clinician10Disc2Emp1AllocatedProd</t>
  </si>
  <si>
    <t>calcR2LOB1Clinician11Disc2Emp1AllocatedProd</t>
  </si>
  <si>
    <t>calcR2LOB1Clinician12Disc2Emp1AllocatedProd</t>
  </si>
  <si>
    <t>calcR2LOB1Clinician14Disc2Emp1AllocatedProd</t>
  </si>
  <si>
    <t>calcR2LOB1Clinician1Disc1Emp1ModifiedProd</t>
  </si>
  <si>
    <t>calcR2LOB1Clinician2Disc1Emp1ModifiedProd</t>
  </si>
  <si>
    <t>calcR2LOB1Clinician3Disc1Emp1ModifiedProd</t>
  </si>
  <si>
    <t>calcR2LOB1Clinician4Disc1Emp1ModifiedProd</t>
  </si>
  <si>
    <t>calcR2LOB1Clinician5Disc1Emp1ModifiedProd</t>
  </si>
  <si>
    <t>calcR2LOB1Clinician6Disc1Emp1ModifiedProd</t>
  </si>
  <si>
    <t>calcR2LOB1Clinician7Disc1Emp1ModifiedProd</t>
  </si>
  <si>
    <t>calcR2LOB1Clinician8Disc1Emp1ModifiedProd</t>
  </si>
  <si>
    <t>calcR2LOB1Clinician9Disc1Emp1ModifiedProd</t>
  </si>
  <si>
    <t>calcR2LOB1Clinician10Disc1Emp1ModifiedProd</t>
  </si>
  <si>
    <t>calcR2LOB1Clinician11Disc1Emp1ModifiedProd</t>
  </si>
  <si>
    <t>calcR2LOB1Clinician12Disc1Emp1ModifiedProd</t>
  </si>
  <si>
    <t>calcR2LOB1Clinician1Disc2Emp1ModifiedProd</t>
  </si>
  <si>
    <t>calcR2LOB1Clinician2Disc2Emp1ModifiedProd</t>
  </si>
  <si>
    <t>calcR2LOB1Clinician3Disc2Emp1ModifiedProd</t>
  </si>
  <si>
    <t>calcR2LOB1Clinician4Disc2Emp1ModifiedProd</t>
  </si>
  <si>
    <t>calcR2LOB1Clinician5Disc2Emp1ModifiedProd</t>
  </si>
  <si>
    <t>calcR2LOB1Clinician6Disc2Emp1ModifiedProd</t>
  </si>
  <si>
    <t>calcR2LOB1Clinician7Disc2Emp1ModifiedProd</t>
  </si>
  <si>
    <t>calcR2LOB1Clinician8Disc2Emp1ModifiedProd</t>
  </si>
  <si>
    <t>calcR2LOB1Clinician9Disc2Emp1ModifiedProd</t>
  </si>
  <si>
    <t>calcR2LOB1Clinician10Disc2Emp1ModifiedProd</t>
  </si>
  <si>
    <t>calcR2LOB1Clinician11Disc2Emp1ModifiedProd</t>
  </si>
  <si>
    <t>calcR2LOB1Clinician12Disc2Emp1ModifiedProd</t>
  </si>
  <si>
    <t>calcR2LOB1Clinician1Disc1Emp1GrossProd</t>
  </si>
  <si>
    <t>calcR2LOB1Clinician2Disc1Emp1GrossProd</t>
  </si>
  <si>
    <t>calcR2LOB1Clinician3Disc1Emp1GrossProd</t>
  </si>
  <si>
    <t>calcR2LOB1Clinician4Disc1Emp1GrossProd</t>
  </si>
  <si>
    <t>calcR2LOB1Clinician5Disc1Emp1GrossProd</t>
  </si>
  <si>
    <t>calcR2LOB1Clinician6Disc1Emp1GrossProd</t>
  </si>
  <si>
    <t>calcR2LOB1Clinician7Disc1Emp1GrossProd</t>
  </si>
  <si>
    <t>calcR2LOB1Clinician8Disc1Emp1GrossProd</t>
  </si>
  <si>
    <t>calcR2LOB1Clinician9Disc1Emp1GrossProd</t>
  </si>
  <si>
    <t>calcR2LOB1Clinician10Disc1Emp1GrossProd</t>
  </si>
  <si>
    <t>calcR2LOB1Clinician11Disc1Emp1GrossProd</t>
  </si>
  <si>
    <t>calcR2LOB1Clinician12Disc1Emp1GrossProd</t>
  </si>
  <si>
    <t>calcR2LOB1Clinician13Disc1Emp1GrossProd</t>
  </si>
  <si>
    <t>calcR2LOB1Clinician1Disc2Emp1GrossProd</t>
  </si>
  <si>
    <t>calcR2LOB1Clinician2Disc2Emp1GrossProd</t>
  </si>
  <si>
    <t>calcR2LOB1Clinician3Disc2Emp1GrossProd</t>
  </si>
  <si>
    <t>calcR2LOB1Clinician4Disc2Emp1GrossProd</t>
  </si>
  <si>
    <t>calcR2LOB1Clinician5Disc2Emp1GrossProd</t>
  </si>
  <si>
    <t>calcR2LOB1Clinician6Disc2Emp1GrossProd</t>
  </si>
  <si>
    <t>calcR2LOB1Clinician7Disc2Emp1GrossProd</t>
  </si>
  <si>
    <t>calcR2LOB1Clinician8Disc2Emp1GrossProd</t>
  </si>
  <si>
    <t>calcR2LOB1Clinician9Disc2Emp1GrossProd</t>
  </si>
  <si>
    <t>calcR2LOB1Clinician10Disc2Emp1GrossProd</t>
  </si>
  <si>
    <t>calcR2LOB1Clinician11Disc2Emp1GrossProd</t>
  </si>
  <si>
    <t>calcR2LOB1Clinician12Disc2Emp1GrossProd</t>
  </si>
  <si>
    <t>calcR2LOB1Clinician14Disc2Emp1GrossProd</t>
  </si>
  <si>
    <t>calcR2LOB1Clinician1Disc1BaseMissPerc</t>
  </si>
  <si>
    <t>calcR2LOB1Clinician2Disc1BaseMissPerc</t>
  </si>
  <si>
    <t>calcR2LOB1Clinician3Disc1BaseMissPerc</t>
  </si>
  <si>
    <t>calcR2LOB1Clinician4Disc1BaseMissPerc</t>
  </si>
  <si>
    <t>calcR2LOB1Clinician5Disc1BaseMissPerc</t>
  </si>
  <si>
    <t>calcR2LOB1Clinician6Disc1BaseMissPerc</t>
  </si>
  <si>
    <t>calcR2LOB1Clinician7Disc1BaseMissPerc</t>
  </si>
  <si>
    <t>calcR2LOB1Clinician8Disc1BaseMissPerc</t>
  </si>
  <si>
    <t>calcR2LOB1Clinician9Disc1BaseMissPerc</t>
  </si>
  <si>
    <t>calcR2LOB1Clinician10Disc1BaseMissPerc</t>
  </si>
  <si>
    <t>calcR2LOB1Clinician11Disc1BaseMissPerc</t>
  </si>
  <si>
    <t>calcR2LOB1Clinician12Disc1BaseMissPerc</t>
  </si>
  <si>
    <t>calcR2LOB1Clinician13Disc1BaseMissPerc</t>
  </si>
  <si>
    <t>calcR2LOB1Clinician1Disc2BaseMissPerc</t>
  </si>
  <si>
    <t>calcR2LOB1Clinician2Disc2BaseMissPerc</t>
  </si>
  <si>
    <t>calcR2LOB1Clinician3Disc2BaseMissPerc</t>
  </si>
  <si>
    <t>calcR2LOB1Clinician4Disc2BaseMissPerc</t>
  </si>
  <si>
    <t>calcR2LOB1Clinician5Disc2BaseMissPerc</t>
  </si>
  <si>
    <t>calcR2LOB1Clinician6Disc2BaseMissPerc</t>
  </si>
  <si>
    <t>calcR2LOB1Clinician7Disc2BaseMissPerc</t>
  </si>
  <si>
    <t>calcR2LOB1Clinician8Disc2BaseMissPerc</t>
  </si>
  <si>
    <t>calcR2LOB1Clinician9Disc2BaseMissPerc</t>
  </si>
  <si>
    <t>calcR2LOB1Clinician10Disc2BaseMissPerc</t>
  </si>
  <si>
    <t>calcR2LOB1Clinician11Disc2BaseMissPerc</t>
  </si>
  <si>
    <t>calcR2LOB1Clinician12Disc2BaseMissPerc</t>
  </si>
  <si>
    <t>calcR2LOB1Clinician14Disc2BaseMissPerc</t>
  </si>
  <si>
    <t>calcR2LOB1Clinician1Disc1AvgMissPerc</t>
  </si>
  <si>
    <t>calcR2LOB1Clinician2Disc1AvgMissPerc</t>
  </si>
  <si>
    <t>calcR2LOB1Clinician3Disc1AvgMissPerc</t>
  </si>
  <si>
    <t>calcR2LOB1Clinician4Disc1AvgMissPerc</t>
  </si>
  <si>
    <t>calcR2LOB1Clinician5Disc1AvgMissPerc</t>
  </si>
  <si>
    <t>calcR2LOB1Clinician6Disc1AvgMissPerc</t>
  </si>
  <si>
    <t>calcR2LOB1Clinician7Disc1AvgMissPerc</t>
  </si>
  <si>
    <t>calcR2LOB1Clinician8Disc1AvgMissPerc</t>
  </si>
  <si>
    <t>calcR2LOB1Clinician9Disc1AvgMissPerc</t>
  </si>
  <si>
    <t>calcR2LOB1Clinician10Disc1AvgMissPerc</t>
  </si>
  <si>
    <t>calcR2LOB1Clinician11Disc1AvgMissPerc</t>
  </si>
  <si>
    <t>calcR2LOB1Clinician12Disc1AvgMissPerc</t>
  </si>
  <si>
    <t>calcR2LOB1Clinician13Disc1AvgMissPerc</t>
  </si>
  <si>
    <t>calcR2LOB1Clinician1Disc2AvgMissPerc</t>
  </si>
  <si>
    <t>calcR2LOB1Clinician2Disc2AvgMissPerc</t>
  </si>
  <si>
    <t>calcR2LOB1Clinician3Disc2AvgMissPerc</t>
  </si>
  <si>
    <t>calcR2LOB1Clinician4Disc2AvgMissPerc</t>
  </si>
  <si>
    <t>calcR2LOB1Clinician5Disc2AvgMissPerc</t>
  </si>
  <si>
    <t>calcR2LOB1Clinician6Disc2AvgMissPerc</t>
  </si>
  <si>
    <t>calcR2LOB1Clinician7Disc2AvgMissPerc</t>
  </si>
  <si>
    <t>calcR2LOB1Clinician8Disc2AvgMissPerc</t>
  </si>
  <si>
    <t>calcR2LOB1Clinician9Disc2AvgMissPerc</t>
  </si>
  <si>
    <t>calcR2LOB1Clinician10Disc2AvgMissPerc</t>
  </si>
  <si>
    <t>calcR2LOB1Clinician11Disc2AvgMissPerc</t>
  </si>
  <si>
    <t>calcR2LOB1Clinician12Disc2AvgMissPerc</t>
  </si>
  <si>
    <t>calcR2LOB1Clinician14Disc2AvgMissPerc</t>
  </si>
  <si>
    <t>calcR2LOB1Clinician1Disc1Emp1MissVisits</t>
  </si>
  <si>
    <t>calcR2LOB1Clinician2Disc1Emp1MissVisits</t>
  </si>
  <si>
    <t>calcR2LOB1Clinician3Disc1Emp1MissVisits</t>
  </si>
  <si>
    <t>calcR2LOB1Clinician4Disc1Emp1MissVisits</t>
  </si>
  <si>
    <t>calcR2LOB1Clinician5Disc1Emp1MissVisits</t>
  </si>
  <si>
    <t>calcR2LOB1Clinician6Disc1Emp1MissVisits</t>
  </si>
  <si>
    <t>calcR2LOB1Clinician7Disc1Emp1MissVisits</t>
  </si>
  <si>
    <t>calcR2LOB1Clinician8Disc1Emp1MissVisits</t>
  </si>
  <si>
    <t>calcR2LOB1Clinician9Disc1Emp1MissVisits</t>
  </si>
  <si>
    <t>calcR2LOB1Clinician10Disc1Emp1MissVisits</t>
  </si>
  <si>
    <t>calcR2LOB1Clinician11Disc1Emp1MissVisits</t>
  </si>
  <si>
    <t>calcR2LOB1Clinician12Disc1Emp1MissVisits</t>
  </si>
  <si>
    <t>calcR2LOB1Clinician13Disc1Emp1MissVisits</t>
  </si>
  <si>
    <t>calcR2LOB1Clinician1Disc2Emp1MissVisits</t>
  </si>
  <si>
    <t>calcR2LOB1Clinician2Disc2Emp1MissVisits</t>
  </si>
  <si>
    <t>calcR2LOB1Clinician3Disc2Emp1MissVisits</t>
  </si>
  <si>
    <t>calcR2LOB1Clinician4Disc2Emp1MissVisits</t>
  </si>
  <si>
    <t>calcR2LOB1Clinician5Disc2Emp1MissVisits</t>
  </si>
  <si>
    <t>calcR2LOB1Clinician6Disc2Emp1MissVisits</t>
  </si>
  <si>
    <t>calcR2LOB1Clinician7Disc2Emp1MissVisits</t>
  </si>
  <si>
    <t>calcR2LOB1Clinician8Disc2Emp1MissVisits</t>
  </si>
  <si>
    <t>calcR2LOB1Clinician9Disc2Emp1MissVisits</t>
  </si>
  <si>
    <t>calcR2LOB1Clinician10Disc2Emp1MissVisits</t>
  </si>
  <si>
    <t>calcR2LOB1Clinician11Disc2Emp1MissVisits</t>
  </si>
  <si>
    <t>calcR2LOB1Clinician12Disc2Emp1MissVisits</t>
  </si>
  <si>
    <t>calcR2LOB1Clinician14Disc2Emp1MissVisits</t>
  </si>
  <si>
    <t>calcR2LOB1Clinician1Disc1Emp1NetProd</t>
  </si>
  <si>
    <t>calcR2LOB1Clinician2Disc1Emp1NetProd</t>
  </si>
  <si>
    <t>calcR2LOB1Clinician3Disc1Emp1NetProd</t>
  </si>
  <si>
    <t>calcR2LOB1Clinician4Disc1Emp1NetProd</t>
  </si>
  <si>
    <t>calcR2LOB1Clinician5Disc1Emp1NetProd</t>
  </si>
  <si>
    <t>calcR2LOB1Clinician6Disc1Emp1NetProd</t>
  </si>
  <si>
    <t>calcR2LOB1Clinician7Disc1Emp1NetProd</t>
  </si>
  <si>
    <t>calcR2LOB1Clinician8Disc1Emp1NetProd</t>
  </si>
  <si>
    <t>calcR2LOB1Clinician9Disc1Emp1NetProd</t>
  </si>
  <si>
    <t>calcR2LOB1Clinician10Disc1Emp1NetProd</t>
  </si>
  <si>
    <t>calcR2LOB1Clinician11Disc1Emp1NetProd</t>
  </si>
  <si>
    <t>calcR2LOB1Clinician12Disc1Emp1NetProd</t>
  </si>
  <si>
    <t>calcR2LOB1Clinician13Disc1Emp1NetProd</t>
  </si>
  <si>
    <t>calcR2LOB1Clinician1Disc2Emp1NetProd</t>
  </si>
  <si>
    <t>calcR2LOB1Clinician2Disc2Emp1NetProd</t>
  </si>
  <si>
    <t>calcR2LOB1Clinician3Disc2Emp1NetProd</t>
  </si>
  <si>
    <t>calcR2LOB1Clinician4Disc2Emp1NetProd</t>
  </si>
  <si>
    <t>calcR2LOB1Clinician5Disc2Emp1NetProd</t>
  </si>
  <si>
    <t>calcR2LOB1Clinician6Disc2Emp1NetProd</t>
  </si>
  <si>
    <t>calcR2LOB1Clinician7Disc2Emp1NetProd</t>
  </si>
  <si>
    <t>calcR2LOB1Clinician8Disc2Emp1NetProd</t>
  </si>
  <si>
    <t>calcR2LOB1Clinician9Disc2Emp1NetProd</t>
  </si>
  <si>
    <t>calcR2LOB1Clinician10Disc2Emp1NetProd</t>
  </si>
  <si>
    <t>calcR2LOB1Clinician11Disc2Emp1NetProd</t>
  </si>
  <si>
    <t>calcR2LOB1Clinician12Disc2Emp1NetProd</t>
  </si>
  <si>
    <t>calcR2LOB1Clinician14Disc2Emp1NetProd</t>
  </si>
  <si>
    <t>calcR2LOB1Emp1NetProduction</t>
  </si>
  <si>
    <t>calcR2LOB1Emp1PercNonSalaried</t>
  </si>
  <si>
    <t>calcR2LOB1Disc1TotalVisits</t>
  </si>
  <si>
    <t>calcR2LOB1Disc2TotalVisits</t>
  </si>
  <si>
    <t>calcR2LOB1Disc1TotalVisitsPerc</t>
  </si>
  <si>
    <t>calcR2LOB1Disc2TotalVisitsPerc</t>
  </si>
  <si>
    <t>calcR2LOB1Disc2BelowLicsenceVisits</t>
  </si>
  <si>
    <t>calcR2LOB1Clinician1Disc1Emp1OverTIme</t>
  </si>
  <si>
    <t>calcR2LOB1Clinician2Disc1Emp1OverTIme</t>
  </si>
  <si>
    <t>calcR2LOB1Clinician3Disc1Emp1OverTIme</t>
  </si>
  <si>
    <t>calcR2LOB1Clinician4Disc1Emp1OverTIme</t>
  </si>
  <si>
    <t>calcR2LOB1Clinician5Disc1Emp1OverTIme</t>
  </si>
  <si>
    <t>calcR2LOB1Clinician6Disc1Emp1OverTIme</t>
  </si>
  <si>
    <t>calcR2LOB1Clinician7Disc1Emp1OverTIme</t>
  </si>
  <si>
    <t>calcR2LOB1Clinician8Disc1Emp1OverTIme</t>
  </si>
  <si>
    <t>calcR2LOB1Clinician9Disc1Emp1OverTIme</t>
  </si>
  <si>
    <t>calcR2LOB1Clinician10Disc1Emp1OverTIme</t>
  </si>
  <si>
    <t>calcR2LOB1Clinician11Disc1Emp1OverTIme</t>
  </si>
  <si>
    <t>calcR2LOB1Clinician12Disc1Emp1OverTIme</t>
  </si>
  <si>
    <t>calcR2LOB1Clinician1Disc2Emp1OverTIme</t>
  </si>
  <si>
    <t>calcR2LOB1Clinician2Disc2Emp1OverTIme</t>
  </si>
  <si>
    <t>calcR2LOB1Clinician3Disc2Emp1OverTIme</t>
  </si>
  <si>
    <t>calcR2LOB1Clinician4Disc2Emp1OverTIme</t>
  </si>
  <si>
    <t>calcR2LOB1Clinician5Disc2Emp1OverTIme</t>
  </si>
  <si>
    <t>calcR2LOB1Clinician6Disc2Emp1OverTIme</t>
  </si>
  <si>
    <t>calcR2LOB1Clinician7Disc2Emp1OverTIme</t>
  </si>
  <si>
    <t>calcR2LOB1Clinician8Disc2Emp1OverTIme</t>
  </si>
  <si>
    <t>calcR2LOB1Clinician9Disc2Emp1OverTIme</t>
  </si>
  <si>
    <t>calcR2LOB1Clinician10Disc2Emp1OverTIme</t>
  </si>
  <si>
    <t>calcR2LOB1Clinician11Disc2Emp1OverTIme</t>
  </si>
  <si>
    <t>calcR2LOB1Clinician12Disc2Emp1OverTIme</t>
  </si>
  <si>
    <t>calcR2LOB1Clinician1Emp2BaseProd</t>
  </si>
  <si>
    <t>calcR2LOB1Clinician2Emp2BaseProd</t>
  </si>
  <si>
    <t>calcR2LOB1Clinician3Emp2BaseProd</t>
  </si>
  <si>
    <t>calcR2LOB1Clinician4Emp2BaseProd</t>
  </si>
  <si>
    <t>calcR2LOB1Clinician5Emp2BaseProd</t>
  </si>
  <si>
    <t>calcR2LOB1Clinician6Emp2BaseProd</t>
  </si>
  <si>
    <t>calcR2LOB1Clinician7Emp2BaseProd</t>
  </si>
  <si>
    <t>calcR2LOB1Clinician8Emp2BaseProd</t>
  </si>
  <si>
    <t>calcR2LOB1Clinician9Emp2BaseProd</t>
  </si>
  <si>
    <t>calcR2LOB1Clinician10Emp2BaseProd</t>
  </si>
  <si>
    <t>calcR2LOB1Clinician11Emp2BaseProd</t>
  </si>
  <si>
    <t>calcR2LOB1Clinician12Emp2BaseProd</t>
  </si>
  <si>
    <t>calcR2LOB1Clinician16Emp2BaseProd</t>
  </si>
  <si>
    <t>calcR2LOB1Emp2BaseProdCapacity</t>
  </si>
  <si>
    <t>calcR2LOB1Clinician1Emp2AllowPerc</t>
  </si>
  <si>
    <t>calcR2LOB1Clinician2Emp2AllowPerc</t>
  </si>
  <si>
    <t>calcR2LOB1Clinician3Emp2AllowPerc</t>
  </si>
  <si>
    <t>calcR2LOB1Clinician4Emp2AllowPerc</t>
  </si>
  <si>
    <t>calcR2LOB1Clinician5Emp2AllowPerc</t>
  </si>
  <si>
    <t>calcR2LOB1Clinician6Emp2AllowPerc</t>
  </si>
  <si>
    <t>calcR2LOB1Clinician7Emp2AllowPerc</t>
  </si>
  <si>
    <t>calcR2LOB1Clinician8Emp2AllowPerc</t>
  </si>
  <si>
    <t>calcR2LOB1Clinician9Emp2AllowPerc</t>
  </si>
  <si>
    <t>calcR2LOB1Clinician10Emp2AllowPerc</t>
  </si>
  <si>
    <t>calcR2LOB1Clinician11Emp2AllowPerc</t>
  </si>
  <si>
    <t>calcR2LOB1Clinician12Emp2AllowPerc</t>
  </si>
  <si>
    <t>calcR2LOB1Clinician16Emp2AllowPerc</t>
  </si>
  <si>
    <t>calcR2LOB1Clinician1Emp2AllocatedProd</t>
  </si>
  <si>
    <t>calcR2LOB1Clinician2Emp2AllocatedProd</t>
  </si>
  <si>
    <t>calcR2LOB1Clinician3Emp2AllocatedProd</t>
  </si>
  <si>
    <t>calcR2LOB1Clinician4Emp2AllocatedProd</t>
  </si>
  <si>
    <t>calcR2LOB1Clinician5Emp2AllocatedProd</t>
  </si>
  <si>
    <t>calcR2LOB1Clinician6Emp2AllocatedProd</t>
  </si>
  <si>
    <t>calcR2LOB1Clinician7Emp2AllocatedProd</t>
  </si>
  <si>
    <t>calcR2LOB1Clinician8Emp2AllocatedProd</t>
  </si>
  <si>
    <t>calcR2LOB1Clinician9Emp2AllocatedProd</t>
  </si>
  <si>
    <t>calcR2LOB1Clinician10Emp2AllocatedProd</t>
  </si>
  <si>
    <t>calcR2LOB1Clinician11Emp2AllocatedProd</t>
  </si>
  <si>
    <t>calcR2LOB1Clinician12Emp2AllocatedProd</t>
  </si>
  <si>
    <t>calcR2LOB1Clinician16Emp2AllocatedProd</t>
  </si>
  <si>
    <t>calcR2LOB1Clinician1Emp2ModifiedProd</t>
  </si>
  <si>
    <t>calcR2LOB1Clinician2Emp2ModifiedProd</t>
  </si>
  <si>
    <t>calcR2LOB1Clinician3Emp2ModifiedProd</t>
  </si>
  <si>
    <t>calcR2LOB1Clinician4Emp2ModifiedProd</t>
  </si>
  <si>
    <t>calcR2LOB1Clinician5Emp2ModifiedProd</t>
  </si>
  <si>
    <t>calcR2LOB1Clinician6Emp2ModifiedProd</t>
  </si>
  <si>
    <t>calcR2LOB1Clinician7Emp2ModifiedProd</t>
  </si>
  <si>
    <t>calcR2LOB1Clinician8Emp2ModifiedProd</t>
  </si>
  <si>
    <t>calcR2LOB1Clinician9Emp2ModifiedProd</t>
  </si>
  <si>
    <t>calcR2LOB1Clinician10Emp2ModifiedProd</t>
  </si>
  <si>
    <t>calcR2LOB1Clinician11Emp2ModifiedProd</t>
  </si>
  <si>
    <t>calcR2LOB1Clinician12Emp2ModifiedProd</t>
  </si>
  <si>
    <t>calcR2LOB1Clinician1Emp2GrossProd</t>
  </si>
  <si>
    <t>calcR2LOB1Clinician2Emp2GrossProd</t>
  </si>
  <si>
    <t>calcR2LOB1Clinician3Emp2GrossProd</t>
  </si>
  <si>
    <t>calcR2LOB1Clinician4Emp2GrossProd</t>
  </si>
  <si>
    <t>calcR2LOB1Clinician5Emp2GrossProd</t>
  </si>
  <si>
    <t>calcR2LOB1Clinician6Emp2GrossProd</t>
  </si>
  <si>
    <t>calcR2LOB1Clinician7Emp2GrossProd</t>
  </si>
  <si>
    <t>calcR2LOB1Clinician8Emp2GrossProd</t>
  </si>
  <si>
    <t>calcR2LOB1Clinician9Emp2GrossProd</t>
  </si>
  <si>
    <t>calcR2LOB1Clinician10Emp2GrossProd</t>
  </si>
  <si>
    <t>calcR2LOB1Clinician11Emp2GrossProd</t>
  </si>
  <si>
    <t>calcR2LOB1Clinician12Emp2GrossProd</t>
  </si>
  <si>
    <t>calcR2LOB1Clinician16Emp2GrossProd</t>
  </si>
  <si>
    <t>calcR2LOB1Clinician1Emp2BaseMissPerc</t>
  </si>
  <si>
    <t>calcR2LOB1Clinician2Emp2BaseMissPerc</t>
  </si>
  <si>
    <t>calcR2LOB1Clinician3Emp2BaseMissPerc</t>
  </si>
  <si>
    <t>calcR2LOB1Clinician4Emp2BaseMissPerc</t>
  </si>
  <si>
    <t>calcR2LOB1Clinician5Emp2BaseMissPerc</t>
  </si>
  <si>
    <t>calcR2LOB1Clinician6Emp2BaseMissPerc</t>
  </si>
  <si>
    <t>calcR2LOB1Clinician7Emp2BaseMissPerc</t>
  </si>
  <si>
    <t>calcR2LOB1Clinician8Emp2BaseMissPerc</t>
  </si>
  <si>
    <t>calcR2LOB1Clinician9Emp2BaseMissPerc</t>
  </si>
  <si>
    <t>calcR2LOB1Clinician10Emp2BaseMissPerc</t>
  </si>
  <si>
    <t>calcR2LOB1Clinician11Emp2BaseMissPerc</t>
  </si>
  <si>
    <t>calcR2LOB1Clinician12Emp2BaseMissPerc</t>
  </si>
  <si>
    <t>calcR2LOB1Clinician16Emp2BaseMissPerc</t>
  </si>
  <si>
    <t>calcR2LOB1Clinician1Emp2AvgMissPerc</t>
  </si>
  <si>
    <t>calcR2LOB1Clinician2Emp2AvgMissPerc</t>
  </si>
  <si>
    <t>calcR2LOB1Clinician3Emp2AvgMissPerc</t>
  </si>
  <si>
    <t>calcR2LOB1Clinician4Emp2AvgMissPerc</t>
  </si>
  <si>
    <t>calcR2LOB1Clinician5Emp2AvgMissPerc</t>
  </si>
  <si>
    <t>calcR2LOB1Clinician6Emp2AvgMissPerc</t>
  </si>
  <si>
    <t>calcR2LOB1Clinician7Emp2AvgMissPerc</t>
  </si>
  <si>
    <t>calcR2LOB1Clinician8Emp2AvgMissPerc</t>
  </si>
  <si>
    <t>calcR2LOB1Clinician9Emp2AvgMissPerc</t>
  </si>
  <si>
    <t>calcR2LOB1Clinician10Emp2AvgMissPerc</t>
  </si>
  <si>
    <t>calcR2LOB1Clinician11Emp2AvgMissPerc</t>
  </si>
  <si>
    <t>calcR2LOB1Clinician12Emp2AvgMissPerc</t>
  </si>
  <si>
    <t>calcR2LOB1Clinician16Emp2AvgMissPerc</t>
  </si>
  <si>
    <t>calcR2LOB1Clinician1Emp2MissVisits</t>
  </si>
  <si>
    <t>calcR2LOB1Clinician2Emp2MissVisits</t>
  </si>
  <si>
    <t>calcR2LOB1Clinician3Emp2MissVisits</t>
  </si>
  <si>
    <t>calcR2LOB1Clinician4Emp2MissVisits</t>
  </si>
  <si>
    <t>calcR2LOB1Clinician5Emp2MissVisits</t>
  </si>
  <si>
    <t>calcR2LOB1Clinician6Emp2MissVisits</t>
  </si>
  <si>
    <t>calcR2LOB1Clinician7Emp2MissVisits</t>
  </si>
  <si>
    <t>calcR2LOB1Clinician8Emp2MissVisits</t>
  </si>
  <si>
    <t>calcR2LOB1Clinician9Emp2MissVisits</t>
  </si>
  <si>
    <t>calcR2LOB1Clinician10Emp2MissVisits</t>
  </si>
  <si>
    <t>calcR2LOB1Clinician11Emp2MissVisits</t>
  </si>
  <si>
    <t>calcR2LOB1Clinician12Emp2MissVisits</t>
  </si>
  <si>
    <t>calcR2LOB1Clinician16Emp2MissVisits</t>
  </si>
  <si>
    <t>calcR2LOB1Clinician1Emp2NetProd</t>
  </si>
  <si>
    <t>calcR2LOB1Clinician2Emp2NetProd</t>
  </si>
  <si>
    <t>calcR2LOB1Clinician3Emp2NetProd</t>
  </si>
  <si>
    <t>calcR2LOB1Clinician4Emp2NetProd</t>
  </si>
  <si>
    <t>calcR2LOB1Clinician5Emp2NetProd</t>
  </si>
  <si>
    <t>calcR2LOB1Clinician6Emp2NetProd</t>
  </si>
  <si>
    <t>calcR2LOB1Clinician7Emp2NetProd</t>
  </si>
  <si>
    <t>calcR2LOB1Clinician8Emp2NetProd</t>
  </si>
  <si>
    <t>calcR2LOB1Clinician9Emp2NetProd</t>
  </si>
  <si>
    <t>calcR2LOB1Clinician10Emp2NetProd</t>
  </si>
  <si>
    <t>calcR2LOB1Clinician11Emp2NetProd</t>
  </si>
  <si>
    <t>calcR2LOB1Clinician12Emp2NetProd</t>
  </si>
  <si>
    <t>calcR2LOB1Emp2NetProduction</t>
  </si>
  <si>
    <t>calcR2LOB1Clinician1Emp2OverTIme</t>
  </si>
  <si>
    <t>calcR2LOB1Clinician2Emp2OverTIme</t>
  </si>
  <si>
    <t>calcR2LOB1Clinician3Emp2OverTIme</t>
  </si>
  <si>
    <t>calcR2LOB1Clinician4Emp2OverTIme</t>
  </si>
  <si>
    <t>calcR2LOB1Clinician5Emp2OverTIme</t>
  </si>
  <si>
    <t>calcR2LOB1Clinician6Emp2OverTIme</t>
  </si>
  <si>
    <t>calcR2LOB1Clinician7Emp2OverTIme</t>
  </si>
  <si>
    <t>calcR2LOB1Clinician8Emp2OverTIme</t>
  </si>
  <si>
    <t>calcR2LOB1Clinician9Emp2OverTIme</t>
  </si>
  <si>
    <t>calcR2LOB1Clinician10Emp2OverTIme</t>
  </si>
  <si>
    <t>calcR2LOB1Clinician11Emp2OverTIme</t>
  </si>
  <si>
    <t>calcR2LOB1Clinician12Emp2OverTIme</t>
  </si>
  <si>
    <t>calcR2LOB1Clinician1Emp3BaseProd</t>
  </si>
  <si>
    <t>calcR2LOB1Clinician2Emp3BaseProd</t>
  </si>
  <si>
    <t>calcR2LOB1Clinician3Emp3BaseProd</t>
  </si>
  <si>
    <t>calcR2LOB1Clinician4Emp3BaseProd</t>
  </si>
  <si>
    <t>calcR2LOB1Clinician5Emp3BaseProd</t>
  </si>
  <si>
    <t>calcR2LOB1Clinician6Emp3BaseProd</t>
  </si>
  <si>
    <t>calcR2LOB1Clinician7Emp3BaseProd</t>
  </si>
  <si>
    <t>calcR2LOB1Clinician8Emp3BaseProd</t>
  </si>
  <si>
    <t>calcR2LOB1Clinician9Emp3BaseProd</t>
  </si>
  <si>
    <t>calcR2LOB1Clinician10Emp3BaseProd</t>
  </si>
  <si>
    <t>calcR2LOB1Clinician11Emp3BaseProd</t>
  </si>
  <si>
    <t>calcR2LOB1Clinician12Emp3BaseProd</t>
  </si>
  <si>
    <t>calcR2LOB1Clinician15Emp3BaseProd</t>
  </si>
  <si>
    <t>calcR2LOB1Emp3BaseProdCapacity</t>
  </si>
  <si>
    <t>calcR2LOB1Clinician1Emp3AllowPerc</t>
  </si>
  <si>
    <t>calcR2LOB1Clinician2Emp3AllowPerc</t>
  </si>
  <si>
    <t>calcR2LOB1Clinician3Emp3AllowPerc</t>
  </si>
  <si>
    <t>calcR2LOB1Clinician4Emp3AllowPerc</t>
  </si>
  <si>
    <t>calcR2LOB1Clinician5Emp3AllowPerc</t>
  </si>
  <si>
    <t>calcR2LOB1Clinician6Emp3AllowPerc</t>
  </si>
  <si>
    <t>calcR2LOB1Clinician7Emp3AllowPerc</t>
  </si>
  <si>
    <t>calcR2LOB1Clinician8Emp3AllowPerc</t>
  </si>
  <si>
    <t>calcR2LOB1Clinician9Emp3AllowPerc</t>
  </si>
  <si>
    <t>calcR2LOB1Clinician10Emp3AllowPerc</t>
  </si>
  <si>
    <t>calcR2LOB1Clinician11Emp3AllowPerc</t>
  </si>
  <si>
    <t>calcR2LOB1Clinician12Emp3AllowPerc</t>
  </si>
  <si>
    <t>calcR2LOB1Clinician15Emp3AllowPerc</t>
  </si>
  <si>
    <t>calcR2LOB1Clinician1Emp3AllocatedProd</t>
  </si>
  <si>
    <t>calcR2LOB1Clinician2Emp3AllocatedProd</t>
  </si>
  <si>
    <t>calcR2LOB1Clinician3Emp3AllocatedProd</t>
  </si>
  <si>
    <t>calcR2LOB1Clinician4Emp3AllocatedProd</t>
  </si>
  <si>
    <t>calcR2LOB1Clinician5Emp3AllocatedProd</t>
  </si>
  <si>
    <t>calcR2LOB1Clinician6Emp3AllocatedProd</t>
  </si>
  <si>
    <t>calcR2LOB1Clinician7Emp3AllocatedProd</t>
  </si>
  <si>
    <t>calcR2LOB1Clinician8Emp3AllocatedProd</t>
  </si>
  <si>
    <t>calcR2LOB1Clinician9Emp3AllocatedProd</t>
  </si>
  <si>
    <t>calcR2LOB1Clinician10Emp3AllocatedProd</t>
  </si>
  <si>
    <t>calcR2LOB1Clinician11Emp3AllocatedProd</t>
  </si>
  <si>
    <t>calcR2LOB1Clinician12Emp3AllocatedProd</t>
  </si>
  <si>
    <t>calcR2LOB1Clinician15Emp3AllocatedProd</t>
  </si>
  <si>
    <t>calcR2LOB1Clinician1Emp3ModifiedProd</t>
  </si>
  <si>
    <t>calcR2LOB1Clinician2Emp3ModifiedProd</t>
  </si>
  <si>
    <t>calcR2LOB1Clinician3Emp3ModifiedProd</t>
  </si>
  <si>
    <t>calcR2LOB1Clinician4Emp3ModifiedProd</t>
  </si>
  <si>
    <t>calcR2LOB1Clinician5Emp3ModifiedProd</t>
  </si>
  <si>
    <t>calcR2LOB1Clinician6Emp3ModifiedProd</t>
  </si>
  <si>
    <t>calcR2LOB1Clinician7Emp3ModifiedProd</t>
  </si>
  <si>
    <t>calcR2LOB1Clinician8Emp3ModifiedProd</t>
  </si>
  <si>
    <t>calcR2LOB1Clinician9Emp3ModifiedProd</t>
  </si>
  <si>
    <t>calcR2LOB1Clinician10Emp3ModifiedProd</t>
  </si>
  <si>
    <t>calcR2LOB1Clinician11Emp3ModifiedProd</t>
  </si>
  <si>
    <t>calcR2LOB1Clinician12Emp3ModifiedProd</t>
  </si>
  <si>
    <t>calcR2LOB1Clinician1Emp3GrossProd</t>
  </si>
  <si>
    <t>calcR2LOB1Clinician2Emp3GrossProd</t>
  </si>
  <si>
    <t>calcR2LOB1Clinician3Emp3GrossProd</t>
  </si>
  <si>
    <t>calcR2LOB1Clinician4Emp3GrossProd</t>
  </si>
  <si>
    <t>calcR2LOB1Clinician5Emp3GrossProd</t>
  </si>
  <si>
    <t>calcR2LOB1Clinician6Emp3GrossProd</t>
  </si>
  <si>
    <t>calcR2LOB1Clinician7Emp3GrossProd</t>
  </si>
  <si>
    <t>calcR2LOB1Clinician8Emp3GrossProd</t>
  </si>
  <si>
    <t>calcR2LOB1Clinician9Emp3GrossProd</t>
  </si>
  <si>
    <t>calcR2LOB1Clinician10Emp3GrossProd</t>
  </si>
  <si>
    <t>calcR2LOB1Clinician11Emp3GrossProd</t>
  </si>
  <si>
    <t>calcR2LOB1Clinician12Emp3GrossProd</t>
  </si>
  <si>
    <t>calcR2LOB1Clinician15Emp3GrossProd</t>
  </si>
  <si>
    <t>calcR2LOB1Clinician1Emp3BaseMissPerc</t>
  </si>
  <si>
    <t>calcR2LOB1Clinician2Emp3BaseMissPerc</t>
  </si>
  <si>
    <t>calcR2LOB1Clinician3Emp3BaseMissPerc</t>
  </si>
  <si>
    <t>calcR2LOB1Clinician4Emp3BaseMissPerc</t>
  </si>
  <si>
    <t>calcR2LOB1Clinician5Emp3BaseMissPerc</t>
  </si>
  <si>
    <t>calcR2LOB1Clinician6Emp3BaseMissPerc</t>
  </si>
  <si>
    <t>calcR2LOB1Clinician7Emp3BaseMissPerc</t>
  </si>
  <si>
    <t>calcR2LOB1Clinician8Emp3BaseMissPerc</t>
  </si>
  <si>
    <t>calcR2LOB1Clinician9Emp3BaseMissPerc</t>
  </si>
  <si>
    <t>calcR2LOB1Clinician10Emp3BaseMissPerc</t>
  </si>
  <si>
    <t>calcR2LOB1Clinician11Emp3BaseMissPerc</t>
  </si>
  <si>
    <t>calcR2LOB1Clinician12Emp3BaseMissPerc</t>
  </si>
  <si>
    <t>calcR2LOB1Clinician16Emp3BaseMissPerc</t>
  </si>
  <si>
    <t>calcR2LOB1Clinician1Emp3AvgMissPerc</t>
  </si>
  <si>
    <t>calcR2LOB1Clinician2Emp3AvgMissPerc</t>
  </si>
  <si>
    <t>calcR2LOB1Clinician3Emp3AvgMissPerc</t>
  </si>
  <si>
    <t>calcR2LOB1Clinician4Emp3AvgMissPerc</t>
  </si>
  <si>
    <t>calcR2LOB1Clinician5Emp3AvgMissPerc</t>
  </si>
  <si>
    <t>calcR2LOB1Clinician6Emp3AvgMissPerc</t>
  </si>
  <si>
    <t>calcR2LOB1Clinician7Emp3AvgMissPerc</t>
  </si>
  <si>
    <t>calcR2LOB1Clinician8Emp3AvgMissPerc</t>
  </si>
  <si>
    <t>calcR2LOB1Clinician9Emp3AvgMissPerc</t>
  </si>
  <si>
    <t>calcR2LOB1Clinician10Emp3AvgMissPerc</t>
  </si>
  <si>
    <t>calcR2LOB1Clinician11Emp3AvgMissPerc</t>
  </si>
  <si>
    <t>calcR2LOB1Clinician12Emp3AvgMissPerc</t>
  </si>
  <si>
    <t>calcR2LOB1Clinician15Emp3AvgMissPerc</t>
  </si>
  <si>
    <t>calcR2LOB1Clinician1Emp3MissVisits</t>
  </si>
  <si>
    <t>calcR2LOB1Clinician2Emp3MissVisits</t>
  </si>
  <si>
    <t>calcR2LOB1Clinician3Emp3MissVisits</t>
  </si>
  <si>
    <t>calcR2LOB1Clinician4Emp3MissVisits</t>
  </si>
  <si>
    <t>calcR2LOB1Clinician5Emp3MissVisits</t>
  </si>
  <si>
    <t>calcR2LOB1Clinician6Emp3MissVisits</t>
  </si>
  <si>
    <t>calcR2LOB1Clinician7Emp3MissVisits</t>
  </si>
  <si>
    <t>calcR2LOB1Clinician8Emp3MissVisits</t>
  </si>
  <si>
    <t>calcR2LOB1Clinician9Emp3MissVisits</t>
  </si>
  <si>
    <t>calcR2LOB1Clinician10Emp3MissVisits</t>
  </si>
  <si>
    <t>calcR2LOB1Clinician11Emp3MissVisits</t>
  </si>
  <si>
    <t>calcR2LOB1Clinician12Emp3MissVisits</t>
  </si>
  <si>
    <t>calcR2LOB1Clinician15Emp3MissVisits</t>
  </si>
  <si>
    <t>calcR2LOB1Clinician1Emp3NetProd</t>
  </si>
  <si>
    <t>calcR2LOB1Clinician2Emp3NetProd</t>
  </si>
  <si>
    <t>calcR2LOB1Clinician3Emp3NetProd</t>
  </si>
  <si>
    <t>calcR2LOB1Clinician4Emp3NetProd</t>
  </si>
  <si>
    <t>calcR2LOB1Clinician5Emp3NetProd</t>
  </si>
  <si>
    <t>calcR2LOB1Clinician6Emp3NetProd</t>
  </si>
  <si>
    <t>calcR2LOB1Clinician7Emp3NetProd</t>
  </si>
  <si>
    <t>calcR2LOB1Clinician8Emp3NetProd</t>
  </si>
  <si>
    <t>calcR2LOB1Clinician9Emp3NetProd</t>
  </si>
  <si>
    <t>calcR2LOB1Clinician10Emp3NetProd</t>
  </si>
  <si>
    <t>calcR2LOB1Clinician11Emp3NetProd</t>
  </si>
  <si>
    <t>calcR2LOB1Clinician12Emp3NetProd</t>
  </si>
  <si>
    <t>calcR2LOB1Clinician15Emp3NetProd</t>
  </si>
  <si>
    <t>calcR2LOB1Emp3NetProduction</t>
  </si>
  <si>
    <t>calcR2LOB1Clinician1Emp3OverTIme</t>
  </si>
  <si>
    <t>calcR2LOB1Clinician2Emp3OverTIme</t>
  </si>
  <si>
    <t>calcR2LOB1Clinician3Emp3OverTIme</t>
  </si>
  <si>
    <t>calcR2LOB1Clinician4Emp3OverTIme</t>
  </si>
  <si>
    <t>calcR2LOB1Clinician5Emp3OverTIme</t>
  </si>
  <si>
    <t>calcR2LOB1Clinician6Emp3OverTIme</t>
  </si>
  <si>
    <t>calcR2LOB1Clinician7Emp3OverTIme</t>
  </si>
  <si>
    <t>calcR2LOB1Clinician8Emp3OverTIme</t>
  </si>
  <si>
    <t>calcR2LOB1Clinician9Emp3OverTIme</t>
  </si>
  <si>
    <t>calcR2LOB1Clinician10Emp3OverTIme</t>
  </si>
  <si>
    <t>calcR2LOB1Clinician11Emp3OverTIme</t>
  </si>
  <si>
    <t>calcR2LOB1Clinician12Emp3OverTIme</t>
  </si>
  <si>
    <t>calcR2LOB1Clinician1BaseProd</t>
  </si>
  <si>
    <t>calcR2LOB1Clinician2BaseProd</t>
  </si>
  <si>
    <t>calcR2LOB1Clinician3BaseProd</t>
  </si>
  <si>
    <t>calcR2LOB1Clinician4BaseProd</t>
  </si>
  <si>
    <t>calcR2LOB1Clinician5BaseProd</t>
  </si>
  <si>
    <t>calcR2LOB1Clinician6BaseProd</t>
  </si>
  <si>
    <t>calcR2LOB1Clinician7BaseProd</t>
  </si>
  <si>
    <t>calcR2LOB1Clinician8BaseProd</t>
  </si>
  <si>
    <t>calcR2LOB1Clinician9BaseProd</t>
  </si>
  <si>
    <t>calcR2LOB1Clinician10BaseProd</t>
  </si>
  <si>
    <t>calcR2LOB1Clinician11BaseProd</t>
  </si>
  <si>
    <t>calcR2LOB1Clinician12BaseProd</t>
  </si>
  <si>
    <t>calcR2LOB1Clinician1AllocatedProd</t>
  </si>
  <si>
    <t>calcR2LOB1Clinician2AllocatedProd</t>
  </si>
  <si>
    <t>calcR2LOB1Clinician3AllocatedProd</t>
  </si>
  <si>
    <t>calcR2LOB1Clinician4AllocatedProd</t>
  </si>
  <si>
    <t>calcR2LOB1Clinician5AllocatedProd</t>
  </si>
  <si>
    <t>calcR2LOB1Clinician6AllocatedProd</t>
  </si>
  <si>
    <t>calcR2LOB1Clinician7AllocatedProd</t>
  </si>
  <si>
    <t>calcR2LOB1Clinician8AllocatedProd</t>
  </si>
  <si>
    <t>calcR2LOB1Clinician9AllocatedProd</t>
  </si>
  <si>
    <t>calcR2LOB1Clinician10AllocatedProd</t>
  </si>
  <si>
    <t>calcR2LOB1Clinician11AllocatedProd</t>
  </si>
  <si>
    <t>calcR2LOB1Clinician12AllocatedProd</t>
  </si>
  <si>
    <t>calcR2LOB1ClinicianAllocatedVisits</t>
  </si>
  <si>
    <t>calcR2LOB1Clinician1GrossProd</t>
  </si>
  <si>
    <t>calcR2LOB1Clinician2GrossProd</t>
  </si>
  <si>
    <t>calcR2LOB1Clinician3GrossProd</t>
  </si>
  <si>
    <t>calcR2LOB1Clinician4GrossProd</t>
  </si>
  <si>
    <t>calcR2LOB1Clinician5GrossProd</t>
  </si>
  <si>
    <t>calcR2LOB1Clinician6GrossProd</t>
  </si>
  <si>
    <t>calcR2LOB1Clinician7GrossProd</t>
  </si>
  <si>
    <t>calcR2LOB1Clinician8GrossProd</t>
  </si>
  <si>
    <t>calcR2LOB1Clinician9GrossProd</t>
  </si>
  <si>
    <t>calcR2LOB1Clinician10GrossProd</t>
  </si>
  <si>
    <t>calcR2LOB1Clinician11GrossProd</t>
  </si>
  <si>
    <t>calcR2LOB1Clinician12GrossProd</t>
  </si>
  <si>
    <t>calcR2LOB1ClinicianGrossProd</t>
  </si>
  <si>
    <t>calcR2LOB1Clinician1MissVisits</t>
  </si>
  <si>
    <t>calcR2LOB1Clinician2MissVisits</t>
  </si>
  <si>
    <t>calcR2LOB1Clinician3MissVisits</t>
  </si>
  <si>
    <t>calcR2LOB1Clinician4MissVisits</t>
  </si>
  <si>
    <t>calcR2LOB1Clinician5MissVisits</t>
  </si>
  <si>
    <t>calcR2LOB1Clinician6MissVisits</t>
  </si>
  <si>
    <t>calcR2LOB1Clinician7MissVisits</t>
  </si>
  <si>
    <t>calcR2LOB1Clinician8MissVisits</t>
  </si>
  <si>
    <t>calcR2LOB1Clinician9MissVisits</t>
  </si>
  <si>
    <t>calcR2LOB1Clinician10MissVisits</t>
  </si>
  <si>
    <t>calcR2LOB1Clinician11MissVisits</t>
  </si>
  <si>
    <t>calcR2LOB1Clinician12MissVisits</t>
  </si>
  <si>
    <t>calcR2LOB1ClinicianMissVisits</t>
  </si>
  <si>
    <t>calcR2LOB1ClinicianMissVisitsPerc</t>
  </si>
  <si>
    <t>calcR2LOB1Clinician1AvgMissPerc</t>
  </si>
  <si>
    <t>calcR2LOB1Clinician2AvgMissPerc</t>
  </si>
  <si>
    <t>calcR2LOB1Clinician3AvgMissPerc</t>
  </si>
  <si>
    <t>calcR2LOB1Clinician4AvgMissPerc</t>
  </si>
  <si>
    <t>calcR2LOB1Clinician5AvgMissPerc</t>
  </si>
  <si>
    <t>calcR2LOB1Clinician6AvgMissPerc</t>
  </si>
  <si>
    <t>calcR2LOB1Clinician7AvgMissPerc</t>
  </si>
  <si>
    <t>calcR2LOB1Clinician8AvgMissPerc</t>
  </si>
  <si>
    <t>calcR2LOB1Clinician9AvgMissPerc</t>
  </si>
  <si>
    <t>calcR2LOB1Clinician10AvgMissPerc</t>
  </si>
  <si>
    <t>calcR2LOB1Clinician11AvgMissPerc</t>
  </si>
  <si>
    <t>calcR2LOB1Clinician12AvgMissPerc</t>
  </si>
  <si>
    <t>calcR2LOB1ClinicianTotalMissPerc</t>
  </si>
  <si>
    <t>calcR2LOB1ClinicianAvgMissPerc</t>
  </si>
  <si>
    <t>calcR2LOB1Clinician1NetVisits</t>
  </si>
  <si>
    <t>calcR2LOB1Clinician2NetVisits</t>
  </si>
  <si>
    <t>calcR2LOB1Clinician3NetVisits</t>
  </si>
  <si>
    <t>calcR2LOB1Clinician4NetVisits</t>
  </si>
  <si>
    <t>calcR2LOB1Clinician5NetVisits</t>
  </si>
  <si>
    <t>calcR2LOB1Clinician6NetVisits</t>
  </si>
  <si>
    <t>calcR2LOB1Clinician7NetVisits</t>
  </si>
  <si>
    <t>calcR2LOB1Clinician8NetVisits</t>
  </si>
  <si>
    <t>calcR2LOB1Clinician9NetVisits</t>
  </si>
  <si>
    <t>calcR2LOB1Clinician10NetVisits</t>
  </si>
  <si>
    <t>calcR2LOB1Clinician11NetVisits</t>
  </si>
  <si>
    <t>calcR2LOB1Clinician12NetVisits</t>
  </si>
  <si>
    <t>calcR2LOB1ClinicianNetVisits</t>
  </si>
  <si>
    <t>calcR2LOB1Clinician1OverTime</t>
  </si>
  <si>
    <t>calcR2LOB1Clinician2OverTime</t>
  </si>
  <si>
    <t>calcR2LOB1Clinician3OverTime</t>
  </si>
  <si>
    <t>calcR2LOB1Clinician4OverTime</t>
  </si>
  <si>
    <t>calcR2LOB1Clinician5OverTime</t>
  </si>
  <si>
    <t>calcR2LOB1Clinician6OverTime</t>
  </si>
  <si>
    <t>calcR2LOB1Clinician7OverTime</t>
  </si>
  <si>
    <t>calcR2LOB1Clinician8OverTime</t>
  </si>
  <si>
    <t>calcR2LOB1Clinician9OverTime</t>
  </si>
  <si>
    <t>calcR2LOB1Clinician10OverTime</t>
  </si>
  <si>
    <t>calcR2LOB1Clinician11OverTime</t>
  </si>
  <si>
    <t>calcR2LOB1Clinician12OverTime</t>
  </si>
  <si>
    <t>calcR2LOB1ClinicianOverTime</t>
  </si>
  <si>
    <t>calcR2LOB1ClinicianOverTimePerc</t>
  </si>
  <si>
    <t>calcR2LOB1Prod1Seg1Emp1ActualVisits</t>
  </si>
  <si>
    <t>calcR2LOB1Prod1Seg2Emp1ActualVisits</t>
  </si>
  <si>
    <t>calcR2LOB1Prod1Seg3Emp1ActualVisits</t>
  </si>
  <si>
    <t>calcR2LOB1Prod2Seg1Emp1ActualVisits</t>
  </si>
  <si>
    <t>calcR2LOB1Prod2Seg2Emp1ActualVisits</t>
  </si>
  <si>
    <t>calcR2LOB1Prod2Seg3Emp1ActualVisits</t>
  </si>
  <si>
    <t>calcR2LOB1Emp1ActualVisits</t>
  </si>
  <si>
    <t>calcR2LOB1Prod1Seg1Emp2ActualVisits</t>
  </si>
  <si>
    <t>calcR2LOB1Prod1Seg2Emp2ActualVisits</t>
  </si>
  <si>
    <t>calcR2LOB1Prod1Seg3Emp2ActualVisits</t>
  </si>
  <si>
    <t>calcR2LOB1Prod2Seg1Emp2ActualVisits</t>
  </si>
  <si>
    <t>calcR2LOB1Prod2Seg2Emp2ActualVisits</t>
  </si>
  <si>
    <t>calcR2LOB1Prod2Seg3Emp2ActualVisits</t>
  </si>
  <si>
    <t>calcR2LOB1Emp2ActualVisits</t>
  </si>
  <si>
    <t>calcR2LOB1Prod1Seg1Emp3ActualVisits</t>
  </si>
  <si>
    <t>calcR2LOB1Prod1Seg2Emp3ActualVisits</t>
  </si>
  <si>
    <t>calcR2LOB1Prod1Seg3Emp3ActualVisits</t>
  </si>
  <si>
    <t>calcR2LOB1Prod2Seg1Emp3ActualVisits</t>
  </si>
  <si>
    <t>calcR2LOB1Prod2Seg2Emp3ActualVisits</t>
  </si>
  <si>
    <t>calcR2LOB1Prod2Seg3Emp3ActualVisits</t>
  </si>
  <si>
    <t>calcR2LOB1Emp3ActualVisits</t>
  </si>
  <si>
    <t>calcR2LOB1Clinician11LookupValue</t>
  </si>
  <si>
    <t>calcR2LOB1Clinician12LookupValue</t>
  </si>
  <si>
    <t>calcR2LOB1DOOBaseTime1</t>
  </si>
  <si>
    <t>calcR2LOB1DOOBaseTime2</t>
  </si>
  <si>
    <t>calcR2LOB1DOOBaseTime3</t>
  </si>
  <si>
    <t>calcR2LOB1DOOBaseTime4</t>
  </si>
  <si>
    <t>calcR2LOB1DOOBaseTime5</t>
  </si>
  <si>
    <t>calcR2LOB1DOOBaseTime6</t>
  </si>
  <si>
    <t>calcR2LOB1DOOTotalBaseTime</t>
  </si>
  <si>
    <t>calcR2LOB1DOOActionTime1</t>
  </si>
  <si>
    <t>calcR2LOB1DOOActionTime2</t>
  </si>
  <si>
    <t>calcR2LOB1DOOActionTime3</t>
  </si>
  <si>
    <t>calcR2LOB1DOOActionTime4</t>
  </si>
  <si>
    <t>calcR2LOB1DOOActionTime5</t>
  </si>
  <si>
    <t>calcR2LOB1DOOActionTime6</t>
  </si>
  <si>
    <t>calcR2LOB1DOOTotalActionTime</t>
  </si>
  <si>
    <t>calcR2LOB1DOOPlanTime1</t>
  </si>
  <si>
    <t>calcR2LOB1DOOPlanTime2</t>
  </si>
  <si>
    <t>calcR2LOB1DOOPlanTime3</t>
  </si>
  <si>
    <t>calcR2LOB1DOOPlanTime4</t>
  </si>
  <si>
    <t>calcR2LOB1DOOPlanTime5</t>
  </si>
  <si>
    <t>calcR2LOB1DOOPlanTime6</t>
  </si>
  <si>
    <t>calcR2LOB1DOOTotalPlanTime</t>
  </si>
  <si>
    <t>calcR2LOB1CSAT</t>
  </si>
  <si>
    <t>calcR2LOB1ESAT</t>
  </si>
  <si>
    <t>calcR2LOB1BDEngage</t>
  </si>
  <si>
    <t>calcR2LOB1Disc1Retention</t>
  </si>
  <si>
    <t>calcR2LOB1Disc2Retention</t>
  </si>
  <si>
    <t>calcR2LOB1Disc3Retention</t>
  </si>
  <si>
    <t>calcR2LOB1Disc4Retention</t>
  </si>
  <si>
    <t>calcR2LOB1MeetingCount</t>
  </si>
  <si>
    <t>calcR2LOB2Prod1Seg1RunRate</t>
  </si>
  <si>
    <t>calcR2LOB2Prod1Seg2RunRate</t>
  </si>
  <si>
    <t>calcR2LOB2Prod1Seg3RunRate</t>
  </si>
  <si>
    <t>calcR2LOB2Prod2Seg1RunRate</t>
  </si>
  <si>
    <t>calcR2LOB2Prod2Seg2RunRate</t>
  </si>
  <si>
    <t>calcR2LOB2Prod2Seg3RunRate</t>
  </si>
  <si>
    <t>calcR2LOB2RunRate</t>
  </si>
  <si>
    <t>calcR2LOB2Prod1Seg1Budget</t>
  </si>
  <si>
    <t>calcR2LOB2Prod1Seg2Budget</t>
  </si>
  <si>
    <t>calcR2LOB2Prod1Seg3Budget</t>
  </si>
  <si>
    <t>calcR2LOB2Prod2Seg1Budget</t>
  </si>
  <si>
    <t>calcR2LOB2Prod2Seg2Budget</t>
  </si>
  <si>
    <t>calcR2LOB2Prod2Seg3Budget</t>
  </si>
  <si>
    <t>calcR2LOB2Budget</t>
  </si>
  <si>
    <t>calcR2LOB2Prod1Seg1RunRateM1</t>
  </si>
  <si>
    <t>calcR2LOB2Prod1Seg2RunRateM1</t>
  </si>
  <si>
    <t>calcR2LOB2Prod1Seg3RunRateM1</t>
  </si>
  <si>
    <t>calcR2LOB2Prod2Seg1RunRateM1</t>
  </si>
  <si>
    <t>calcR2LOB2Prod2Seg2RunRateM1</t>
  </si>
  <si>
    <t>calcR2LOB2Prod2Seg3RunRateM1</t>
  </si>
  <si>
    <t>calcR2LOB2RunRateM1</t>
  </si>
  <si>
    <t>calcR2LOB2Prod1Seg1RunRateM2</t>
  </si>
  <si>
    <t>calcR2LOB2Prod1Seg2RunRateM2</t>
  </si>
  <si>
    <t>calcR2LOB2Prod1Seg3RunRateM2</t>
  </si>
  <si>
    <t>calcR2LOB2Prod2Seg1RunRateM2</t>
  </si>
  <si>
    <t>calcR2LOB2Prod2Seg2RunRateM2</t>
  </si>
  <si>
    <t>calcR2LOB2Prod2Seg3RunRateM2</t>
  </si>
  <si>
    <t>calcR2LOB2RunRateM2</t>
  </si>
  <si>
    <t>calcR2LOB2Prod1Seg1RunRateM3</t>
  </si>
  <si>
    <t>calcR2LOB2Prod1Seg2RunRateM3</t>
  </si>
  <si>
    <t>calcR2LOB2Prod1Seg3RunRateM3</t>
  </si>
  <si>
    <t>calcR2LOB2Prod2Seg1RunRateM3</t>
  </si>
  <si>
    <t>calcR2LOB2Prod2Seg2RunRateM3</t>
  </si>
  <si>
    <t>calcR2LOB2Prod2Seg3RunRateM3</t>
  </si>
  <si>
    <t>calcR2LOB2RunRateM3</t>
  </si>
  <si>
    <t>calcR2LOB2Prod1Seg1Patients</t>
  </si>
  <si>
    <t>calcR2LOB2Prod1Seg2Patients</t>
  </si>
  <si>
    <t>calcR2LOB2Prod1Seg3Patients</t>
  </si>
  <si>
    <t>calcR2LOB2Prod2Seg1Patients</t>
  </si>
  <si>
    <t>calcR2LOB2Prod2Seg2Patients</t>
  </si>
  <si>
    <t>calcR2LOB2Prod2Seg3Patients</t>
  </si>
  <si>
    <t>calcR2LOB2Patients</t>
  </si>
  <si>
    <t>calcR2LOB2Prod1Seg1Emp1Visits</t>
  </si>
  <si>
    <t>calcR2LOB2Prod1Seg2Emp1Visits</t>
  </si>
  <si>
    <t>calcR2LOB2Prod1Seg3Emp1Visits</t>
  </si>
  <si>
    <t>calcR2LOB2Prod2Seg1Emp1Visits</t>
  </si>
  <si>
    <t>calcR2LOB2Prod2Seg2Emp1Visits</t>
  </si>
  <si>
    <t>calcR2LOB2Prod2Seg3Emp1Visits</t>
  </si>
  <si>
    <t>calcR2LOB2Emp1Visits</t>
  </si>
  <si>
    <t>calcR2LOB2Prod1Seg1Emp2Visits</t>
  </si>
  <si>
    <t>calcR2LOB2Prod1Seg2Emp2Visits</t>
  </si>
  <si>
    <t>calcR2LOB2Prod1Seg3Emp2Visits</t>
  </si>
  <si>
    <t>calcR2LOB2Prod2Seg1Emp2Visits</t>
  </si>
  <si>
    <t>calcR2LOB2Prod2Seg2Emp2Visits</t>
  </si>
  <si>
    <t>calcR2LOB2Prod2Seg3Emp2Visits</t>
  </si>
  <si>
    <t>calcR2LOB2Emp2Visits</t>
  </si>
  <si>
    <t>calcR2LOB2Prod1Seg1Emp3Visits</t>
  </si>
  <si>
    <t>calcR2LOB2Prod1Seg2Emp3Visits</t>
  </si>
  <si>
    <t>calcR2LOB2Prod1Seg3Emp3Visits</t>
  </si>
  <si>
    <t>calcR2LOB2Prod2Seg1Emp3Visits</t>
  </si>
  <si>
    <t>calcR2LOB2Prod2Seg2Emp3Visits</t>
  </si>
  <si>
    <t>calcR2LOB2Prod2Seg3Emp3Visits</t>
  </si>
  <si>
    <t>calcR2LOB2Emp3Visits</t>
  </si>
  <si>
    <t>calcR2LOB2Emp1Capacity</t>
  </si>
  <si>
    <t>calcR2LOB2Emp2Capacity</t>
  </si>
  <si>
    <t>calcR2LOB2Emp3Capacity</t>
  </si>
  <si>
    <t>calcR2LOB2Clinician1Disc1Emp1BaseProd</t>
  </si>
  <si>
    <t>calcR2LOB2Clinician2Disc1Emp1BaseProd</t>
  </si>
  <si>
    <t>calcR2LOB2Clinician3Disc1Emp1BaseProd</t>
  </si>
  <si>
    <t>calcR2LOB2Clinician4Disc1Emp1BaseProd</t>
  </si>
  <si>
    <t>calcR2LOB2Clinician5Disc1Emp1BaseProd</t>
  </si>
  <si>
    <t>calcR2LOB2Clinician6Disc1Emp1BaseProd</t>
  </si>
  <si>
    <t>calcR2LOB2Clinician7Disc1Emp1BaseProd</t>
  </si>
  <si>
    <t>calcR2LOB2Clinician8Disc1Emp1BaseProd</t>
  </si>
  <si>
    <t>calcR2LOB2Clinician9Disc1Emp1BaseProd</t>
  </si>
  <si>
    <t>calcR2LOB2Clinician10Disc1Emp1BaseProd</t>
  </si>
  <si>
    <t>calcR2LOB2Clinician11Disc1Emp1BaseProd</t>
  </si>
  <si>
    <t>calcR2LOB2Clinician12Disc1Emp1BaseProd</t>
  </si>
  <si>
    <t>calcR2LOB2Clinician13Disc1Emp1BaseProd</t>
  </si>
  <si>
    <t>calcR2LOB2Clinician1Disc2Emp1BaseProd</t>
  </si>
  <si>
    <t>calcR2LOB2Clinician2Disc2Emp1BaseProd</t>
  </si>
  <si>
    <t>calcR2LOB2Clinician3Disc2Emp1BaseProd</t>
  </si>
  <si>
    <t>calcR2LOB2Clinician4Disc2Emp1BaseProd</t>
  </si>
  <si>
    <t>calcR2LOB2Clinician5Disc2Emp1BaseProd</t>
  </si>
  <si>
    <t>calcR2LOB2Clinician6Disc2Emp1BaseProd</t>
  </si>
  <si>
    <t>calcR2LOB2Clinician7Disc2Emp1BaseProd</t>
  </si>
  <si>
    <t>calcR2LOB2Clinician8Disc2Emp1BaseProd</t>
  </si>
  <si>
    <t>calcR2LOB2Clinician9Disc2Emp1BaseProd</t>
  </si>
  <si>
    <t>calcR2LOB2Clinician10Disc2Emp1BaseProd</t>
  </si>
  <si>
    <t>calcR2LOB2Clinician11Disc2Emp1BaseProd</t>
  </si>
  <si>
    <t>calcR2LOB2Clinician12Disc2Emp1BaseProd</t>
  </si>
  <si>
    <t>calcR2LOB2Clinician14Disc2Emp1BaseProd</t>
  </si>
  <si>
    <t>calcR2LOB2Emp1BaseProdCapacity</t>
  </si>
  <si>
    <t>calcR2LOB2Clinician1Disc1Emp1AllowPerc</t>
  </si>
  <si>
    <t>calcR2LOB2Clinician2Disc1Emp1AllowPerc</t>
  </si>
  <si>
    <t>calcR2LOB2Clinician3Disc1Emp1AllowPerc</t>
  </si>
  <si>
    <t>calcR2LOB2Clinician4Disc1Emp1AllowPerc</t>
  </si>
  <si>
    <t>calcR2LOB2Clinician5Disc1Emp1AllowPerc</t>
  </si>
  <si>
    <t>calcR2LOB2Clinician6Disc1Emp1AllowPerc</t>
  </si>
  <si>
    <t>calcR2LOB2Clinician7Disc1Emp1AllowPerc</t>
  </si>
  <si>
    <t>calcR2LOB2Clinician8Disc1Emp1AllowPerc</t>
  </si>
  <si>
    <t>calcR2LOB2Clinician9Disc1Emp1AllowPerc</t>
  </si>
  <si>
    <t>calcR2LOB2Clinician10Disc1Emp1AllowPerc</t>
  </si>
  <si>
    <t>calcR2LOB2Clinician11Disc1Emp1AllowPerc</t>
  </si>
  <si>
    <t>calcR2LOB2Clinician12Disc1Emp1AllowPerc</t>
  </si>
  <si>
    <t>calcR2LOB2Clinician13Disc1Emp1AllowPerc</t>
  </si>
  <si>
    <t>calcR2LOB2Clinician1Disc2Emp1AllowPerc</t>
  </si>
  <si>
    <t>calcR2LOB2Clinician2Disc2Emp1AllowPerc</t>
  </si>
  <si>
    <t>calcR2LOB2Clinician3Disc2Emp1AllowPerc</t>
  </si>
  <si>
    <t>calcR2LOB2Clinician4Disc2Emp1AllowPerc</t>
  </si>
  <si>
    <t>calcR2LOB2Clinician5Disc2Emp1AllowPerc</t>
  </si>
  <si>
    <t>calcR2LOB2Clinician6Disc2Emp1AllowPerc</t>
  </si>
  <si>
    <t>calcR2LOB2Clinician7Disc2Emp1AllowPerc</t>
  </si>
  <si>
    <t>calcR2LOB2Clinician8Disc2Emp1AllowPerc</t>
  </si>
  <si>
    <t>calcR2LOB2Clinician9Disc2Emp1AllowPerc</t>
  </si>
  <si>
    <t>calcR2LOB2Clinician10Disc2Emp1AllowPerc</t>
  </si>
  <si>
    <t>calcR2LOB2Clinician11Disc2Emp1AllowPerc</t>
  </si>
  <si>
    <t>calcR2LOB2Clinician12Disc2Emp1AllowPerc</t>
  </si>
  <si>
    <t>calcR2LOB2Clinician14Disc2Emp1AllowPerc</t>
  </si>
  <si>
    <t>calcR2LOB2Clinician1Disc1Emp1AllocatedProd</t>
  </si>
  <si>
    <t>calcR2LOB2Clinician2Disc1Emp1AllocatedProd</t>
  </si>
  <si>
    <t>calcR2LOB2Clinician3Disc1Emp1AllocatedProd</t>
  </si>
  <si>
    <t>calcR2LOB2Clinician4Disc1Emp1AllocatedProd</t>
  </si>
  <si>
    <t>calcR2LOB2Clinician5Disc1Emp1AllocatedProd</t>
  </si>
  <si>
    <t>calcR2LOB2Clinician6Disc1Emp1AllocatedProd</t>
  </si>
  <si>
    <t>calcR2LOB2Clinician7Disc1Emp1AllocatedProd</t>
  </si>
  <si>
    <t>calcR2LOB2Clinician8Disc1Emp1AllocatedProd</t>
  </si>
  <si>
    <t>calcR2LOB2Clinician9Disc1Emp1AllocatedProd</t>
  </si>
  <si>
    <t>calcR2LOB2Clinician10Disc1Emp1AllocatedProd</t>
  </si>
  <si>
    <t>calcR2LOB2Clinician11Disc1Emp1AllocatedProd</t>
  </si>
  <si>
    <t>calcR2LOB2Clinician12Disc1Emp1AllocatedProd</t>
  </si>
  <si>
    <t>calcR2LOB2Clinician13Disc1Emp1AllocatedProd</t>
  </si>
  <si>
    <t>calcR2LOB2Clinician1Disc2Emp1AllocatedProd</t>
  </si>
  <si>
    <t>calcR2LOB2Clinician2Disc2Emp1AllocatedProd</t>
  </si>
  <si>
    <t>calcR2LOB2Clinician3Disc2Emp1AllocatedProd</t>
  </si>
  <si>
    <t>calcR2LOB2Clinician4Disc2Emp1AllocatedProd</t>
  </si>
  <si>
    <t>calcR2LOB2Clinician5Disc2Emp1AllocatedProd</t>
  </si>
  <si>
    <t>calcR2LOB2Clinician6Disc2Emp1AllocatedProd</t>
  </si>
  <si>
    <t>calcR2LOB2Clinician7Disc2Emp1AllocatedProd</t>
  </si>
  <si>
    <t>calcR2LOB2Clinician8Disc2Emp1AllocatedProd</t>
  </si>
  <si>
    <t>calcR2LOB2Clinician9Disc2Emp1AllocatedProd</t>
  </si>
  <si>
    <t>calcR2LOB2Clinician10Disc2Emp1AllocatedProd</t>
  </si>
  <si>
    <t>calcR2LOB2Clinician11Disc2Emp1AllocatedProd</t>
  </si>
  <si>
    <t>calcR2LOB2Clinician12Disc2Emp1AllocatedProd</t>
  </si>
  <si>
    <t>calcR2LOB2Clinician14Disc2Emp1AllocatedProd</t>
  </si>
  <si>
    <t>calcR2LOB2Clinician1Disc1Emp1ModifiedProd</t>
  </si>
  <si>
    <t>calcR2LOB2Clinician2Disc1Emp1ModifiedProd</t>
  </si>
  <si>
    <t>calcR2LOB2Clinician3Disc1Emp1ModifiedProd</t>
  </si>
  <si>
    <t>calcR2LOB2Clinician4Disc1Emp1ModifiedProd</t>
  </si>
  <si>
    <t>calcR2LOB2Clinician5Disc1Emp1ModifiedProd</t>
  </si>
  <si>
    <t>calcR2LOB2Clinician6Disc1Emp1ModifiedProd</t>
  </si>
  <si>
    <t>calcR2LOB2Clinician7Disc1Emp1ModifiedProd</t>
  </si>
  <si>
    <t>calcR2LOB2Clinician8Disc1Emp1ModifiedProd</t>
  </si>
  <si>
    <t>calcR2LOB2Clinician9Disc1Emp1ModifiedProd</t>
  </si>
  <si>
    <t>calcR2LOB2Clinician10Disc1Emp1ModifiedProd</t>
  </si>
  <si>
    <t>calcR2LOB2Clinician11Disc1Emp1ModifiedProd</t>
  </si>
  <si>
    <t>calcR2LOB2Clinician12Disc1Emp1ModifiedProd</t>
  </si>
  <si>
    <t>calcR2LOB2Clinician1Disc2Emp1ModifiedProd</t>
  </si>
  <si>
    <t>calcR2LOB2Clinician2Disc2Emp1ModifiedProd</t>
  </si>
  <si>
    <t>calcR2LOB2Clinician3Disc2Emp1ModifiedProd</t>
  </si>
  <si>
    <t>calcR2LOB2Clinician4Disc2Emp1ModifiedProd</t>
  </si>
  <si>
    <t>calcR2LOB2Clinician5Disc2Emp1ModifiedProd</t>
  </si>
  <si>
    <t>calcR2LOB2Clinician6Disc2Emp1ModifiedProd</t>
  </si>
  <si>
    <t>calcR2LOB2Clinician7Disc2Emp1ModifiedProd</t>
  </si>
  <si>
    <t>calcR2LOB2Clinician8Disc2Emp1ModifiedProd</t>
  </si>
  <si>
    <t>calcR2LOB2Clinician9Disc2Emp1ModifiedProd</t>
  </si>
  <si>
    <t>calcR2LOB2Clinician10Disc2Emp1ModifiedProd</t>
  </si>
  <si>
    <t>calcR2LOB2Clinician11Disc2Emp1ModifiedProd</t>
  </si>
  <si>
    <t>calcR2LOB2Clinician12Disc2Emp1ModifiedProd</t>
  </si>
  <si>
    <t>calcR2LOB2Clinician1Disc1Emp1GrossProd</t>
  </si>
  <si>
    <t>calcR2LOB2Clinician2Disc1Emp1GrossProd</t>
  </si>
  <si>
    <t>calcR2LOB2Clinician3Disc1Emp1GrossProd</t>
  </si>
  <si>
    <t>calcR2LOB2Clinician4Disc1Emp1GrossProd</t>
  </si>
  <si>
    <t>calcR2LOB2Clinician5Disc1Emp1GrossProd</t>
  </si>
  <si>
    <t>calcR2LOB2Clinician6Disc1Emp1GrossProd</t>
  </si>
  <si>
    <t>calcR2LOB2Clinician7Disc1Emp1GrossProd</t>
  </si>
  <si>
    <t>calcR2LOB2Clinician8Disc1Emp1GrossProd</t>
  </si>
  <si>
    <t>calcR2LOB2Clinician9Disc1Emp1GrossProd</t>
  </si>
  <si>
    <t>calcR2LOB2Clinician10Disc1Emp1GrossProd</t>
  </si>
  <si>
    <t>calcR2LOB2Clinician11Disc1Emp1GrossProd</t>
  </si>
  <si>
    <t>calcR2LOB2Clinician12Disc1Emp1GrossProd</t>
  </si>
  <si>
    <t>calcR2LOB2Clinician13Disc1Emp1GrossProd</t>
  </si>
  <si>
    <t>calcR2LOB2Clinician1Disc2Emp1GrossProd</t>
  </si>
  <si>
    <t>calcR2LOB2Clinician2Disc2Emp1GrossProd</t>
  </si>
  <si>
    <t>calcR2LOB2Clinician3Disc2Emp1GrossProd</t>
  </si>
  <si>
    <t>calcR2LOB2Clinician4Disc2Emp1GrossProd</t>
  </si>
  <si>
    <t>calcR2LOB2Clinician5Disc2Emp1GrossProd</t>
  </si>
  <si>
    <t>calcR2LOB2Clinician6Disc2Emp1GrossProd</t>
  </si>
  <si>
    <t>calcR2LOB2Clinician7Disc2Emp1GrossProd</t>
  </si>
  <si>
    <t>calcR2LOB2Clinician8Disc2Emp1GrossProd</t>
  </si>
  <si>
    <t>calcR2LOB2Clinician9Disc2Emp1GrossProd</t>
  </si>
  <si>
    <t>calcR2LOB2Clinician10Disc2Emp1GrossProd</t>
  </si>
  <si>
    <t>calcR2LOB2Clinician11Disc2Emp1GrossProd</t>
  </si>
  <si>
    <t>calcR2LOB2Clinician12Disc2Emp1GrossProd</t>
  </si>
  <si>
    <t>calcR2LOB2Clinician14Disc2Emp1GrossProd</t>
  </si>
  <si>
    <t>calcR2LOB2Clinician1Disc1BaseMissPerc</t>
  </si>
  <si>
    <t>calcR2LOB2Clinician2Disc1BaseMissPerc</t>
  </si>
  <si>
    <t>calcR2LOB2Clinician3Disc1BaseMissPerc</t>
  </si>
  <si>
    <t>calcR2LOB2Clinician4Disc1BaseMissPerc</t>
  </si>
  <si>
    <t>calcR2LOB2Clinician5Disc1BaseMissPerc</t>
  </si>
  <si>
    <t>calcR2LOB2Clinician6Disc1BaseMissPerc</t>
  </si>
  <si>
    <t>calcR2LOB2Clinician7Disc1BaseMissPerc</t>
  </si>
  <si>
    <t>calcR2LOB2Clinician8Disc1BaseMissPerc</t>
  </si>
  <si>
    <t>calcR2LOB2Clinician9Disc1BaseMissPerc</t>
  </si>
  <si>
    <t>calcR2LOB2Clinician10Disc1BaseMissPerc</t>
  </si>
  <si>
    <t>calcR2LOB2Clinician11Disc1BaseMissPerc</t>
  </si>
  <si>
    <t>calcR2LOB2Clinician12Disc1BaseMissPerc</t>
  </si>
  <si>
    <t>calcR2LOB2Clinician13Disc1BaseMissPerc</t>
  </si>
  <si>
    <t>calcR2LOB2Clinician1Disc2BaseMissPerc</t>
  </si>
  <si>
    <t>calcR2LOB2Clinician2Disc2BaseMissPerc</t>
  </si>
  <si>
    <t>calcR2LOB2Clinician3Disc2BaseMissPerc</t>
  </si>
  <si>
    <t>calcR2LOB2Clinician4Disc2BaseMissPerc</t>
  </si>
  <si>
    <t>calcR2LOB2Clinician5Disc2BaseMissPerc</t>
  </si>
  <si>
    <t>calcR2LOB2Clinician6Disc2BaseMissPerc</t>
  </si>
  <si>
    <t>calcR2LOB2Clinician7Disc2BaseMissPerc</t>
  </si>
  <si>
    <t>calcR2LOB2Clinician8Disc2BaseMissPerc</t>
  </si>
  <si>
    <t>calcR2LOB2Clinician9Disc2BaseMissPerc</t>
  </si>
  <si>
    <t>calcR2LOB2Clinician10Disc2BaseMissPerc</t>
  </si>
  <si>
    <t>calcR2LOB2Clinician11Disc2BaseMissPerc</t>
  </si>
  <si>
    <t>calcR2LOB2Clinician12Disc2BaseMissPerc</t>
  </si>
  <si>
    <t>calcR2LOB2Clinician14Disc2BaseMissPerc</t>
  </si>
  <si>
    <t>calcR2LOB2Clinician1Disc1AvgMissPerc</t>
  </si>
  <si>
    <t>calcR2LOB2Clinician2Disc1AvgMissPerc</t>
  </si>
  <si>
    <t>calcR2LOB2Clinician3Disc1AvgMissPerc</t>
  </si>
  <si>
    <t>calcR2LOB2Clinician4Disc1AvgMissPerc</t>
  </si>
  <si>
    <t>calcR2LOB2Clinician5Disc1AvgMissPerc</t>
  </si>
  <si>
    <t>calcR2LOB2Clinician6Disc1AvgMissPerc</t>
  </si>
  <si>
    <t>calcR2LOB2Clinician7Disc1AvgMissPerc</t>
  </si>
  <si>
    <t>calcR2LOB2Clinician8Disc1AvgMissPerc</t>
  </si>
  <si>
    <t>calcR2LOB2Clinician9Disc1AvgMissPerc</t>
  </si>
  <si>
    <t>calcR2LOB2Clinician10Disc1AvgMissPerc</t>
  </si>
  <si>
    <t>calcR2LOB2Clinician11Disc1AvgMissPerc</t>
  </si>
  <si>
    <t>calcR2LOB2Clinician12Disc1AvgMissPerc</t>
  </si>
  <si>
    <t>calcR2LOB2Clinician13Disc1AvgMissPerc</t>
  </si>
  <si>
    <t>calcR2LOB2Clinician1Disc2AvgMissPerc</t>
  </si>
  <si>
    <t>calcR2LOB2Clinician2Disc2AvgMissPerc</t>
  </si>
  <si>
    <t>calcR2LOB2Clinician3Disc2AvgMissPerc</t>
  </si>
  <si>
    <t>calcR2LOB2Clinician4Disc2AvgMissPerc</t>
  </si>
  <si>
    <t>calcR2LOB2Clinician5Disc2AvgMissPerc</t>
  </si>
  <si>
    <t>calcR2LOB2Clinician6Disc2AvgMissPerc</t>
  </si>
  <si>
    <t>calcR2LOB2Clinician7Disc2AvgMissPerc</t>
  </si>
  <si>
    <t>calcR2LOB2Clinician8Disc2AvgMissPerc</t>
  </si>
  <si>
    <t>calcR2LOB2Clinician9Disc2AvgMissPerc</t>
  </si>
  <si>
    <t>calcR2LOB2Clinician10Disc2AvgMissPerc</t>
  </si>
  <si>
    <t>calcR2LOB2Clinician11Disc2AvgMissPerc</t>
  </si>
  <si>
    <t>calcR2LOB2Clinician12Disc2AvgMissPerc</t>
  </si>
  <si>
    <t>calcR2LOB2Clinician14Disc2AvgMissPerc</t>
  </si>
  <si>
    <t>calcR2LOB2Clinician1Disc1Emp1MissVisits</t>
  </si>
  <si>
    <t>calcR2LOB2Clinician2Disc1Emp1MissVisits</t>
  </si>
  <si>
    <t>calcR2LOB2Clinician3Disc1Emp1MissVisits</t>
  </si>
  <si>
    <t>calcR2LOB2Clinician4Disc1Emp1MissVisits</t>
  </si>
  <si>
    <t>calcR2LOB2Clinician5Disc1Emp1MissVisits</t>
  </si>
  <si>
    <t>calcR2LOB2Clinician6Disc1Emp1MissVisits</t>
  </si>
  <si>
    <t>calcR2LOB2Clinician7Disc1Emp1MissVisits</t>
  </si>
  <si>
    <t>calcR2LOB2Clinician8Disc1Emp1MissVisits</t>
  </si>
  <si>
    <t>calcR2LOB2Clinician9Disc1Emp1MissVisits</t>
  </si>
  <si>
    <t>calcR2LOB2Clinician10Disc1Emp1MissVisits</t>
  </si>
  <si>
    <t>calcR2LOB2Clinician11Disc1Emp1MissVisits</t>
  </si>
  <si>
    <t>calcR2LOB2Clinician12Disc1Emp1MissVisits</t>
  </si>
  <si>
    <t>calcR2LOB2Clinician13Disc1Emp1MissVisits</t>
  </si>
  <si>
    <t>calcR2LOB2Clinician1Disc2Emp1MissVisits</t>
  </si>
  <si>
    <t>calcR2LOB2Clinician2Disc2Emp1MissVisits</t>
  </si>
  <si>
    <t>calcR2LOB2Clinician3Disc2Emp1MissVisits</t>
  </si>
  <si>
    <t>calcR2LOB2Clinician4Disc2Emp1MissVisits</t>
  </si>
  <si>
    <t>calcR2LOB2Clinician5Disc2Emp1MissVisits</t>
  </si>
  <si>
    <t>calcR2LOB2Clinician6Disc2Emp1MissVisits</t>
  </si>
  <si>
    <t>calcR2LOB2Clinician7Disc2Emp1MissVisits</t>
  </si>
  <si>
    <t>calcR2LOB2Clinician8Disc2Emp1MissVisits</t>
  </si>
  <si>
    <t>calcR2LOB2Clinician9Disc2Emp1MissVisits</t>
  </si>
  <si>
    <t>calcR2LOB2Clinician10Disc2Emp1MissVisits</t>
  </si>
  <si>
    <t>calcR2LOB2Clinician11Disc2Emp1MissVisits</t>
  </si>
  <si>
    <t>calcR2LOB2Clinician12Disc2Emp1MissVisits</t>
  </si>
  <si>
    <t>calcR2LOB2Clinician14Disc2Emp1MissVisits</t>
  </si>
  <si>
    <t>calcR2LOB2Clinician1Disc1Emp1NetProd</t>
  </si>
  <si>
    <t>calcR2LOB2Clinician2Disc1Emp1NetProd</t>
  </si>
  <si>
    <t>calcR2LOB2Clinician3Disc1Emp1NetProd</t>
  </si>
  <si>
    <t>calcR2LOB2Clinician4Disc1Emp1NetProd</t>
  </si>
  <si>
    <t>calcR2LOB2Clinician5Disc1Emp1NetProd</t>
  </si>
  <si>
    <t>calcR2LOB2Clinician6Disc1Emp1NetProd</t>
  </si>
  <si>
    <t>calcR2LOB2Clinician7Disc1Emp1NetProd</t>
  </si>
  <si>
    <t>calcR2LOB2Clinician8Disc1Emp1NetProd</t>
  </si>
  <si>
    <t>calcR2LOB2Clinician9Disc1Emp1NetProd</t>
  </si>
  <si>
    <t>calcR2LOB2Clinician10Disc1Emp1NetProd</t>
  </si>
  <si>
    <t>calcR2LOB2Clinician11Disc1Emp1NetProd</t>
  </si>
  <si>
    <t>calcR2LOB2Clinician12Disc1Emp1NetProd</t>
  </si>
  <si>
    <t>calcR2LOB2Clinician13Disc1Emp1NetProd</t>
  </si>
  <si>
    <t>calcR2LOB2Clinician1Disc2Emp1NetProd</t>
  </si>
  <si>
    <t>calcR2LOB2Clinician2Disc2Emp1NetProd</t>
  </si>
  <si>
    <t>calcR2LOB2Clinician3Disc2Emp1NetProd</t>
  </si>
  <si>
    <t>calcR2LOB2Clinician4Disc2Emp1NetProd</t>
  </si>
  <si>
    <t>calcR2LOB2Clinician5Disc2Emp1NetProd</t>
  </si>
  <si>
    <t>calcR2LOB2Clinician6Disc2Emp1NetProd</t>
  </si>
  <si>
    <t>calcR2LOB2Clinician7Disc2Emp1NetProd</t>
  </si>
  <si>
    <t>calcR2LOB2Clinician8Disc2Emp1NetProd</t>
  </si>
  <si>
    <t>calcR2LOB2Clinician9Disc2Emp1NetProd</t>
  </si>
  <si>
    <t>calcR2LOB2Clinician10Disc2Emp1NetProd</t>
  </si>
  <si>
    <t>calcR2LOB2Clinician11Disc2Emp1NetProd</t>
  </si>
  <si>
    <t>calcR2LOB2Clinician12Disc2Emp1NetProd</t>
  </si>
  <si>
    <t>calcR2LOB2Clinician14Disc2Emp1NetProd</t>
  </si>
  <si>
    <t>calcR2LOB2Emp1NetProduction</t>
  </si>
  <si>
    <t>calcR2LOB2Emp1PercNonSalaried</t>
  </si>
  <si>
    <t>calcR2LOB2Disc1TotalVisits</t>
  </si>
  <si>
    <t>calcR2LOB2Disc2TotalVisits</t>
  </si>
  <si>
    <t>calcR2LOB2Disc1TotalVisitsPerc</t>
  </si>
  <si>
    <t>calcR2LOB2Disc2TotalVisitsPerc</t>
  </si>
  <si>
    <t>calcR2LOB2Disc2BelowLicsenceVisits</t>
  </si>
  <si>
    <t>calcR2LOB2Clinician1Disc1Emp1OverTIme</t>
  </si>
  <si>
    <t>calcR2LOB2Clinician2Disc1Emp1OverTIme</t>
  </si>
  <si>
    <t>calcR2LOB2Clinician3Disc1Emp1OverTIme</t>
  </si>
  <si>
    <t>calcR2LOB2Clinician4Disc1Emp1OverTIme</t>
  </si>
  <si>
    <t>calcR2LOB2Clinician5Disc1Emp1OverTIme</t>
  </si>
  <si>
    <t>calcR2LOB2Clinician6Disc1Emp1OverTIme</t>
  </si>
  <si>
    <t>calcR2LOB2Clinician7Disc1Emp1OverTIme</t>
  </si>
  <si>
    <t>calcR2LOB2Clinician8Disc1Emp1OverTIme</t>
  </si>
  <si>
    <t>calcR2LOB2Clinician9Disc1Emp1OverTIme</t>
  </si>
  <si>
    <t>calcR2LOB2Clinician10Disc1Emp1OverTIme</t>
  </si>
  <si>
    <t>calcR2LOB2Clinician11Disc1Emp1OverTIme</t>
  </si>
  <si>
    <t>calcR2LOB2Clinician12Disc1Emp1OverTIme</t>
  </si>
  <si>
    <t>calcR2LOB2Clinician1Disc2Emp1OverTIme</t>
  </si>
  <si>
    <t>calcR2LOB2Clinician2Disc2Emp1OverTIme</t>
  </si>
  <si>
    <t>calcR2LOB2Clinician3Disc2Emp1OverTIme</t>
  </si>
  <si>
    <t>calcR2LOB2Clinician4Disc2Emp1OverTIme</t>
  </si>
  <si>
    <t>calcR2LOB2Clinician5Disc2Emp1OverTIme</t>
  </si>
  <si>
    <t>calcR2LOB2Clinician6Disc2Emp1OverTIme</t>
  </si>
  <si>
    <t>calcR2LOB2Clinician7Disc2Emp1OverTIme</t>
  </si>
  <si>
    <t>calcR2LOB2Clinician8Disc2Emp1OverTIme</t>
  </si>
  <si>
    <t>calcR2LOB2Clinician9Disc2Emp1OverTIme</t>
  </si>
  <si>
    <t>calcR2LOB2Clinician10Disc2Emp1OverTIme</t>
  </si>
  <si>
    <t>calcR2LOB2Clinician11Disc2Emp1OverTIme</t>
  </si>
  <si>
    <t>calcR2LOB2Clinician12Disc2Emp1OverTIme</t>
  </si>
  <si>
    <t>calcR2LOB2Clinician1Emp2BaseProd</t>
  </si>
  <si>
    <t>calcR2LOB2Clinician2Emp2BaseProd</t>
  </si>
  <si>
    <t>calcR2LOB2Clinician3Emp2BaseProd</t>
  </si>
  <si>
    <t>calcR2LOB2Clinician4Emp2BaseProd</t>
  </si>
  <si>
    <t>calcR2LOB2Clinician5Emp2BaseProd</t>
  </si>
  <si>
    <t>calcR2LOB2Clinician6Emp2BaseProd</t>
  </si>
  <si>
    <t>calcR2LOB2Clinician7Emp2BaseProd</t>
  </si>
  <si>
    <t>calcR2LOB2Clinician8Emp2BaseProd</t>
  </si>
  <si>
    <t>calcR2LOB2Clinician9Emp2BaseProd</t>
  </si>
  <si>
    <t>calcR2LOB2Clinician10Emp2BaseProd</t>
  </si>
  <si>
    <t>calcR2LOB2Clinician11Emp2BaseProd</t>
  </si>
  <si>
    <t>calcR2LOB2Clinician12Emp2BaseProd</t>
  </si>
  <si>
    <t>calcR2LOB2Clinician16Emp2BaseProd</t>
  </si>
  <si>
    <t>calcR2LOB2Emp2BaseProdCapacity</t>
  </si>
  <si>
    <t>calcR2LOB2Clinician1Emp2AllowPerc</t>
  </si>
  <si>
    <t>calcR2LOB2Clinician2Emp2AllowPerc</t>
  </si>
  <si>
    <t>calcR2LOB2Clinician3Emp2AllowPerc</t>
  </si>
  <si>
    <t>calcR2LOB2Clinician4Emp2AllowPerc</t>
  </si>
  <si>
    <t>calcR2LOB2Clinician5Emp2AllowPerc</t>
  </si>
  <si>
    <t>calcR2LOB2Clinician6Emp2AllowPerc</t>
  </si>
  <si>
    <t>calcR2LOB2Clinician7Emp2AllowPerc</t>
  </si>
  <si>
    <t>calcR2LOB2Clinician8Emp2AllowPerc</t>
  </si>
  <si>
    <t>calcR2LOB2Clinician9Emp2AllowPerc</t>
  </si>
  <si>
    <t>calcR2LOB2Clinician10Emp2AllowPerc</t>
  </si>
  <si>
    <t>calcR2LOB2Clinician11Emp2AllowPerc</t>
  </si>
  <si>
    <t>calcR2LOB2Clinician12Emp2AllowPerc</t>
  </si>
  <si>
    <t>calcR2LOB2Clinician16Emp2AllowPerc</t>
  </si>
  <si>
    <t>calcR2LOB2Clinician1Emp2AllocatedProd</t>
  </si>
  <si>
    <t>calcR2LOB2Clinician2Emp2AllocatedProd</t>
  </si>
  <si>
    <t>calcR2LOB2Clinician3Emp2AllocatedProd</t>
  </si>
  <si>
    <t>calcR2LOB2Clinician4Emp2AllocatedProd</t>
  </si>
  <si>
    <t>calcR2LOB2Clinician5Emp2AllocatedProd</t>
  </si>
  <si>
    <t>calcR2LOB2Clinician6Emp2AllocatedProd</t>
  </si>
  <si>
    <t>calcR2LOB2Clinician7Emp2AllocatedProd</t>
  </si>
  <si>
    <t>calcR2LOB2Clinician8Emp2AllocatedProd</t>
  </si>
  <si>
    <t>calcR2LOB2Clinician9Emp2AllocatedProd</t>
  </si>
  <si>
    <t>calcR2LOB2Clinician10Emp2AllocatedProd</t>
  </si>
  <si>
    <t>calcR2LOB2Clinician11Emp2AllocatedProd</t>
  </si>
  <si>
    <t>calcR2LOB2Clinician12Emp2AllocatedProd</t>
  </si>
  <si>
    <t>calcR2LOB2Clinician16Emp2AllocatedProd</t>
  </si>
  <si>
    <t>calcR2LOB2Clinician1Emp2ModifiedProd</t>
  </si>
  <si>
    <t>calcR2LOB2Clinician2Emp2ModifiedProd</t>
  </si>
  <si>
    <t>calcR2LOB2Clinician3Emp2ModifiedProd</t>
  </si>
  <si>
    <t>calcR2LOB2Clinician4Emp2ModifiedProd</t>
  </si>
  <si>
    <t>calcR2LOB2Clinician5Emp2ModifiedProd</t>
  </si>
  <si>
    <t>calcR2LOB2Clinician6Emp2ModifiedProd</t>
  </si>
  <si>
    <t>calcR2LOB2Clinician7Emp2ModifiedProd</t>
  </si>
  <si>
    <t>calcR2LOB2Clinician8Emp2ModifiedProd</t>
  </si>
  <si>
    <t>calcR2LOB2Clinician9Emp2ModifiedProd</t>
  </si>
  <si>
    <t>calcR2LOB2Clinician10Emp2ModifiedProd</t>
  </si>
  <si>
    <t>calcR2LOB2Clinician11Emp2ModifiedProd</t>
  </si>
  <si>
    <t>calcR2LOB2Clinician12Emp2ModifiedProd</t>
  </si>
  <si>
    <t>calcR2LOB2Clinician1Emp2GrossProd</t>
  </si>
  <si>
    <t>calcR2LOB2Clinician2Emp2GrossProd</t>
  </si>
  <si>
    <t>calcR2LOB2Clinician3Emp2GrossProd</t>
  </si>
  <si>
    <t>calcR2LOB2Clinician4Emp2GrossProd</t>
  </si>
  <si>
    <t>calcR2LOB2Clinician5Emp2GrossProd</t>
  </si>
  <si>
    <t>calcR2LOB2Clinician6Emp2GrossProd</t>
  </si>
  <si>
    <t>calcR2LOB2Clinician7Emp2GrossProd</t>
  </si>
  <si>
    <t>calcR2LOB2Clinician8Emp2GrossProd</t>
  </si>
  <si>
    <t>calcR2LOB2Clinician9Emp2GrossProd</t>
  </si>
  <si>
    <t>calcR2LOB2Clinician10Emp2GrossProd</t>
  </si>
  <si>
    <t>calcR2LOB2Clinician11Emp2GrossProd</t>
  </si>
  <si>
    <t>calcR2LOB2Clinician12Emp2GrossProd</t>
  </si>
  <si>
    <t>calcR2LOB2Clinician16Emp2GrossProd</t>
  </si>
  <si>
    <t>calcR2LOB2Clinician1Emp2BaseMissPerc</t>
  </si>
  <si>
    <t>calcR2LOB2Clinician2Emp2BaseMissPerc</t>
  </si>
  <si>
    <t>calcR2LOB2Clinician3Emp2BaseMissPerc</t>
  </si>
  <si>
    <t>calcR2LOB2Clinician4Emp2BaseMissPerc</t>
  </si>
  <si>
    <t>calcR2LOB2Clinician5Emp2BaseMissPerc</t>
  </si>
  <si>
    <t>calcR2LOB2Clinician6Emp2BaseMissPerc</t>
  </si>
  <si>
    <t>calcR2LOB2Clinician7Emp2BaseMissPerc</t>
  </si>
  <si>
    <t>calcR2LOB2Clinician8Emp2BaseMissPerc</t>
  </si>
  <si>
    <t>calcR2LOB2Clinician9Emp2BaseMissPerc</t>
  </si>
  <si>
    <t>calcR2LOB2Clinician10Emp2BaseMissPerc</t>
  </si>
  <si>
    <t>calcR2LOB2Clinician11Emp2BaseMissPerc</t>
  </si>
  <si>
    <t>calcR2LOB2Clinician12Emp2BaseMissPerc</t>
  </si>
  <si>
    <t>calcR2LOB2Clinician16Emp2BaseMissPerc</t>
  </si>
  <si>
    <t>calcR2LOB2Clinician1Emp2AvgMissPerc</t>
  </si>
  <si>
    <t>calcR2LOB2Clinician2Emp2AvgMissPerc</t>
  </si>
  <si>
    <t>calcR2LOB2Clinician3Emp2AvgMissPerc</t>
  </si>
  <si>
    <t>calcR2LOB2Clinician4Emp2AvgMissPerc</t>
  </si>
  <si>
    <t>calcR2LOB2Clinician5Emp2AvgMissPerc</t>
  </si>
  <si>
    <t>calcR2LOB2Clinician6Emp2AvgMissPerc</t>
  </si>
  <si>
    <t>calcR2LOB2Clinician7Emp2AvgMissPerc</t>
  </si>
  <si>
    <t>calcR2LOB2Clinician8Emp2AvgMissPerc</t>
  </si>
  <si>
    <t>calcR2LOB2Clinician9Emp2AvgMissPerc</t>
  </si>
  <si>
    <t>calcR2LOB2Clinician10Emp2AvgMissPerc</t>
  </si>
  <si>
    <t>calcR2LOB2Clinician11Emp2AvgMissPerc</t>
  </si>
  <si>
    <t>calcR2LOB2Clinician12Emp2AvgMissPerc</t>
  </si>
  <si>
    <t>calcR2LOB2Clinician16Emp2AvgMissPerc</t>
  </si>
  <si>
    <t>calcR2LOB2Clinician1Emp2MissVisits</t>
  </si>
  <si>
    <t>calcR2LOB2Clinician2Emp2MissVisits</t>
  </si>
  <si>
    <t>calcR2LOB2Clinician3Emp2MissVisits</t>
  </si>
  <si>
    <t>calcR2LOB2Clinician4Emp2MissVisits</t>
  </si>
  <si>
    <t>calcR2LOB2Clinician5Emp2MissVisits</t>
  </si>
  <si>
    <t>calcR2LOB2Clinician6Emp2MissVisits</t>
  </si>
  <si>
    <t>calcR2LOB2Clinician7Emp2MissVisits</t>
  </si>
  <si>
    <t>calcR2LOB2Clinician8Emp2MissVisits</t>
  </si>
  <si>
    <t>calcR2LOB2Clinician9Emp2MissVisits</t>
  </si>
  <si>
    <t>calcR2LOB2Clinician10Emp2MissVisits</t>
  </si>
  <si>
    <t>calcR2LOB2Clinician11Emp2MissVisits</t>
  </si>
  <si>
    <t>calcR2LOB2Clinician12Emp2MissVisits</t>
  </si>
  <si>
    <t>calcR2LOB2Clinician16Emp2MissVisits</t>
  </si>
  <si>
    <t>calcR2LOB2Clinician1Emp2NetProd</t>
  </si>
  <si>
    <t>calcR2LOB2Clinician2Emp2NetProd</t>
  </si>
  <si>
    <t>calcR2LOB2Clinician3Emp2NetProd</t>
  </si>
  <si>
    <t>calcR2LOB2Clinician4Emp2NetProd</t>
  </si>
  <si>
    <t>calcR2LOB2Clinician5Emp2NetProd</t>
  </si>
  <si>
    <t>calcR2LOB2Clinician6Emp2NetProd</t>
  </si>
  <si>
    <t>calcR2LOB2Clinician7Emp2NetProd</t>
  </si>
  <si>
    <t>calcR2LOB2Clinician8Emp2NetProd</t>
  </si>
  <si>
    <t>calcR2LOB2Clinician9Emp2NetProd</t>
  </si>
  <si>
    <t>calcR2LOB2Clinician10Emp2NetProd</t>
  </si>
  <si>
    <t>calcR2LOB2Clinician11Emp2NetProd</t>
  </si>
  <si>
    <t>calcR2LOB2Clinician12Emp2NetProd</t>
  </si>
  <si>
    <t>calcR2LOB2Clinician16Emp2NetProd</t>
  </si>
  <si>
    <t>calcR2LOB2Emp2NetProduction</t>
  </si>
  <si>
    <t>calcR2LOB2Clinician1Emp2OverTIme</t>
  </si>
  <si>
    <t>calcR2LOB2Clinician2Emp2OverTIme</t>
  </si>
  <si>
    <t>calcR2LOB2Clinician3Emp2OverTIme</t>
  </si>
  <si>
    <t>calcR2LOB2Clinician4Emp2OverTIme</t>
  </si>
  <si>
    <t>calcR2LOB2Clinician5Emp2OverTIme</t>
  </si>
  <si>
    <t>calcR2LOB2Clinician6Emp2OverTIme</t>
  </si>
  <si>
    <t>calcR2LOB2Clinician7Emp2OverTIme</t>
  </si>
  <si>
    <t>calcR2LOB2Clinician8Emp2OverTIme</t>
  </si>
  <si>
    <t>calcR2LOB2Clinician9Emp2OverTIme</t>
  </si>
  <si>
    <t>calcR2LOB2Clinician10Emp2OverTIme</t>
  </si>
  <si>
    <t>calcR2LOB2Clinician11Emp2OverTIme</t>
  </si>
  <si>
    <t>calcR2LOB2Clinician12Emp2OverTIme</t>
  </si>
  <si>
    <t>calcR2LOB2Clinician1Emp3BaseProd</t>
  </si>
  <si>
    <t>calcR2LOB2Clinician2Emp3BaseProd</t>
  </si>
  <si>
    <t>calcR2LOB2Clinician3Emp3BaseProd</t>
  </si>
  <si>
    <t>calcR2LOB2Clinician4Emp3BaseProd</t>
  </si>
  <si>
    <t>calcR2LOB2Clinician5Emp3BaseProd</t>
  </si>
  <si>
    <t>calcR2LOB2Clinician6Emp3BaseProd</t>
  </si>
  <si>
    <t>calcR2LOB2Clinician7Emp3BaseProd</t>
  </si>
  <si>
    <t>calcR2LOB2Clinician8Emp3BaseProd</t>
  </si>
  <si>
    <t>calcR2LOB2Clinician9Emp3BaseProd</t>
  </si>
  <si>
    <t>calcR2LOB2Clinician10Emp3BaseProd</t>
  </si>
  <si>
    <t>calcR2LOB2Clinician11Emp3BaseProd</t>
  </si>
  <si>
    <t>calcR2LOB2Clinician12Emp3BaseProd</t>
  </si>
  <si>
    <t>calcR2LOB2Clinician15Emp3BaseProd</t>
  </si>
  <si>
    <t>calcR2LOB2Emp3BaseProdCapacity</t>
  </si>
  <si>
    <t>calcR2LOB2Clinician1Emp3AllowPerc</t>
  </si>
  <si>
    <t>calcR2LOB2Clinician2Emp3AllowPerc</t>
  </si>
  <si>
    <t>calcR2LOB2Clinician3Emp3AllowPerc</t>
  </si>
  <si>
    <t>calcR2LOB2Clinician4Emp3AllowPerc</t>
  </si>
  <si>
    <t>calcR2LOB2Clinician5Emp3AllowPerc</t>
  </si>
  <si>
    <t>calcR2LOB2Clinician6Emp3AllowPerc</t>
  </si>
  <si>
    <t>calcR2LOB2Clinician7Emp3AllowPerc</t>
  </si>
  <si>
    <t>calcR2LOB2Clinician8Emp3AllowPerc</t>
  </si>
  <si>
    <t>calcR2LOB2Clinician9Emp3AllowPerc</t>
  </si>
  <si>
    <t>calcR2LOB2Clinician10Emp3AllowPerc</t>
  </si>
  <si>
    <t>calcR2LOB2Clinician11Emp3AllowPerc</t>
  </si>
  <si>
    <t>calcR2LOB2Clinician12Emp3AllowPerc</t>
  </si>
  <si>
    <t>calcR2LOB2Clinician15Emp3AllowPerc</t>
  </si>
  <si>
    <t>calcR2LOB2Clinician1Emp3AllocatedProd</t>
  </si>
  <si>
    <t>calcR2LOB2Clinician2Emp3AllocatedProd</t>
  </si>
  <si>
    <t>calcR2LOB2Clinician3Emp3AllocatedProd</t>
  </si>
  <si>
    <t>calcR2LOB2Clinician4Emp3AllocatedProd</t>
  </si>
  <si>
    <t>calcR2LOB2Clinician5Emp3AllocatedProd</t>
  </si>
  <si>
    <t>calcR2LOB2Clinician6Emp3AllocatedProd</t>
  </si>
  <si>
    <t>calcR2LOB2Clinician7Emp3AllocatedProd</t>
  </si>
  <si>
    <t>calcR2LOB2Clinician8Emp3AllocatedProd</t>
  </si>
  <si>
    <t>calcR2LOB2Clinician9Emp3AllocatedProd</t>
  </si>
  <si>
    <t>calcR2LOB2Clinician10Emp3AllocatedProd</t>
  </si>
  <si>
    <t>calcR2LOB2Clinician11Emp3AllocatedProd</t>
  </si>
  <si>
    <t>calcR2LOB2Clinician12Emp3AllocatedProd</t>
  </si>
  <si>
    <t>calcR2LOB2Clinician15Emp3AllocatedProd</t>
  </si>
  <si>
    <t>calcR2LOB2Clinician1Emp3ModifiedProd</t>
  </si>
  <si>
    <t>calcR2LOB2Clinician2Emp3ModifiedProd</t>
  </si>
  <si>
    <t>calcR2LOB2Clinician3Emp3ModifiedProd</t>
  </si>
  <si>
    <t>calcR2LOB2Clinician4Emp3ModifiedProd</t>
  </si>
  <si>
    <t>calcR2LOB2Clinician5Emp3ModifiedProd</t>
  </si>
  <si>
    <t>calcR2LOB2Clinician6Emp3ModifiedProd</t>
  </si>
  <si>
    <t>calcR2LOB2Clinician7Emp3ModifiedProd</t>
  </si>
  <si>
    <t>calcR2LOB2Clinician8Emp3ModifiedProd</t>
  </si>
  <si>
    <t>calcR2LOB2Clinician9Emp3ModifiedProd</t>
  </si>
  <si>
    <t>calcR2LOB2Clinician10Emp3ModifiedProd</t>
  </si>
  <si>
    <t>calcR2LOB2Clinician11Emp3ModifiedProd</t>
  </si>
  <si>
    <t>calcR2LOB2Clinician12Emp3ModifiedProd</t>
  </si>
  <si>
    <t>calcR2LOB2Clinician1Emp3GrossProd</t>
  </si>
  <si>
    <t>calcR2LOB2Clinician2Emp3GrossProd</t>
  </si>
  <si>
    <t>calcR2LOB2Clinician3Emp3GrossProd</t>
  </si>
  <si>
    <t>calcR2LOB2Clinician4Emp3GrossProd</t>
  </si>
  <si>
    <t>calcR2LOB2Clinician5Emp3GrossProd</t>
  </si>
  <si>
    <t>calcR2LOB2Clinician6Emp3GrossProd</t>
  </si>
  <si>
    <t>calcR2LOB2Clinician7Emp3GrossProd</t>
  </si>
  <si>
    <t>calcR2LOB2Clinician8Emp3GrossProd</t>
  </si>
  <si>
    <t>calcR2LOB2Clinician9Emp3GrossProd</t>
  </si>
  <si>
    <t>calcR2LOB2Clinician10Emp3GrossProd</t>
  </si>
  <si>
    <t>calcR2LOB2Clinician11Emp3GrossProd</t>
  </si>
  <si>
    <t>calcR2LOB2Clinician12Emp3GrossProd</t>
  </si>
  <si>
    <t>calcR2LOB2Clinician15Emp3GrossProd</t>
  </si>
  <si>
    <t>calcR2LOB2Clinician1Emp3BaseMissPerc</t>
  </si>
  <si>
    <t>calcR2LOB2Clinician2Emp3BaseMissPerc</t>
  </si>
  <si>
    <t>calcR2LOB2Clinician3Emp3BaseMissPerc</t>
  </si>
  <si>
    <t>calcR2LOB2Clinician4Emp3BaseMissPerc</t>
  </si>
  <si>
    <t>calcR2LOB2Clinician5Emp3BaseMissPerc</t>
  </si>
  <si>
    <t>calcR2LOB2Clinician6Emp3BaseMissPerc</t>
  </si>
  <si>
    <t>calcR2LOB2Clinician7Emp3BaseMissPerc</t>
  </si>
  <si>
    <t>calcR2LOB2Clinician8Emp3BaseMissPerc</t>
  </si>
  <si>
    <t>calcR2LOB2Clinician9Emp3BaseMissPerc</t>
  </si>
  <si>
    <t>calcR2LOB2Clinician10Emp3BaseMissPerc</t>
  </si>
  <si>
    <t>calcR2LOB2Clinician11Emp3BaseMissPerc</t>
  </si>
  <si>
    <t>calcR2LOB2Clinician12Emp3BaseMissPerc</t>
  </si>
  <si>
    <t>calcR2LOB2Clinician16Emp3BaseMissPerc</t>
  </si>
  <si>
    <t>calcR2LOB2Clinician1Emp3AvgMissPerc</t>
  </si>
  <si>
    <t>calcR2LOB2Clinician2Emp3AvgMissPerc</t>
  </si>
  <si>
    <t>calcR2LOB2Clinician3Emp3AvgMissPerc</t>
  </si>
  <si>
    <t>calcR2LOB2Clinician4Emp3AvgMissPerc</t>
  </si>
  <si>
    <t>calcR2LOB2Clinician5Emp3AvgMissPerc</t>
  </si>
  <si>
    <t>calcR2LOB2Clinician6Emp3AvgMissPerc</t>
  </si>
  <si>
    <t>calcR2LOB2Clinician7Emp3AvgMissPerc</t>
  </si>
  <si>
    <t>calcR2LOB2Clinician8Emp3AvgMissPerc</t>
  </si>
  <si>
    <t>calcR2LOB2Clinician9Emp3AvgMissPerc</t>
  </si>
  <si>
    <t>calcR2LOB2Clinician10Emp3AvgMissPerc</t>
  </si>
  <si>
    <t>calcR2LOB2Clinician11Emp3AvgMissPerc</t>
  </si>
  <si>
    <t>calcR2LOB2Clinician12Emp3AvgMissPerc</t>
  </si>
  <si>
    <t>calcR2LOB2Clinician15Emp3AvgMissPerc</t>
  </si>
  <si>
    <t>calcR2LOB2Clinician1Emp3MissVisits</t>
  </si>
  <si>
    <t>calcR2LOB2Clinician2Emp3MissVisits</t>
  </si>
  <si>
    <t>calcR2LOB2Clinician3Emp3MissVisits</t>
  </si>
  <si>
    <t>calcR2LOB2Clinician4Emp3MissVisits</t>
  </si>
  <si>
    <t>calcR2LOB2Clinician5Emp3MissVisits</t>
  </si>
  <si>
    <t>calcR2LOB2Clinician6Emp3MissVisits</t>
  </si>
  <si>
    <t>calcR2LOB2Clinician7Emp3MissVisits</t>
  </si>
  <si>
    <t>calcR2LOB2Clinician8Emp3MissVisits</t>
  </si>
  <si>
    <t>calcR2LOB2Clinician9Emp3MissVisits</t>
  </si>
  <si>
    <t>calcR2LOB2Clinician10Emp3MissVisits</t>
  </si>
  <si>
    <t>calcR2LOB2Clinician11Emp3MissVisits</t>
  </si>
  <si>
    <t>calcR2LOB2Clinician12Emp3MissVisits</t>
  </si>
  <si>
    <t>calcR2LOB2Clinician15Emp3MissVisits</t>
  </si>
  <si>
    <t>calcR2LOB2Clinician1Emp3NetProd</t>
  </si>
  <si>
    <t>calcR2LOB2Clinician2Emp3NetProd</t>
  </si>
  <si>
    <t>calcR2LOB2Clinician3Emp3NetProd</t>
  </si>
  <si>
    <t>calcR2LOB2Clinician4Emp3NetProd</t>
  </si>
  <si>
    <t>calcR2LOB2Clinician5Emp3NetProd</t>
  </si>
  <si>
    <t>calcR2LOB2Clinician6Emp3NetProd</t>
  </si>
  <si>
    <t>calcR2LOB2Clinician7Emp3NetProd</t>
  </si>
  <si>
    <t>calcR2LOB2Clinician8Emp3NetProd</t>
  </si>
  <si>
    <t>calcR2LOB2Clinician9Emp3NetProd</t>
  </si>
  <si>
    <t>calcR2LOB2Clinician10Emp3NetProd</t>
  </si>
  <si>
    <t>calcR2LOB2Clinician11Emp3NetProd</t>
  </si>
  <si>
    <t>calcR2LOB2Clinician12Emp3NetProd</t>
  </si>
  <si>
    <t>calcR2LOB2Clinician15Emp3NetProd</t>
  </si>
  <si>
    <t>calcR2LOB2Emp3NetProduction</t>
  </si>
  <si>
    <t>calcR2LOB2Clinician1Emp3OverTIme</t>
  </si>
  <si>
    <t>calcR2LOB2Clinician2Emp3OverTIme</t>
  </si>
  <si>
    <t>calcR2LOB2Clinician3Emp3OverTIme</t>
  </si>
  <si>
    <t>calcR2LOB2Clinician4Emp3OverTIme</t>
  </si>
  <si>
    <t>calcR2LOB2Clinician5Emp3OverTIme</t>
  </si>
  <si>
    <t>calcR2LOB2Clinician6Emp3OverTIme</t>
  </si>
  <si>
    <t>calcR2LOB2Clinician7Emp3OverTIme</t>
  </si>
  <si>
    <t>calcR2LOB2Clinician8Emp3OverTIme</t>
  </si>
  <si>
    <t>calcR2LOB2Clinician9Emp3OverTIme</t>
  </si>
  <si>
    <t>calcR2LOB2Clinician10Emp3OverTIme</t>
  </si>
  <si>
    <t>calcR2LOB2Clinician11Emp3OverTIme</t>
  </si>
  <si>
    <t>calcR2LOB2Clinician12Emp3OverTIme</t>
  </si>
  <si>
    <t>calcR2LOB2Clinician1BaseProd</t>
  </si>
  <si>
    <t>calcR2LOB2Clinician2BaseProd</t>
  </si>
  <si>
    <t>calcR2LOB2Clinician3BaseProd</t>
  </si>
  <si>
    <t>calcR2LOB2Clinician4BaseProd</t>
  </si>
  <si>
    <t>calcR2LOB2Clinician5BaseProd</t>
  </si>
  <si>
    <t>calcR2LOB2Clinician6BaseProd</t>
  </si>
  <si>
    <t>calcR2LOB2Clinician7BaseProd</t>
  </si>
  <si>
    <t>calcR2LOB2Clinician8BaseProd</t>
  </si>
  <si>
    <t>calcR2LOB2Clinician9BaseProd</t>
  </si>
  <si>
    <t>calcR2LOB2Clinician10BaseProd</t>
  </si>
  <si>
    <t>calcR2LOB2Clinician11BaseProd</t>
  </si>
  <si>
    <t>calcR2LOB2Clinician12BaseProd</t>
  </si>
  <si>
    <t>calcR2LOB2Clinician1AllocatedProd</t>
  </si>
  <si>
    <t>calcR2LOB2Clinician2AllocatedProd</t>
  </si>
  <si>
    <t>calcR2LOB2Clinician3AllocatedProd</t>
  </si>
  <si>
    <t>calcR2LOB2Clinician4AllocatedProd</t>
  </si>
  <si>
    <t>calcR2LOB2Clinician5AllocatedProd</t>
  </si>
  <si>
    <t>calcR2LOB2Clinician6AllocatedProd</t>
  </si>
  <si>
    <t>calcR2LOB2Clinician7AllocatedProd</t>
  </si>
  <si>
    <t>calcR2LOB2Clinician8AllocatedProd</t>
  </si>
  <si>
    <t>calcR2LOB2Clinician9AllocatedProd</t>
  </si>
  <si>
    <t>calcR2LOB2Clinician10AllocatedProd</t>
  </si>
  <si>
    <t>calcR2LOB2Clinician11AllocatedProd</t>
  </si>
  <si>
    <t>calcR2LOB2Clinician12AllocatedProd</t>
  </si>
  <si>
    <t>calcR2LOB2ClinicianAllocatedVisits</t>
  </si>
  <si>
    <t>calcR2LOB2Clinician1BaseNetProd</t>
  </si>
  <si>
    <t>calcR2LOB2Clinician2BaseNetProd</t>
  </si>
  <si>
    <t>calcR2LOB2Clinician3BaseNetProd</t>
  </si>
  <si>
    <t>calcR2LOB2Clinician4BaseNetProd</t>
  </si>
  <si>
    <t>calcR2LOB2Clinician5BaseNetProd</t>
  </si>
  <si>
    <t>calcR2LOB2Clinician6BaseNetProd</t>
  </si>
  <si>
    <t>calcR2LOB2Clinician7BaseNetProd</t>
  </si>
  <si>
    <t>calcR2LOB2Clinician8BaseNetProd</t>
  </si>
  <si>
    <t>calcR2LOB2Clinician9BaseNetProd</t>
  </si>
  <si>
    <t>calcR2LOB2Clinician10BaseNetProd</t>
  </si>
  <si>
    <t>calcR2LOB2Clinician11BaseNetProd</t>
  </si>
  <si>
    <t>calcR2LOB2Clinician12BaseNetProd</t>
  </si>
  <si>
    <t>calcR2LOB2Clinician1GrossProd</t>
  </si>
  <si>
    <t>calcR2LOB2Clinician2GrossProd</t>
  </si>
  <si>
    <t>calcR2LOB2Clinician3GrossProd</t>
  </si>
  <si>
    <t>calcR2LOB2Clinician4GrossProd</t>
  </si>
  <si>
    <t>calcR2LOB2Clinician5GrossProd</t>
  </si>
  <si>
    <t>calcR2LOB2Clinician6GrossProd</t>
  </si>
  <si>
    <t>calcR2LOB2Clinician7GrossProd</t>
  </si>
  <si>
    <t>calcR2LOB2Clinician8GrossProd</t>
  </si>
  <si>
    <t>calcR2LOB2Clinician9GrossProd</t>
  </si>
  <si>
    <t>calcR2LOB2Clinician10GrossProd</t>
  </si>
  <si>
    <t>calcR2LOB2Clinician11GrossProd</t>
  </si>
  <si>
    <t>calcR2LOB2Clinician12GrossProd</t>
  </si>
  <si>
    <t>calcR2LOB2ClinicianGrossProd</t>
  </si>
  <si>
    <t>calcR2LOB2Clinician1MissVisits</t>
  </si>
  <si>
    <t>calcR2LOB2Clinician2MissVisits</t>
  </si>
  <si>
    <t>calcR2LOB2Clinician3MissVisits</t>
  </si>
  <si>
    <t>calcR2LOB2Clinician4MissVisits</t>
  </si>
  <si>
    <t>calcR2LOB2Clinician5MissVisits</t>
  </si>
  <si>
    <t>calcR2LOB2Clinician6MissVisits</t>
  </si>
  <si>
    <t>calcR2LOB2Clinician7MissVisits</t>
  </si>
  <si>
    <t>calcR2LOB2Clinician8MissVisits</t>
  </si>
  <si>
    <t>calcR2LOB2Clinician9MissVisits</t>
  </si>
  <si>
    <t>calcR2LOB2Clinician10MissVisits</t>
  </si>
  <si>
    <t>calcR2LOB2Clinician11MissVisits</t>
  </si>
  <si>
    <t>calcR2LOB2Clinician12MissVisits</t>
  </si>
  <si>
    <t>calcR2LOB2ClinicianMissVisits</t>
  </si>
  <si>
    <t>calcR2LOB2ClinicianMissVisitsPerc</t>
  </si>
  <si>
    <t>calcR2LOB2Clinician1AvgMissPerc</t>
  </si>
  <si>
    <t>calcR2LOB2Clinician2AvgMissPerc</t>
  </si>
  <si>
    <t>calcR2LOB2Clinician3AvgMissPerc</t>
  </si>
  <si>
    <t>calcR2LOB2Clinician4AvgMissPerc</t>
  </si>
  <si>
    <t>calcR2LOB2Clinician5AvgMissPerc</t>
  </si>
  <si>
    <t>calcR2LOB2Clinician6AvgMissPerc</t>
  </si>
  <si>
    <t>calcR2LOB2Clinician7AvgMissPerc</t>
  </si>
  <si>
    <t>calcR2LOB2Clinician8AvgMissPerc</t>
  </si>
  <si>
    <t>calcR2LOB2Clinician9AvgMissPerc</t>
  </si>
  <si>
    <t>calcR2LOB2Clinician10AvgMissPerc</t>
  </si>
  <si>
    <t>calcR2LOB2Clinician11AvgMissPerc</t>
  </si>
  <si>
    <t>calcR2LOB2Clinician12AvgMissPerc</t>
  </si>
  <si>
    <t>calcR2LOB2ClinicianTotalMissPerc</t>
  </si>
  <si>
    <t>calcR2LOB2ClinicianAvgMissPerc</t>
  </si>
  <si>
    <t>calcR2LOB2Clinician1NetVisits</t>
  </si>
  <si>
    <t>calcR2LOB2Clinician2NetVisits</t>
  </si>
  <si>
    <t>calcR2LOB2Clinician3NetVisits</t>
  </si>
  <si>
    <t>calcR2LOB2Clinician4NetVisits</t>
  </si>
  <si>
    <t>calcR2LOB2Clinician5NetVisits</t>
  </si>
  <si>
    <t>calcR2LOB2Clinician6NetVisits</t>
  </si>
  <si>
    <t>calcR2LOB2Clinician7NetVisits</t>
  </si>
  <si>
    <t>calcR2LOB2Clinician8NetVisits</t>
  </si>
  <si>
    <t>calcR2LOB2Clinician9NetVisits</t>
  </si>
  <si>
    <t>calcR2LOB2Clinician10NetVisits</t>
  </si>
  <si>
    <t>calcR2LOB2Clinician11NetVisits</t>
  </si>
  <si>
    <t>calcR2LOB2Clinician12NetVisits</t>
  </si>
  <si>
    <t>calcR2LOB2ClinicianNetVisits</t>
  </si>
  <si>
    <t>calcR2LOB2Clinician1OverTime</t>
  </si>
  <si>
    <t>calcR2LOB2Clinician2OverTime</t>
  </si>
  <si>
    <t>calcR2LOB2Clinician3OverTime</t>
  </si>
  <si>
    <t>calcR2LOB2Clinician4OverTime</t>
  </si>
  <si>
    <t>calcR2LOB2Clinician5OverTime</t>
  </si>
  <si>
    <t>calcR2LOB2Clinician6OverTime</t>
  </si>
  <si>
    <t>calcR2LOB2Clinician7OverTime</t>
  </si>
  <si>
    <t>calcR2LOB2Clinician8OverTime</t>
  </si>
  <si>
    <t>calcR2LOB2Clinician9OverTime</t>
  </si>
  <si>
    <t>calcR2LOB2Clinician10OverTime</t>
  </si>
  <si>
    <t>calcR2LOB2Clinician11OverTime</t>
  </si>
  <si>
    <t>calcR2LOB2Clinician12OverTime</t>
  </si>
  <si>
    <t>calcR2LOB2ClinicianOverTime</t>
  </si>
  <si>
    <t>calcR2LOB2ClinicianOverTimePerc</t>
  </si>
  <si>
    <t>calcR2LOB2Prod1Seg1Emp1ActualVisits</t>
  </si>
  <si>
    <t>calcR2LOB2Prod1Seg2Emp1ActualVisits</t>
  </si>
  <si>
    <t>calcR2LOB2Prod1Seg3Emp1ActualVisits</t>
  </si>
  <si>
    <t>calcR2LOB2Prod2Seg1Emp1ActualVisits</t>
  </si>
  <si>
    <t>calcR2LOB2Prod2Seg2Emp1ActualVisits</t>
  </si>
  <si>
    <t>calcR2LOB2Prod2Seg3Emp1ActualVisits</t>
  </si>
  <si>
    <t>calcR2LOB2Emp1ActualVisits</t>
  </si>
  <si>
    <t>calcR2LOB2Prod1Seg1Emp2ActualVisits</t>
  </si>
  <si>
    <t>calcR2LOB2Prod1Seg2Emp2ActualVisits</t>
  </si>
  <si>
    <t>calcR2LOB2Prod1Seg3Emp2ActualVisits</t>
  </si>
  <si>
    <t>calcR2LOB2Prod2Seg1Emp2ActualVisits</t>
  </si>
  <si>
    <t>calcR2LOB2Prod2Seg2Emp2ActualVisits</t>
  </si>
  <si>
    <t>calcR2LOB2Prod2Seg3Emp2ActualVisits</t>
  </si>
  <si>
    <t>calcR2LOB2Emp2ActualVisits</t>
  </si>
  <si>
    <t>calcR2LOB2Prod1Seg1Emp3ActualVisits</t>
  </si>
  <si>
    <t>calcR2LOB2Prod1Seg2Emp3ActualVisits</t>
  </si>
  <si>
    <t>calcR2LOB2Prod1Seg3Emp3ActualVisits</t>
  </si>
  <si>
    <t>calcR2LOB2Prod2Seg1Emp3ActualVisits</t>
  </si>
  <si>
    <t>calcR2LOB2Prod2Seg2Emp3ActualVisits</t>
  </si>
  <si>
    <t>calcR2LOB2Prod2Seg3Emp3ActualVisits</t>
  </si>
  <si>
    <t>calcR2LOB2Emp3ActualVisits</t>
  </si>
  <si>
    <t>calcR2LOB2Clinician11LookupValue</t>
  </si>
  <si>
    <t>calcR2LOB2Clinician12LookupValue</t>
  </si>
  <si>
    <t>calcR2LOB2DOOBaseTime1</t>
  </si>
  <si>
    <t>calcR2LOB2DOOBaseTime2</t>
  </si>
  <si>
    <t>calcR2LOB2DOOBaseTime3</t>
  </si>
  <si>
    <t>calcR2LOB2DOOBaseTime4</t>
  </si>
  <si>
    <t>calcR2LOB2DOOBaseTime5</t>
  </si>
  <si>
    <t>calcR2LOB2DOOBaseTime6</t>
  </si>
  <si>
    <t>calcR2LOB2DOOTotalBaseTime</t>
  </si>
  <si>
    <t>calcR2LOB2DOOActionTime1</t>
  </si>
  <si>
    <t>calcR2LOB2DOOActionTime2</t>
  </si>
  <si>
    <t>calcR2LOB2DOOActionTime3</t>
  </si>
  <si>
    <t>calcR2LOB2DOOActionTime4</t>
  </si>
  <si>
    <t>calcR2LOB2DOOActionTime5</t>
  </si>
  <si>
    <t>calcR2LOB2DOOActionTime6</t>
  </si>
  <si>
    <t>calcR2LOB2DOOTotalActionTime</t>
  </si>
  <si>
    <t>calcR2LOB2DOOPlanTime1</t>
  </si>
  <si>
    <t>calcR2LOB2DOOPlanTime2</t>
  </si>
  <si>
    <t>calcR2LOB2DOOPlanTime3</t>
  </si>
  <si>
    <t>calcR2LOB2DOOPlanTime4</t>
  </si>
  <si>
    <t>calcR2LOB2DOOPlanTime5</t>
  </si>
  <si>
    <t>calcR2LOB2DOOPlanTime6</t>
  </si>
  <si>
    <t>calcR2LOB2DOOTotalPlanTime</t>
  </si>
  <si>
    <t>calcR2LOB2CSAT</t>
  </si>
  <si>
    <t>calcR2LOB2ESAT</t>
  </si>
  <si>
    <t>calcR2LOB2BDEngage</t>
  </si>
  <si>
    <t>calcR2LOB2Stars</t>
  </si>
  <si>
    <t>calcR2LOB2Disc1Retention</t>
  </si>
  <si>
    <t>calcR2LOB2Disc2Retention</t>
  </si>
  <si>
    <t>calcR2LOB2Disc3Retention</t>
  </si>
  <si>
    <t>calcR2LOB2Disc4Retention</t>
  </si>
  <si>
    <t>calcR2LOB2MeetingCount</t>
  </si>
  <si>
    <t>paramR2TimeConversion</t>
  </si>
  <si>
    <t>paramR2WorkWeeksPYear</t>
  </si>
  <si>
    <t>paramR2LOB1DOOTime1</t>
  </si>
  <si>
    <t>paramR2LOB1DOOTime2</t>
  </si>
  <si>
    <t>paramR2LOB1DOOTime3</t>
  </si>
  <si>
    <t>paramR2LOB1DOOTime4</t>
  </si>
  <si>
    <t>paramR2LOB1DOOTime5</t>
  </si>
  <si>
    <t>paramR2LOB1DOOTime6</t>
  </si>
  <si>
    <t>paramR2LOB1ReferralVolume</t>
  </si>
  <si>
    <t>paramR2LOB1ReferralSatisfaction</t>
  </si>
  <si>
    <t>paramR2LOB1BDEngagement</t>
  </si>
  <si>
    <t>paramR2LOB1EmployeeEngagement</t>
  </si>
  <si>
    <t>paramR2LOB1BDProductivity</t>
  </si>
  <si>
    <t>paramR2LOB1EmployeeProductivity</t>
  </si>
  <si>
    <t>paramR2LOB1ClnAdminTime</t>
  </si>
  <si>
    <t>paramR2LOB1Meetings</t>
  </si>
  <si>
    <t>paramR2LOB1Stars</t>
  </si>
  <si>
    <t>paramR2LOB1Disc1Meetings</t>
  </si>
  <si>
    <t>paramR2LOB1Disc2Meetings</t>
  </si>
  <si>
    <t>paramR2LOB1Disc3Meetings</t>
  </si>
  <si>
    <t>paramR2LOB1Disc4Meetings</t>
  </si>
  <si>
    <t>paramR2LOB1Disc1Missed</t>
  </si>
  <si>
    <t>paramR2LOB1Disc2Missed</t>
  </si>
  <si>
    <t>paramR2LOB1Disc3Missed</t>
  </si>
  <si>
    <t>paramR2LOB1Disc4Missed</t>
  </si>
  <si>
    <t>paramR2LOB1DOOProductivity</t>
  </si>
  <si>
    <t>paramR2LOB1Clinician1Meetings</t>
  </si>
  <si>
    <t>paramR2LOB1Clinician2Meetings</t>
  </si>
  <si>
    <t>paramR2LOB1Clinician3Meetings</t>
  </si>
  <si>
    <t>paramR2LOB1Clinician4Meetings</t>
  </si>
  <si>
    <t>paramR2LOB1Clinician5Meetings</t>
  </si>
  <si>
    <t>paramR2LOB1Clinician6Meetings</t>
  </si>
  <si>
    <t>paramR2LOB1Clinician7Meetings</t>
  </si>
  <si>
    <t>paramR2LOB1Clinician8Meetings</t>
  </si>
  <si>
    <t>paramR2LOB1Clinician9Meetings</t>
  </si>
  <si>
    <t>paramR2LOB1Clinician10Meetings</t>
  </si>
  <si>
    <t>paramR2LOB1Clinician11Meetings</t>
  </si>
  <si>
    <t>paramR2LOB1Clinician12Meetings</t>
  </si>
  <si>
    <t>paramR2LOB1Clinician1Missed</t>
  </si>
  <si>
    <t>paramR2LOB1Clinician2Missed</t>
  </si>
  <si>
    <t>paramR2LOB1Clinician3Missed</t>
  </si>
  <si>
    <t>paramR2LOB1Clinician4Missed</t>
  </si>
  <si>
    <t>paramR2LOB1Clinician5Missed</t>
  </si>
  <si>
    <t>paramR2LOB1Clinician6Missed</t>
  </si>
  <si>
    <t>paramR2LOB1Clinician7Missed</t>
  </si>
  <si>
    <t>paramR2LOB1Clinician8Missed</t>
  </si>
  <si>
    <t>paramR2LOB1Clinician9Missed</t>
  </si>
  <si>
    <t>paramR2LOB1Clinician10Missed</t>
  </si>
  <si>
    <t>paramR2LOB1Clinician11Missed</t>
  </si>
  <si>
    <t>paramR2LOB1Clinician12Missed</t>
  </si>
  <si>
    <t>paramR2LOB1ClinicianRecruitment</t>
  </si>
  <si>
    <t>paramR2LOB1Prod1Seg1RRM3</t>
  </si>
  <si>
    <t>paramR2LOB1Prod1Seg2RRM3</t>
  </si>
  <si>
    <t>paramR2LOB1Prod1Seg3RRM3</t>
  </si>
  <si>
    <t>paramR2LOB1Prod2Seg1RRM3</t>
  </si>
  <si>
    <t>paramR2LOB1Prod2Seg2RRM3</t>
  </si>
  <si>
    <t>paramR2LOB1Prod2Seg3RRM3</t>
  </si>
  <si>
    <t>paramR2LOB1Prod1Seg1RRM2</t>
  </si>
  <si>
    <t>paramR2LOB1Prod1Seg2RRM2</t>
  </si>
  <si>
    <t>paramR2LOB1Prod1Seg3RRM2</t>
  </si>
  <si>
    <t>paramR2LOB1Prod2Seg1RRM2</t>
  </si>
  <si>
    <t>paramR2LOB1Prod2Seg2RRM2</t>
  </si>
  <si>
    <t>paramR2LOB1Prod2Seg3RRM2</t>
  </si>
  <si>
    <t>paramR2LOB1Prod1Seg1RRM1</t>
  </si>
  <si>
    <t>paramR2LOB1Prod1Seg2RRM1</t>
  </si>
  <si>
    <t>paramR2LOB1Prod1Seg3RRM1</t>
  </si>
  <si>
    <t>paramR2LOB1Prod2Seg1RRM1</t>
  </si>
  <si>
    <t>paramR2LOB1Prod2Seg2RRM1</t>
  </si>
  <si>
    <t>paramR2LOB1Prod2Seg3RRM1</t>
  </si>
  <si>
    <t>paramR2LOB1Emp1VisitsPEmp</t>
  </si>
  <si>
    <t>paramR2LOB1Emp2VisitsPEmp</t>
  </si>
  <si>
    <t>paramR2LOB1Emp3VisitsPEmp</t>
  </si>
  <si>
    <t>paramR2LOB1Disc1Productivity</t>
  </si>
  <si>
    <t>paramR2LOB1Disc2Productivity</t>
  </si>
  <si>
    <t>paramR2LOB1Disc3Productivity</t>
  </si>
  <si>
    <t>paramR2LOB1Disc4Productivity</t>
  </si>
  <si>
    <t>paramR2LOB1Clinician1Mileage</t>
  </si>
  <si>
    <t>paramR2LOB1Clinician2Mileage</t>
  </si>
  <si>
    <t>paramR2LOB1Clinician3Mileage</t>
  </si>
  <si>
    <t>paramR2LOB1Clinician4Mileage</t>
  </si>
  <si>
    <t>paramR2LOB1Clinician5Mileage</t>
  </si>
  <si>
    <t>paramR2LOB1Clinician6Mileage</t>
  </si>
  <si>
    <t>paramR2LOB1Clinician7Mileage</t>
  </si>
  <si>
    <t>paramR2LOB1Clinician8Mileage</t>
  </si>
  <si>
    <t>paramR2LOB1Clinician9Mileage</t>
  </si>
  <si>
    <t>paramR2LOB1Clinician10Mileage</t>
  </si>
  <si>
    <t>paramR2LOB1Clinician11Mileage</t>
  </si>
  <si>
    <t>paramR2LOB1Clinician12Mileage</t>
  </si>
  <si>
    <t>paramR2LOB1Clinician1Admin</t>
  </si>
  <si>
    <t>paramR2LOB1Clinician2Admin</t>
  </si>
  <si>
    <t>paramR2LOB1Clinician3Admin</t>
  </si>
  <si>
    <t>paramR2LOB1Clinician4Admin</t>
  </si>
  <si>
    <t>paramR2LOB1Clinician5Admin</t>
  </si>
  <si>
    <t>paramR2LOB1Clinician6Admin</t>
  </si>
  <si>
    <t>paramR2LOB1Clinician7Admin</t>
  </si>
  <si>
    <t>paramR2LOB1Clinician8Admin</t>
  </si>
  <si>
    <t>paramR2LOB1Clinician9Admin</t>
  </si>
  <si>
    <t>paramR2LOB1Clinician10Admin</t>
  </si>
  <si>
    <t>paramR2LOB1Clinician11Admin</t>
  </si>
  <si>
    <t>paramR2LOB1Clinician12Admin</t>
  </si>
  <si>
    <t>paramR2LOB1Overhead</t>
  </si>
  <si>
    <t>paramR2LOB2DOOTime1</t>
  </si>
  <si>
    <t>paramR2LOB2DOOTime2</t>
  </si>
  <si>
    <t>paramR2LOB2DOOTime3</t>
  </si>
  <si>
    <t>paramR2LOB2DOOTime4</t>
  </si>
  <si>
    <t>paramR2LOB2DOOTime5</t>
  </si>
  <si>
    <t>paramR2LOB2DOOTime6</t>
  </si>
  <si>
    <t>paramR2LOB2ReferralVolume</t>
  </si>
  <si>
    <t>paramR2LOB2ReferralSatisfaction</t>
  </si>
  <si>
    <t>paramR2LOB2BDEngagement</t>
  </si>
  <si>
    <t>paramR2LOB2EmployeeEngagement</t>
  </si>
  <si>
    <t>paramR2LOB2BDProductivity</t>
  </si>
  <si>
    <t>paramR2LOB2EmployeeProductivity</t>
  </si>
  <si>
    <t>paramR2LOB2ClnAdminTime</t>
  </si>
  <si>
    <t>paramR2LOB2Meetings</t>
  </si>
  <si>
    <t>paramR2LOB2Stars</t>
  </si>
  <si>
    <t>paramR2LOB2Disc1Meetings</t>
  </si>
  <si>
    <t>paramR2LOB2Disc2Meetings</t>
  </si>
  <si>
    <t>paramR2LOB2Disc3Meetings</t>
  </si>
  <si>
    <t>paramR2LOB2Disc4Meetings</t>
  </si>
  <si>
    <t>paramR2LOB2Disc1Missed</t>
  </si>
  <si>
    <t>paramR2LOB2Disc2Missed</t>
  </si>
  <si>
    <t>paramR2LOB2Disc3Missed</t>
  </si>
  <si>
    <t>paramR2LOB2Disc4Missed</t>
  </si>
  <si>
    <t>paramR2LOB2DOOProductivity</t>
  </si>
  <si>
    <t>paramR2LOB2Clinician1Meetings</t>
  </si>
  <si>
    <t>paramR2LOB2Clinician2Meetings</t>
  </si>
  <si>
    <t>paramR2LOB2Clinician3Meetings</t>
  </si>
  <si>
    <t>paramR2LOB2Clinician4Meetings</t>
  </si>
  <si>
    <t>paramR2LOB2Clinician5Meetings</t>
  </si>
  <si>
    <t>paramR2LOB2Clinician6Meetings</t>
  </si>
  <si>
    <t>paramR2LOB2Clinician7Meetings</t>
  </si>
  <si>
    <t>paramR2LOB2Clinician8Meetings</t>
  </si>
  <si>
    <t>paramR2LOB2Clinician9Meetings</t>
  </si>
  <si>
    <t>paramR2LOB2Clinician10Meetings</t>
  </si>
  <si>
    <t>paramR2LOB2Clinician11Meetings</t>
  </si>
  <si>
    <t>paramR2LOB2Clinician12Meetings</t>
  </si>
  <si>
    <t>paramR2LOB2Clinician1Missed</t>
  </si>
  <si>
    <t>paramR2LOB2Clinician2Missed</t>
  </si>
  <si>
    <t>paramR2LOB2Clinician3Missed</t>
  </si>
  <si>
    <t>paramR2LOB2Clinician4Missed</t>
  </si>
  <si>
    <t>paramR2LOB2Clinician5Missed</t>
  </si>
  <si>
    <t>paramR2LOB2Clinician6Missed</t>
  </si>
  <si>
    <t>paramR2LOB2Clinician7Missed</t>
  </si>
  <si>
    <t>paramR2LOB2Clinician8Missed</t>
  </si>
  <si>
    <t>paramR2LOB2Clinician9Missed</t>
  </si>
  <si>
    <t>paramR2LOB2Clinician10Missed</t>
  </si>
  <si>
    <t>paramR2LOB2Clinician11Missed</t>
  </si>
  <si>
    <t>paramR2LOB2Clinician12Missed</t>
  </si>
  <si>
    <t>paramR2LOB2ClinicianRecruitment</t>
  </si>
  <si>
    <t>paramR2LOB2Prod1Seg1RRM3</t>
  </si>
  <si>
    <t>paramR2LOB2Prod1Seg2RRM3</t>
  </si>
  <si>
    <t>paramR2LOB2Prod1Seg3RRM3</t>
  </si>
  <si>
    <t>paramR2LOB2Prod2Seg1RRM3</t>
  </si>
  <si>
    <t>paramR2LOB2Prod2Seg2RRM3</t>
  </si>
  <si>
    <t>paramR2LOB2Prod2Seg3RRM3</t>
  </si>
  <si>
    <t>paramR2LOB2Prod1Seg1RRM2</t>
  </si>
  <si>
    <t>paramR2LOB2Prod1Seg2RRM2</t>
  </si>
  <si>
    <t>paramR2LOB2Prod1Seg3RRM2</t>
  </si>
  <si>
    <t>paramR2LOB2Prod2Seg1RRM2</t>
  </si>
  <si>
    <t>paramR2LOB2Prod2Seg2RRM2</t>
  </si>
  <si>
    <t>paramR2LOB2Prod2Seg3RRM2</t>
  </si>
  <si>
    <t>paramR2LOB2Prod1Seg1RRM1</t>
  </si>
  <si>
    <t>paramR2LOB2Prod1Seg2RRM1</t>
  </si>
  <si>
    <t>paramR2LOB2Prod1Seg3RRM1</t>
  </si>
  <si>
    <t>paramR2LOB2Prod2Seg1RRM1</t>
  </si>
  <si>
    <t>paramR2LOB2Prod2Seg2RRM1</t>
  </si>
  <si>
    <t>paramR2LOB2Prod2Seg3RRM1</t>
  </si>
  <si>
    <t>paramR2LOB2Emp1VisitsPEmp</t>
  </si>
  <si>
    <t>paramR2LOB2Emp2VisitsPEmp</t>
  </si>
  <si>
    <t>paramR2LOB2Emp3VisitsPEmp</t>
  </si>
  <si>
    <t>paramR2LOB2Disc1Productivity</t>
  </si>
  <si>
    <t>paramR2LOB2Disc2Productivity</t>
  </si>
  <si>
    <t>paramR2LOB2Disc3Productivity</t>
  </si>
  <si>
    <t>paramR2LOB2Disc4Productivity</t>
  </si>
  <si>
    <t>paramR2LOB2Clinician1Mileage</t>
  </si>
  <si>
    <t>paramR2LOB2Clinician2Mileage</t>
  </si>
  <si>
    <t>paramR2LOB2Clinician3Mileage</t>
  </si>
  <si>
    <t>paramR2LOB2Clinician4Mileage</t>
  </si>
  <si>
    <t>paramR2LOB2Clinician5Mileage</t>
  </si>
  <si>
    <t>paramR2LOB2Clinician6Mileage</t>
  </si>
  <si>
    <t>paramR2LOB2Clinician7Mileage</t>
  </si>
  <si>
    <t>paramR2LOB2Clinician8Mileage</t>
  </si>
  <si>
    <t>paramR2LOB2Clinician9Mileage</t>
  </si>
  <si>
    <t>paramR2LOB2Clinician10Mileage</t>
  </si>
  <si>
    <t>paramR2LOB2Clinician11Mileage</t>
  </si>
  <si>
    <t>paramR2LOB2Clinician12Mileage</t>
  </si>
  <si>
    <t>paramR2LOB2Clinician1Admin</t>
  </si>
  <si>
    <t>paramR2LOB2Clinician2Admin</t>
  </si>
  <si>
    <t>paramR2LOB2Clinician3Admin</t>
  </si>
  <si>
    <t>paramR2LOB2Clinician4Admin</t>
  </si>
  <si>
    <t>paramR2LOB2Clinician5Admin</t>
  </si>
  <si>
    <t>paramR2LOB2Clinician6Admin</t>
  </si>
  <si>
    <t>paramR2LOB2Clinician7Admin</t>
  </si>
  <si>
    <t>paramR2LOB2Clinician8Admin</t>
  </si>
  <si>
    <t>paramR2LOB2Clinician9Admin</t>
  </si>
  <si>
    <t>paramR2LOB2Clinician10Admin</t>
  </si>
  <si>
    <t>paramR2LOB2Clinician11Admin</t>
  </si>
  <si>
    <t>paramR2LOB2Clinician12Admin</t>
  </si>
  <si>
    <t>paramR2LOB2Overhead</t>
  </si>
  <si>
    <t>Score Driver</t>
  </si>
  <si>
    <t>Calculated Value</t>
  </si>
  <si>
    <t>mmR2LOB2UnitsNew</t>
  </si>
  <si>
    <t>mmR2LOB2MarketShare</t>
  </si>
  <si>
    <t>mmR2LOB1UnitsNew</t>
  </si>
  <si>
    <t>mmR2LOB1MarketShare</t>
  </si>
  <si>
    <t>finR2PNLLOB1Seg1RevPEpisode</t>
  </si>
  <si>
    <t>finR2PNLLOB1Seg2RevPEpisode</t>
  </si>
  <si>
    <t>finR2PNLLOB1Seg3RevPEpisode</t>
  </si>
  <si>
    <t>finR2PNLLOB1Prod1Seg1Rev</t>
  </si>
  <si>
    <t>finR2PNLLOB1Prod2Seg1Rev</t>
  </si>
  <si>
    <t>finR2PNLLOB1Seg1Rev</t>
  </si>
  <si>
    <t>finR2PNLLOB1Prod1Seg2Rev</t>
  </si>
  <si>
    <t>finR2PNLLOB1Prod2Seg2Rev</t>
  </si>
  <si>
    <t>finR2PNLLOB1Seg2Rev</t>
  </si>
  <si>
    <t>finR2PNLLOB1Prod1Seg3Rev</t>
  </si>
  <si>
    <t>finR2PNLLOB1Prod2Seg3Rev</t>
  </si>
  <si>
    <t>finR2PNLLOB1Seg3Rev</t>
  </si>
  <si>
    <t>finR2PNLLOB1Rev</t>
  </si>
  <si>
    <t>finR2PNLLOB1Emp1Cost</t>
  </si>
  <si>
    <t>finR2PNLLOB1Emp2Cost</t>
  </si>
  <si>
    <t>finR2PNLLOB1Emp3Cost</t>
  </si>
  <si>
    <t>finR2PNLLOB1ServiceCost</t>
  </si>
  <si>
    <t>finR2PNLLOB1GrossProfit</t>
  </si>
  <si>
    <t>finR2PNLLOB1GrossMargin</t>
  </si>
  <si>
    <t>finR2PNLLOB1FullEmpOverhead</t>
  </si>
  <si>
    <t>finR2PNLLOB1PartEmpOverhead</t>
  </si>
  <si>
    <t>finR2PNLLOB1EmpOverhead</t>
  </si>
  <si>
    <t>finR2PNLLOB1OpProfit</t>
  </si>
  <si>
    <t>finR2PNLLOB1OpMargin</t>
  </si>
  <si>
    <t>finR2PNLLOB2Seg1RevPEpisode</t>
  </si>
  <si>
    <t>finR2PNLLOB2Seg2RevPEpisode</t>
  </si>
  <si>
    <t>finR2PNLLOB2Seg3RevPEpisode</t>
  </si>
  <si>
    <t>finR2PNLLOB2Prod1Seg1Rev</t>
  </si>
  <si>
    <t>finR2PNLLOB2Prod2Seg1Rev</t>
  </si>
  <si>
    <t>finR2PNLLOB2Seg1Rev</t>
  </si>
  <si>
    <t>finR2PNLLOB2Prod1Seg2Rev</t>
  </si>
  <si>
    <t>finR2PNLLOB2Prod2Seg2Rev</t>
  </si>
  <si>
    <t>finR2PNLLOB2Seg2Rev</t>
  </si>
  <si>
    <t>finR2PNLLOB2Prod1Seg3Rev</t>
  </si>
  <si>
    <t>finR2PNLLOB2Prod2Seg3Rev</t>
  </si>
  <si>
    <t>finR2PNLLOB2Seg3Rev</t>
  </si>
  <si>
    <t>finR2PNLLOB2Rev</t>
  </si>
  <si>
    <t>finR2PNLLOB2Emp1Cost</t>
  </si>
  <si>
    <t>finR2PNLLOB2Emp2Cost</t>
  </si>
  <si>
    <t>finR2PNLLOB2Emp3Cost</t>
  </si>
  <si>
    <t>finR2PNLLOB2ServiceCost</t>
  </si>
  <si>
    <t>finR2PNLLOB2GrossProfit</t>
  </si>
  <si>
    <t>finR2PNLLOB2GrossMargin</t>
  </si>
  <si>
    <t>finR2PNLLOB2FullEmpOverhead</t>
  </si>
  <si>
    <t>finR2PNLLOB2PartEmpOverhead</t>
  </si>
  <si>
    <t>finR2PNLLOB2EmpOverhead</t>
  </si>
  <si>
    <t>finR2PNLLOB2OpProfit</t>
  </si>
  <si>
    <t>finR2PNLLOB2OpMargin</t>
  </si>
  <si>
    <t>finR2PNLSeg1Rev</t>
  </si>
  <si>
    <t>finR2PNLSeg2Rev</t>
  </si>
  <si>
    <t>finR2PNLSeg3Rev</t>
  </si>
  <si>
    <t>finR2PNLRev</t>
  </si>
  <si>
    <t>finR2PNLEmp1Cost</t>
  </si>
  <si>
    <t>finR2PNLEmp2Cost</t>
  </si>
  <si>
    <t>finR2PNLEmp3Cost</t>
  </si>
  <si>
    <t>finR2PNLServiceCost</t>
  </si>
  <si>
    <t>finR2PNLGrossProfit</t>
  </si>
  <si>
    <t>finR2PNLGrossMargin</t>
  </si>
  <si>
    <t>finR2PNLFullEmpOverhead</t>
  </si>
  <si>
    <t>finR2PNLPartEmpOverhead</t>
  </si>
  <si>
    <t>finR2PNLEmpOverhead</t>
  </si>
  <si>
    <t>finR2PNLOpProfit</t>
  </si>
  <si>
    <t>finR2PNLOpMargin</t>
  </si>
  <si>
    <t>calcR2LOB1FullEmp</t>
  </si>
  <si>
    <t>calcR2LOB1PartEmp</t>
  </si>
  <si>
    <t>calcR2LOB2FullEmp</t>
  </si>
  <si>
    <t>calcR2LOB2PartEmp</t>
  </si>
  <si>
    <t>calcR2LOB1Emp1Utilization</t>
  </si>
  <si>
    <t>calcR2LOB1Emp2Utilization</t>
  </si>
  <si>
    <t>calcR2LOB1Emp3Utilization</t>
  </si>
  <si>
    <t>Below Licence</t>
  </si>
  <si>
    <t>calcR2LOB2Emp1Utilization</t>
  </si>
  <si>
    <t>calcR2LOB2Emp2Utilization</t>
  </si>
  <si>
    <t>calcR2LOB2Emp3Utilization</t>
  </si>
  <si>
    <t>tlOutputfinR2LOB1Seg1Rev_R2</t>
  </si>
  <si>
    <t>tlOutputfinR2LOB2Seg1Rev_R2</t>
  </si>
  <si>
    <t>tlOutputfinR2LOB1Seg2Rev_R2</t>
  </si>
  <si>
    <t>tlOutputfinR2LOB2Seg2Rev_R2</t>
  </si>
  <si>
    <t>tlOutputfinR2LOB1Seg3Rev_R2</t>
  </si>
  <si>
    <t>tlOutputfinR2LOB2Seg3Rev_R2</t>
  </si>
  <si>
    <t>tlOutputfinR2LOB1Rev_R2</t>
  </si>
  <si>
    <t>tlOutputfinR2LOB2Rev_R2</t>
  </si>
  <si>
    <t>tlOutputfinR2LOB1ServiceCost_R2</t>
  </si>
  <si>
    <t>tlOutputfinR2LOB2ServiceCost_R2</t>
  </si>
  <si>
    <t>tlOutputfinR2LOB1GrossMargin_R2</t>
  </si>
  <si>
    <t>tlOutputfinR2LOB2GrossMargin_R2</t>
  </si>
  <si>
    <t>tlOutputfinR2LOB1EmpOverhead_R2</t>
  </si>
  <si>
    <t>tlOutputfinR2LOB2EmpOverhead_R2</t>
  </si>
  <si>
    <t>tlOutputfinR2LOB1TotalExp_R2</t>
  </si>
  <si>
    <t>tlOutputfinR2LOB2TotalExp_R2</t>
  </si>
  <si>
    <t>tlOutputfinR2LOB1OpProfit_R2</t>
  </si>
  <si>
    <t>tlOutputfinR2LOB2OpProfit_R2</t>
  </si>
  <si>
    <t>tlOutputfinR2LOB1OpMargin_R2</t>
  </si>
  <si>
    <t>tlOutputfinR2LOB2OpMargin_R2</t>
  </si>
  <si>
    <t>tlOutputFBLOB1Seg1Rev_R2</t>
  </si>
  <si>
    <t>tlOutputFBLOB1Seg2Rev_R2</t>
  </si>
  <si>
    <t>tlOutputFBLOB1Seg3Rev_R2</t>
  </si>
  <si>
    <t>tlOutputFBLOB1RevGrowth_R2</t>
  </si>
  <si>
    <t>tlOutputFBLOB1Prod1Seg1Patients_R2</t>
  </si>
  <si>
    <t>tlOutputFBLOB1Prod2Seg1Patients_R2</t>
  </si>
  <si>
    <t>tlOutputFBLOB1Prod1Seg2Patients_R2</t>
  </si>
  <si>
    <t>tlOutputFBLOB1Prod2Seg2Patients_R2</t>
  </si>
  <si>
    <t>tlOutputFBLOB1Prod1Seg3Patients_R2</t>
  </si>
  <si>
    <t>tlOutputFBLOB1Prod2Seg3Patients_R2</t>
  </si>
  <si>
    <t>tlOutputFBLOB1AdmintPerc_R2</t>
  </si>
  <si>
    <t>tlOutputFBLOB1CSATImpact1_R2</t>
  </si>
  <si>
    <t>tlOutputFBLOB1CSATImpact2_R2</t>
  </si>
  <si>
    <t>tlOutputFBLOB1CSATImpact3_R2</t>
  </si>
  <si>
    <t>tlOutputFBLOB1CSATImpact4_R2</t>
  </si>
  <si>
    <t>tlOutputFBLOB1CSAT_R2</t>
  </si>
  <si>
    <t>tlOutputFBLOB1StarsImpact1_R2</t>
  </si>
  <si>
    <t>tlOutputFBLOB1StarsImpact2_R2</t>
  </si>
  <si>
    <t>tlOutputFBLOB1StarsImpact3_R2</t>
  </si>
  <si>
    <t>tlOutputFBLOB1StarsImpact4_R2</t>
  </si>
  <si>
    <t>tlOutputFBLOB1StarsImpact5_R2</t>
  </si>
  <si>
    <t>tlOutputFBLOB1Stars_R2</t>
  </si>
  <si>
    <t>tlOutputFBLOB1ESATImpact1_R2</t>
  </si>
  <si>
    <t>tlOutputFBLOB1ESATImpact2_R2</t>
  </si>
  <si>
    <t>tlOutputFBLOB1ESATImpact3_R2</t>
  </si>
  <si>
    <t>tlOutputFBLOB1ESAT_R2</t>
  </si>
  <si>
    <t>tlOutputFBLOB1Emp1Cost_R2</t>
  </si>
  <si>
    <t>tlOutputFBLOB1Emp2Cost_R2</t>
  </si>
  <si>
    <t>tlOutputFBLOB1Emp3Cost_R2</t>
  </si>
  <si>
    <t>tlOutputFBLOB1GrossProfit_R2</t>
  </si>
  <si>
    <t>tlOutputFBLOB1GrossMargin_R2</t>
  </si>
  <si>
    <t>tlOutputFBLOB1Emp1Capacity_R2</t>
  </si>
  <si>
    <t>tlOutputFBLOB1Emp1Visits_R2</t>
  </si>
  <si>
    <t>tlOutputFBLOB1Emp2Capacity_R2</t>
  </si>
  <si>
    <t>tlOutputFBLOB1Emp2Visits_R2</t>
  </si>
  <si>
    <t>tlOutputFBLOB1Emp3Capacity_R2</t>
  </si>
  <si>
    <t>tlOutputFBLOB1Emp3Visits_R2</t>
  </si>
  <si>
    <t>tlOutputFBLOB1CapacityPerc_R2</t>
  </si>
  <si>
    <t>tlOutputFBLOB1ServiceCost_R2</t>
  </si>
  <si>
    <t>tlOutputFBLOB1EmpOverhead_R2</t>
  </si>
  <si>
    <t>tlOutputFBLOB1OpProfit_R2</t>
  </si>
  <si>
    <t>tlOutputFBLOB1OpMargin_R2</t>
  </si>
  <si>
    <t>tlOutputFBLOB2Seg1Rev_R2</t>
  </si>
  <si>
    <t>tlOutputFBLOB2Seg2Rev_R2</t>
  </si>
  <si>
    <t>tlOutputFBLOB2Seg3Rev_R2</t>
  </si>
  <si>
    <t>tlOutputFBLOB2RevGrowth_R2</t>
  </si>
  <si>
    <t>tlOutputFBLOB2Prod1Seg1Patients_R2</t>
  </si>
  <si>
    <t>tlOutputFBLOB2Prod2Seg1Patients_R2</t>
  </si>
  <si>
    <t>tlOutputFBLOB2Prod1Seg2Patients_R2</t>
  </si>
  <si>
    <t>tlOutputFBLOB2Prod2Seg2Patients_R2</t>
  </si>
  <si>
    <t>tlOutputFBLOB2Prod1Seg3Patients_R2</t>
  </si>
  <si>
    <t>tlOutputFBLOB2Prod2Seg3Patients_R2</t>
  </si>
  <si>
    <t>tlOutputFBLOB2AdmintPerc_R2</t>
  </si>
  <si>
    <t>tlOutputFBLOB2CSATImpact1_R2</t>
  </si>
  <si>
    <t>tlOutputFBLOB2CSATImpact2_R2</t>
  </si>
  <si>
    <t>tlOutputFBLOB2CSATImpact3_R2</t>
  </si>
  <si>
    <t>tlOutputFBLOB2CSATImpact4_R2</t>
  </si>
  <si>
    <t>tlOutputFBLOB2CSAT_R2</t>
  </si>
  <si>
    <t>tlOutputFBLOB2StarsImpact1_R2</t>
  </si>
  <si>
    <t>tlOutputFBLOB2StarsImpact2_R2</t>
  </si>
  <si>
    <t>tlOutputFBLOB2StarsImpact3_R2</t>
  </si>
  <si>
    <t>tlOutputFBLOB2StarsImpact4_R2</t>
  </si>
  <si>
    <t>tlOutputFBLOB2StarsImpact5_R2</t>
  </si>
  <si>
    <t>tlOutputFBLOB2Stars_R2</t>
  </si>
  <si>
    <t>tlOutputFBLOB2ESATImpact1_R2</t>
  </si>
  <si>
    <t>tlOutputFBLOB2ESATImpact2_R2</t>
  </si>
  <si>
    <t>tlOutputFBLOB2ESATImpact3_R2</t>
  </si>
  <si>
    <t>tlOutputFBLOB2ESAT_R2</t>
  </si>
  <si>
    <t>tlOutputFBLOB2Emp1Cost_R2</t>
  </si>
  <si>
    <t>tlOutputFBLOB2Emp2Cost_R2</t>
  </si>
  <si>
    <t>tlOutputFBLOB2Emp3Cost_R2</t>
  </si>
  <si>
    <t>tlOutputFBLOB2GrossProfit_R2</t>
  </si>
  <si>
    <t>tlOutputFBLOB2GrossMargin_R2</t>
  </si>
  <si>
    <t>tlOutputFBLOB2Emp1Capacity_R2</t>
  </si>
  <si>
    <t>tlOutputFBLOB2Emp1Visits_R2</t>
  </si>
  <si>
    <t>tlOutputFBLOB2Emp2Capacity_R2</t>
  </si>
  <si>
    <t>tlOutputFBLOB2Emp2Visits_R2</t>
  </si>
  <si>
    <t>tlOutputFBLOB2Emp3Capacity_R2</t>
  </si>
  <si>
    <t>tlOutputFBLOB2Emp3Visits_R2</t>
  </si>
  <si>
    <t>tlOutputFBLOB2CapacityPerc_R2</t>
  </si>
  <si>
    <t>tlOutputFBLOB2ServiceCost_R2</t>
  </si>
  <si>
    <t>tlOutputFBLOB2EmpOverhead_R2</t>
  </si>
  <si>
    <t>tlOutputFBLOB2OpProfit_R2</t>
  </si>
  <si>
    <t>tlOutputFBLOB2OpMargin_R2</t>
  </si>
  <si>
    <t>tlOutputFBSeg1Rev_R2</t>
  </si>
  <si>
    <t>tlOutputFBSeg2Rev_R2</t>
  </si>
  <si>
    <t>tlOutputFBSeg3Rev_R2</t>
  </si>
  <si>
    <t>tlOutputFBRevGrowth_R2</t>
  </si>
  <si>
    <t>tlOutputFBProd1Seg1Patients_R2</t>
  </si>
  <si>
    <t>tlOutputFBProd2Seg1Patients_R2</t>
  </si>
  <si>
    <t>tlOutputFBProd1Seg2Patients_R2</t>
  </si>
  <si>
    <t>tlOutputFBProd2Seg2Patients_R2</t>
  </si>
  <si>
    <t>tlOutputFBProd1Seg3Patients_R2</t>
  </si>
  <si>
    <t>tlOutputFBProd2Seg3Patients_R2</t>
  </si>
  <si>
    <t>tlOutputFBAdmintPerc_R2</t>
  </si>
  <si>
    <t>tlOutputFBCSATImpact1_R2</t>
  </si>
  <si>
    <t>tlOutputFBCSATImpact2_R2</t>
  </si>
  <si>
    <t>tlOutputFBCSATImpact3_R2</t>
  </si>
  <si>
    <t>tlOutputFBCSATImpact4_R2</t>
  </si>
  <si>
    <t>tlOutputFBCSAT_R2</t>
  </si>
  <si>
    <t>tlOutputFBStarsImpact1_R2</t>
  </si>
  <si>
    <t>tlOutputFBStarsImpact2_R2</t>
  </si>
  <si>
    <t>tlOutputFBStarsImpact3_R2</t>
  </si>
  <si>
    <t>tlOutputFBStarsImpact4_R2</t>
  </si>
  <si>
    <t>tlOutputFBStarsImpact5_R2</t>
  </si>
  <si>
    <t>tlOutputFBStars_R2</t>
  </si>
  <si>
    <t>tlOutputFBESATImpact1_R2</t>
  </si>
  <si>
    <t>tlOutputFBESATImpact2_R2</t>
  </si>
  <si>
    <t>tlOutputFBESATImpact3_R2</t>
  </si>
  <si>
    <t>tlOutputFBESAT_R2</t>
  </si>
  <si>
    <t>tlOutputFBEmp1Cost_R2</t>
  </si>
  <si>
    <t>tlOutputFBEmp2Cost_R2</t>
  </si>
  <si>
    <t>tlOutputFBEmp3Cost_R2</t>
  </si>
  <si>
    <t>tlOutputFBGrossProfit_R2</t>
  </si>
  <si>
    <t>tlOutputFBGrossMargin_R2</t>
  </si>
  <si>
    <t>tlOutputFBEmp1Capacity_R2</t>
  </si>
  <si>
    <t>tlOutputFBEmp1Visits_R2</t>
  </si>
  <si>
    <t>tlOutputFBEmp2Capacity_R2</t>
  </si>
  <si>
    <t>tlOutputFBEmp2Visits_R2</t>
  </si>
  <si>
    <t>tlOutputFBEmp3Capacity_R2</t>
  </si>
  <si>
    <t>tlOutputFBEmp3Visits_R2</t>
  </si>
  <si>
    <t>tlOutputFBCapacityPerc_R2</t>
  </si>
  <si>
    <t>tlOutputFBServiceCost_R2</t>
  </si>
  <si>
    <t>tlOutputFBEmpOverhead_R2</t>
  </si>
  <si>
    <t>tlOutputFBOpProfit_R2</t>
  </si>
  <si>
    <t>tlOutputFBOpMargin_R2</t>
  </si>
  <si>
    <t>tlOutputProcessTrigger_R1</t>
  </si>
  <si>
    <t>tlOutputProcessTrigger_R2</t>
  </si>
  <si>
    <t>Simulation Analysis</t>
  </si>
  <si>
    <t xml:space="preserve">Winning Metric </t>
  </si>
  <si>
    <t xml:space="preserve">Average Winning Metric </t>
  </si>
  <si>
    <t>Rank</t>
  </si>
  <si>
    <t>Score</t>
  </si>
  <si>
    <t>Referall Satisfacation</t>
  </si>
  <si>
    <t>Employee Satisfaction</t>
  </si>
  <si>
    <t>tlOutput/tlInput</t>
  </si>
  <si>
    <t>tlOutputFBTeamName_R1</t>
  </si>
  <si>
    <t>tlOutputFBTeamName_R2</t>
  </si>
  <si>
    <t>Analysis Report</t>
  </si>
  <si>
    <t>THE LEAGUE</t>
  </si>
  <si>
    <t>Tean No.</t>
  </si>
  <si>
    <t xml:space="preserve">This Year </t>
  </si>
  <si>
    <t>Pleasentville</t>
  </si>
  <si>
    <t>DOO Adjustments</t>
  </si>
  <si>
    <t>DOO Time</t>
  </si>
  <si>
    <t>Actual</t>
  </si>
  <si>
    <t>Market Model</t>
  </si>
  <si>
    <t>mmR2LOB1Driver1Explain</t>
  </si>
  <si>
    <t>mmR2LOB1Driver2Explain</t>
  </si>
  <si>
    <t>mmR2LOB1Driver3Explain</t>
  </si>
  <si>
    <t>tlOutputmmLOB1Driver1Explain</t>
  </si>
  <si>
    <t>tlOutputmmLOB1Driver2Explain</t>
  </si>
  <si>
    <t>tlOutputmmLOB1Driver3Explain</t>
  </si>
  <si>
    <t>tlOutputmmLOB1MarketShare</t>
  </si>
  <si>
    <t>Referall Volume</t>
  </si>
  <si>
    <t>Meetings</t>
  </si>
  <si>
    <t>Meetings Text</t>
  </si>
  <si>
    <t>Weekly Productivity</t>
  </si>
  <si>
    <t>tlOutputmmLOB2Driver1Explain</t>
  </si>
  <si>
    <t>tlOutputmmLOB2Driver2Explain</t>
  </si>
  <si>
    <t>tlOutputmmLOB2Driver3Explain</t>
  </si>
  <si>
    <t>tlOutputmmLOB2MarketShare</t>
  </si>
  <si>
    <t>mmR2LOB2ImpactTable</t>
  </si>
  <si>
    <t>mmLOB1ImpactTable</t>
  </si>
  <si>
    <t>mmR2LOB1ImpactTable</t>
  </si>
  <si>
    <t>mmR2LOB2Driver1Explain</t>
  </si>
  <si>
    <t>mmR2LOB2Driver2Explain</t>
  </si>
  <si>
    <t>mmR2LOB2Driver3Explain</t>
  </si>
  <si>
    <t>New Hire</t>
  </si>
  <si>
    <t>Clinician 11 Discipline</t>
  </si>
  <si>
    <t>Clinician 12 Discipline</t>
  </si>
  <si>
    <t>mmLOB1ExplainTable</t>
  </si>
  <si>
    <t>tlOutputfinR2Seg1Rev_R2</t>
  </si>
  <si>
    <t>tlOutputfinR2Seg2Rev_R2</t>
  </si>
  <si>
    <t>tlOutputfinR2Seg3Rev_R2</t>
  </si>
  <si>
    <t>tlOutputfinR2Rev_R2</t>
  </si>
  <si>
    <t>tlOutputfinR2ServiceCost_R2</t>
  </si>
  <si>
    <t>tlOutputfinR2GrossMargin_R2</t>
  </si>
  <si>
    <t>tlOutputfinR2EmpOverhead_R2</t>
  </si>
  <si>
    <t>tlOutputfinR2TotalExp_R2</t>
  </si>
  <si>
    <t>tlOutputfinR2OpProfit_R2</t>
  </si>
  <si>
    <t>tlOutputfinR2OpMargin_R2</t>
  </si>
  <si>
    <t>Target Market Share</t>
  </si>
  <si>
    <t>tlOutputfinLOB1Seg1Rev_R2</t>
  </si>
  <si>
    <t>tlOutputfinLOB1Seg2Rev_R2</t>
  </si>
  <si>
    <t>tlOutputfinLOB1Seg3Rev_R2</t>
  </si>
  <si>
    <t>tlOutputfinLOB1Rev_R2</t>
  </si>
  <si>
    <t>tlOutputfinLOB1ServiceCost_R2</t>
  </si>
  <si>
    <t>tlOutputfinLOB1GrossMargin_R2</t>
  </si>
  <si>
    <t>tlOutputfinLOB1EmpOverhead_R2</t>
  </si>
  <si>
    <t>tlOutputfinLOB1TotalExp_R2</t>
  </si>
  <si>
    <t>tlOutputfinLOB1OpProfit_R2</t>
  </si>
  <si>
    <t>tlOutputfinLOB1OpMargin_R2</t>
  </si>
  <si>
    <t>tlOutputfinLOB2Seg1Rev_R2</t>
  </si>
  <si>
    <t>tlOutputfinLOB2Seg2Rev_R2</t>
  </si>
  <si>
    <t>tlOutputfinLOB2Seg3Rev_R2</t>
  </si>
  <si>
    <t>tlOutputfinLOB2Rev_R2</t>
  </si>
  <si>
    <t>tlOutputfinLOB2ServiceCost_R2</t>
  </si>
  <si>
    <t>tlOutputfinLOB2GrossMargin_R2</t>
  </si>
  <si>
    <t>tlOutputfinLOB2EmpOverhead_R2</t>
  </si>
  <si>
    <t>tlOutputfinLOB2TotalExp_R2</t>
  </si>
  <si>
    <t>tlOutputfinLOB2OpProfit_R2</t>
  </si>
  <si>
    <t>tlOutputfinLOB2OpMargin_R2</t>
  </si>
  <si>
    <t>Enter feedback here</t>
  </si>
  <si>
    <t>An Unhappy Clinician</t>
  </si>
  <si>
    <t>Ask Questions</t>
  </si>
  <si>
    <t>Show her you care</t>
  </si>
  <si>
    <t>Listen and Empathize</t>
  </si>
  <si>
    <t>Staff Meeting Side Tracked</t>
  </si>
  <si>
    <t>Listen and Ask Questions</t>
  </si>
  <si>
    <t>Address Concerns After Meeting</t>
  </si>
  <si>
    <t>Conncet With Your CM</t>
  </si>
  <si>
    <t>Low Office Morale</t>
  </si>
  <si>
    <t>Engage a few staff members</t>
  </si>
  <si>
    <t>Set up Office Hours</t>
  </si>
  <si>
    <t>Resolve With Team Meeting</t>
  </si>
  <si>
    <t>&lt;----- Should utilzation be based on this?</t>
  </si>
  <si>
    <t>calcR2LOB1Emp1GrossProdCapacity</t>
  </si>
  <si>
    <t>calcLOB1Emp1Work</t>
  </si>
  <si>
    <t>calcLOB1Emp2Work</t>
  </si>
  <si>
    <t>calcLOB1Emp3Work</t>
  </si>
  <si>
    <t>calcR2LOB1Emp1Work</t>
  </si>
  <si>
    <t>calcR2LOB1Emp2Work</t>
  </si>
  <si>
    <t>calcR2LOB1Emp3Work</t>
  </si>
  <si>
    <t>calcLOB2Emp1Work</t>
  </si>
  <si>
    <t>calcR2LOB2Emp1Work</t>
  </si>
  <si>
    <t>calcLOB2Emp2Work</t>
  </si>
  <si>
    <t>calcR2LOB2Emp2Work</t>
  </si>
  <si>
    <t>calcLOB2Emp3Work</t>
  </si>
  <si>
    <t>calcR2LOB2Emp3Work</t>
  </si>
  <si>
    <t>tlOutputComp1FBSeg1Rev_R1</t>
  </si>
  <si>
    <t>tlOutputComp1FBSeg2Rev_R1</t>
  </si>
  <si>
    <t>tlOutputComp1FBSeg3Rev_R1</t>
  </si>
  <si>
    <t>tlOutputComp1FBRevGrowth_R1</t>
  </si>
  <si>
    <t>tlOutputComp1FBProd1Seg1Patients_R1</t>
  </si>
  <si>
    <t>tlOutputComp1FBProd2Seg1Patients_R1</t>
  </si>
  <si>
    <t>tlOutputComp1FBProd1Seg2Patients_R1</t>
  </si>
  <si>
    <t>tlOutputComp1FBProd2Seg2Patients_R1</t>
  </si>
  <si>
    <t>tlOutputComp1FBProd1Seg3Patients_R1</t>
  </si>
  <si>
    <t>tlOutputComp1FBProd2Seg3Patients_R1</t>
  </si>
  <si>
    <t>tlOutputComp1FBAdmintPerc_R1</t>
  </si>
  <si>
    <t>tlOutputComp1FBCSATImpact1_R1</t>
  </si>
  <si>
    <t>tlOutputComp1FBCSATImpact2_R1</t>
  </si>
  <si>
    <t>tlOutputComp1FBCSATImpact3_R1</t>
  </si>
  <si>
    <t>tlOutputComp1FBCSATImpact4_R1</t>
  </si>
  <si>
    <t>tlOutputComp1FBCSAT_R1</t>
  </si>
  <si>
    <t>tlOutputComp1FBStarsImpact1_R1</t>
  </si>
  <si>
    <t>tlOutputComp1FBStarsImpact2_R1</t>
  </si>
  <si>
    <t>tlOutputComp1FBStarsImpact3_R1</t>
  </si>
  <si>
    <t>tlOutputComp1FBStarsImpact4_R1</t>
  </si>
  <si>
    <t>tlOutputComp1FBStarsImpact5_R1</t>
  </si>
  <si>
    <t>tlOutputComp1FBStars_R1</t>
  </si>
  <si>
    <t>tlOutputComp1FBESATImpact1_R1</t>
  </si>
  <si>
    <t>tlOutputComp1FBESATImpact2_R1</t>
  </si>
  <si>
    <t>tlOutputComp1FBESATImpact3_R1</t>
  </si>
  <si>
    <t>tlOutputComp1FBESAT_R1</t>
  </si>
  <si>
    <t>tlOutputComp1FBEmp1Cost_R1</t>
  </si>
  <si>
    <t>tlOutputComp1FBEmp2Cost_R1</t>
  </si>
  <si>
    <t>tlOutputComp1FBEmp3Cost_R1</t>
  </si>
  <si>
    <t>tlOutputComp1FBGrossProfit_R1</t>
  </si>
  <si>
    <t>tlOutputComp1FBGrossMargin_R1</t>
  </si>
  <si>
    <t>tlOutputComp1FBEmp1Capacity_R1</t>
  </si>
  <si>
    <t>tlOutputComp1FBEmp1Visits_R1</t>
  </si>
  <si>
    <t>tlOutputComp1FBEmp2Capacity_R1</t>
  </si>
  <si>
    <t>tlOutputComp1FBEmp2Visits_R1</t>
  </si>
  <si>
    <t>tlOutputComp1FBEmp3Capacity_R1</t>
  </si>
  <si>
    <t>tlOutputComp1FBEmp3Visits_R1</t>
  </si>
  <si>
    <t>tlOutputComp1FBCapacityPerc_R1</t>
  </si>
  <si>
    <t>tlOutputComp1FBServiceCost_R1</t>
  </si>
  <si>
    <t>tlOutputComp1FBEmpOverhead_R1</t>
  </si>
  <si>
    <t>tlOutputComp1FBOpProfit_R1</t>
  </si>
  <si>
    <t>tlOutputComp1FBOpMargin_R1</t>
  </si>
  <si>
    <t>Competitor 1 Round 2</t>
  </si>
  <si>
    <t>Competitor 1 Round 1</t>
  </si>
  <si>
    <t>tlOutputComp1FBSeg1Rev_R2</t>
  </si>
  <si>
    <t>tlOutputComp1FBSeg2Rev_R2</t>
  </si>
  <si>
    <t>tlOutputComp1FBSeg3Rev_R2</t>
  </si>
  <si>
    <t>tlOutputComp1FBRevGrowth_R2</t>
  </si>
  <si>
    <t>tlOutputComp1FBProd1Seg1Patients_R2</t>
  </si>
  <si>
    <t>tlOutputComp1FBProd2Seg1Patients_R2</t>
  </si>
  <si>
    <t>tlOutputComp1FBProd1Seg2Patients_R2</t>
  </si>
  <si>
    <t>tlOutputComp1FBProd2Seg2Patients_R2</t>
  </si>
  <si>
    <t>tlOutputComp1FBProd1Seg3Patients_R2</t>
  </si>
  <si>
    <t>tlOutputComp1FBProd2Seg3Patients_R2</t>
  </si>
  <si>
    <t>tlOutputComp1FBAdmintPerc_R2</t>
  </si>
  <si>
    <t>tlOutputComp1FBLOB1CSATImpact1_R2</t>
  </si>
  <si>
    <t>tlOutputComp1FBLOB1CSATImpact2_R2</t>
  </si>
  <si>
    <t>tlOutputComp1FBLOB1CSATImpact3_R2</t>
  </si>
  <si>
    <t>tlOutputComp1FBLOB1CSATImpact4_R2</t>
  </si>
  <si>
    <t>tlOutputComp1FBLOB1CSAT_R2</t>
  </si>
  <si>
    <t>tlOutputComp1FBLOB2CSATImpact1_R2</t>
  </si>
  <si>
    <t>tlOutputComp1FBLOB2CSATImpact2_R2</t>
  </si>
  <si>
    <t>tlOutputComp1FBLOB2CSATImpact3_R2</t>
  </si>
  <si>
    <t>tlOutputComp1FBLOB2CSATImpact4_R2</t>
  </si>
  <si>
    <t>tlOutputComp1FBLOB2CSAT_R2</t>
  </si>
  <si>
    <t>tlOutputComp1FBCSATImpact1_R2</t>
  </si>
  <si>
    <t>tlOutputComp1FBCSATImpact2_R2</t>
  </si>
  <si>
    <t>tlOutputComp1FBCSATImpact3_R2</t>
  </si>
  <si>
    <t>tlOutputComp1FBCSATImpact4_R2</t>
  </si>
  <si>
    <t>tlOutputComp1FBCSAT_R2</t>
  </si>
  <si>
    <t>tlOutputComp1FBLOB1StarsImpact1_R2</t>
  </si>
  <si>
    <t>tlOutputComp1FBLOB1StarsImpact2_R2</t>
  </si>
  <si>
    <t>tlOutputComp1FBLOB1StarsImpact3_R2</t>
  </si>
  <si>
    <t>tlOutputComp1FBLOB1StarsImpact4_R2</t>
  </si>
  <si>
    <t>tlOutputComp1FBLOB1StarsImpact5_R2</t>
  </si>
  <si>
    <t>tlOutputComp1FBLOB1Stars_R2</t>
  </si>
  <si>
    <t>tlOutputComp1FBLOB2StarsImpact1_R2</t>
  </si>
  <si>
    <t>tlOutputComp1FBLOB2StarsImpact2_R2</t>
  </si>
  <si>
    <t>tlOutputComp1FBLOB2StarsImpact3_R2</t>
  </si>
  <si>
    <t>tlOutputComp1FBLOB2StarsImpact4_R2</t>
  </si>
  <si>
    <t>tlOutputComp1FBLOB2StarsImpact5_R2</t>
  </si>
  <si>
    <t>tlOutputComp1FBLOB2Stars_R2</t>
  </si>
  <si>
    <t>tlOutputComp1FBStarsImpact1_R2</t>
  </si>
  <si>
    <t>tlOutputComp1FBStarsImpact2_R2</t>
  </si>
  <si>
    <t>tlOutputComp1FBStarsImpact3_R2</t>
  </si>
  <si>
    <t>tlOutputComp1FBStarsImpact4_R2</t>
  </si>
  <si>
    <t>tlOutputComp1FBStarsImpact5_R2</t>
  </si>
  <si>
    <t>tlOutputComp1FBStars_R2</t>
  </si>
  <si>
    <t>tlOutputComp1FBLOB1ESATImpact1_R2</t>
  </si>
  <si>
    <t>tlOutputComp1FBLOB1ESATImpact2_R2</t>
  </si>
  <si>
    <t>tlOutputComp1FBLOB1ESATImpact3_R2</t>
  </si>
  <si>
    <t>tlOutputComp1FBLOB1ESAT_R2</t>
  </si>
  <si>
    <t>tlOutputComp1FBLOB2ESATImpact1_R2</t>
  </si>
  <si>
    <t>tlOutputComp1FBLOB2ESATImpact2_R2</t>
  </si>
  <si>
    <t>tlOutputComp1FBLOB2ESATImpact3_R2</t>
  </si>
  <si>
    <t>tlOutputComp1FBLOB2ESAT_R2</t>
  </si>
  <si>
    <t>tlOutputComp1FBESATImpact1_R2</t>
  </si>
  <si>
    <t>tlOutputComp1FBESATImpact2_R2</t>
  </si>
  <si>
    <t>tlOutputComp1FBESATImpact3_R2</t>
  </si>
  <si>
    <t>tlOutputComp1FBESAT_R2</t>
  </si>
  <si>
    <t>tlOutputComp1FBEmp1Cost_R2</t>
  </si>
  <si>
    <t>tlOutputComp1FBEmp2Cost_R2</t>
  </si>
  <si>
    <t>tlOutputComp1FBEmp3Cost_R2</t>
  </si>
  <si>
    <t>tlOutputComp1FBGrossProfit_R2</t>
  </si>
  <si>
    <t>tlOutputComp1FBGrossMargin_R2</t>
  </si>
  <si>
    <t>tlOutputComp1FBEmp1Capacity_R2</t>
  </si>
  <si>
    <t>tlOutputComp1FBEmp1Visits_R2</t>
  </si>
  <si>
    <t>tlOutputComp1FBEmp2Capacity_R2</t>
  </si>
  <si>
    <t>tlOutputComp1FBEmp2Visits_R2</t>
  </si>
  <si>
    <t>tlOutputComp1FBEmp3Capacity_R2</t>
  </si>
  <si>
    <t>tlOutputComp1FBEmp3Visits_R2</t>
  </si>
  <si>
    <t>tlOutputComp1FBCapacityPerc_R2</t>
  </si>
  <si>
    <t>tlOutputComp1FBServiceCost_R2</t>
  </si>
  <si>
    <t>tlOutputComp1FBEmpOverhead_R2</t>
  </si>
  <si>
    <t>tlOutputComp1FBOpProfit_R2</t>
  </si>
  <si>
    <t>tlOutputComp1FBOpMargin_R2</t>
  </si>
  <si>
    <t>tlOutputComp1FBTeamName_R1</t>
  </si>
  <si>
    <t>tlOutputComp1FBTeamName_R2</t>
  </si>
  <si>
    <t>tlOutputComp2FBTeamName_R1</t>
  </si>
  <si>
    <t>tlOutputComp2FBTeamName_R2</t>
  </si>
  <si>
    <t>tlOutputComp2FBSeg1Rev_R1</t>
  </si>
  <si>
    <t>tlOutputComp2FBSeg1Rev_R2</t>
  </si>
  <si>
    <t>tlOutputComp2FBSeg2Rev_R1</t>
  </si>
  <si>
    <t>tlOutputComp2FBSeg2Rev_R2</t>
  </si>
  <si>
    <t>tlOutputComp2FBSeg3Rev_R1</t>
  </si>
  <si>
    <t>tlOutputComp2FBSeg3Rev_R2</t>
  </si>
  <si>
    <t>tlOutputComp2FBRevGrowth_R1</t>
  </si>
  <si>
    <t>tlOutputComp2FBRevGrowth_R2</t>
  </si>
  <si>
    <t>tlOutputComp2FBProd1Seg1Patients_R1</t>
  </si>
  <si>
    <t>tlOutputComp2FBProd1Seg1Patients_R2</t>
  </si>
  <si>
    <t>tlOutputComp2FBProd2Seg1Patients_R1</t>
  </si>
  <si>
    <t>tlOutputComp2FBProd2Seg1Patients_R2</t>
  </si>
  <si>
    <t>tlOutputComp2FBProd1Seg2Patients_R1</t>
  </si>
  <si>
    <t>tlOutputComp2FBProd1Seg2Patients_R2</t>
  </si>
  <si>
    <t>tlOutputComp2FBProd2Seg2Patients_R1</t>
  </si>
  <si>
    <t>tlOutputComp2FBProd2Seg2Patients_R2</t>
  </si>
  <si>
    <t>tlOutputComp2FBProd1Seg3Patients_R1</t>
  </si>
  <si>
    <t>tlOutputComp2FBProd1Seg3Patients_R2</t>
  </si>
  <si>
    <t>tlOutputComp2FBProd2Seg3Patients_R1</t>
  </si>
  <si>
    <t>tlOutputComp2FBProd2Seg3Patients_R2</t>
  </si>
  <si>
    <t>tlOutputComp2FBAdmintPerc_R1</t>
  </si>
  <si>
    <t>tlOutputComp2FBAdmintPerc_R2</t>
  </si>
  <si>
    <t>tlOutputComp2FBLOB1CSATImpact1_R2</t>
  </si>
  <si>
    <t>tlOutputComp2FBLOB1CSATImpact2_R2</t>
  </si>
  <si>
    <t>tlOutputComp2FBLOB1CSATImpact3_R2</t>
  </si>
  <si>
    <t>tlOutputComp2FBLOB1CSATImpact4_R2</t>
  </si>
  <si>
    <t>tlOutputComp2FBLOB1CSAT_R2</t>
  </si>
  <si>
    <t>tlOutputComp2FBLOB2CSATImpact1_R2</t>
  </si>
  <si>
    <t>tlOutputComp2FBLOB2CSATImpact2_R2</t>
  </si>
  <si>
    <t>tlOutputComp2FBLOB2CSATImpact3_R2</t>
  </si>
  <si>
    <t>tlOutputComp2FBLOB2CSATImpact4_R2</t>
  </si>
  <si>
    <t>tlOutputComp2FBLOB2CSAT_R2</t>
  </si>
  <si>
    <t>tlOutputComp2FBCSATImpact1_R1</t>
  </si>
  <si>
    <t>tlOutputComp2FBCSATImpact1_R2</t>
  </si>
  <si>
    <t>tlOutputComp2FBCSATImpact2_R1</t>
  </si>
  <si>
    <t>tlOutputComp2FBCSATImpact2_R2</t>
  </si>
  <si>
    <t>tlOutputComp2FBCSATImpact3_R1</t>
  </si>
  <si>
    <t>tlOutputComp2FBCSATImpact3_R2</t>
  </si>
  <si>
    <t>tlOutputComp2FBCSATImpact4_R1</t>
  </si>
  <si>
    <t>tlOutputComp2FBCSATImpact4_R2</t>
  </si>
  <si>
    <t>tlOutputComp2FBCSAT_R1</t>
  </si>
  <si>
    <t>tlOutputComp2FBCSAT_R2</t>
  </si>
  <si>
    <t>tlOutputComp2FBLOB1StarsImpact1_R2</t>
  </si>
  <si>
    <t>tlOutputComp2FBLOB1StarsImpact2_R2</t>
  </si>
  <si>
    <t>tlOutputComp2FBLOB1StarsImpact3_R2</t>
  </si>
  <si>
    <t>tlOutputComp2FBLOB1StarsImpact4_R2</t>
  </si>
  <si>
    <t>tlOutputComp2FBLOB1StarsImpact5_R2</t>
  </si>
  <si>
    <t>tlOutputComp2FBLOB1Stars_R2</t>
  </si>
  <si>
    <t>tlOutputComp2FBLOB2StarsImpact1_R2</t>
  </si>
  <si>
    <t>tlOutputComp2FBLOB2StarsImpact2_R2</t>
  </si>
  <si>
    <t>tlOutputComp2FBLOB2StarsImpact3_R2</t>
  </si>
  <si>
    <t>tlOutputComp2FBLOB2StarsImpact4_R2</t>
  </si>
  <si>
    <t>tlOutputComp2FBLOB2StarsImpact5_R2</t>
  </si>
  <si>
    <t>tlOutputComp2FBLOB2Stars_R2</t>
  </si>
  <si>
    <t>tlOutputComp2FBStarsImpact1_R1</t>
  </si>
  <si>
    <t>tlOutputComp2FBStarsImpact1_R2</t>
  </si>
  <si>
    <t>tlOutputComp2FBStarsImpact2_R1</t>
  </si>
  <si>
    <t>tlOutputComp2FBStarsImpact2_R2</t>
  </si>
  <si>
    <t>tlOutputComp2FBStarsImpact3_R1</t>
  </si>
  <si>
    <t>tlOutputComp2FBStarsImpact3_R2</t>
  </si>
  <si>
    <t>tlOutputComp2FBStarsImpact4_R1</t>
  </si>
  <si>
    <t>tlOutputComp2FBStarsImpact4_R2</t>
  </si>
  <si>
    <t>tlOutputComp2FBStarsImpact5_R1</t>
  </si>
  <si>
    <t>tlOutputComp2FBStarsImpact5_R2</t>
  </si>
  <si>
    <t>tlOutputComp2FBStars_R1</t>
  </si>
  <si>
    <t>tlOutputComp2FBStars_R2</t>
  </si>
  <si>
    <t>tlOutputComp2FBLOB1ESATImpact1_R2</t>
  </si>
  <si>
    <t>tlOutputComp2FBLOB1ESATImpact2_R2</t>
  </si>
  <si>
    <t>tlOutputComp2FBLOB1ESATImpact3_R2</t>
  </si>
  <si>
    <t>tlOutputComp2FBLOB1ESAT_R2</t>
  </si>
  <si>
    <t>tlOutputComp2FBLOB2ESATImpact1_R2</t>
  </si>
  <si>
    <t>tlOutputComp2FBLOB2ESATImpact2_R2</t>
  </si>
  <si>
    <t>tlOutputComp2FBLOB2ESATImpact3_R2</t>
  </si>
  <si>
    <t>tlOutputComp2FBLOB2ESAT_R2</t>
  </si>
  <si>
    <t>tlOutputComp2FBESATImpact1_R1</t>
  </si>
  <si>
    <t>tlOutputComp2FBESATImpact1_R2</t>
  </si>
  <si>
    <t>tlOutputComp2FBESATImpact2_R1</t>
  </si>
  <si>
    <t>tlOutputComp2FBESATImpact2_R2</t>
  </si>
  <si>
    <t>tlOutputComp2FBESATImpact3_R1</t>
  </si>
  <si>
    <t>tlOutputComp2FBESATImpact3_R2</t>
  </si>
  <si>
    <t>tlOutputComp2FBESAT_R1</t>
  </si>
  <si>
    <t>tlOutputComp2FBESAT_R2</t>
  </si>
  <si>
    <t>tlOutputComp2FBEmp1Cost_R1</t>
  </si>
  <si>
    <t>tlOutputComp2FBEmp1Cost_R2</t>
  </si>
  <si>
    <t>tlOutputComp2FBEmp2Cost_R1</t>
  </si>
  <si>
    <t>tlOutputComp2FBEmp2Cost_R2</t>
  </si>
  <si>
    <t>tlOutputComp2FBEmp3Cost_R1</t>
  </si>
  <si>
    <t>tlOutputComp2FBEmp3Cost_R2</t>
  </si>
  <si>
    <t>tlOutputComp2FBGrossProfit_R1</t>
  </si>
  <si>
    <t>tlOutputComp2FBGrossProfit_R2</t>
  </si>
  <si>
    <t>tlOutputComp2FBGrossMargin_R1</t>
  </si>
  <si>
    <t>tlOutputComp2FBGrossMargin_R2</t>
  </si>
  <si>
    <t>tlOutputComp2FBEmp1Capacity_R1</t>
  </si>
  <si>
    <t>tlOutputComp2FBEmp1Capacity_R2</t>
  </si>
  <si>
    <t>tlOutputComp2FBEmp1Visits_R1</t>
  </si>
  <si>
    <t>tlOutputComp2FBEmp1Visits_R2</t>
  </si>
  <si>
    <t>tlOutputComp2FBEmp2Capacity_R1</t>
  </si>
  <si>
    <t>tlOutputComp2FBEmp2Capacity_R2</t>
  </si>
  <si>
    <t>tlOutputComp2FBEmp2Visits_R1</t>
  </si>
  <si>
    <t>tlOutputComp2FBEmp2Visits_R2</t>
  </si>
  <si>
    <t>tlOutputComp2FBEmp3Capacity_R1</t>
  </si>
  <si>
    <t>tlOutputComp2FBEmp3Capacity_R2</t>
  </si>
  <si>
    <t>tlOutputComp2FBEmp3Visits_R1</t>
  </si>
  <si>
    <t>tlOutputComp2FBEmp3Visits_R2</t>
  </si>
  <si>
    <t>tlOutputComp2FBCapacityPerc_R1</t>
  </si>
  <si>
    <t>tlOutputComp2FBCapacityPerc_R2</t>
  </si>
  <si>
    <t>tlOutputComp2FBServiceCost_R1</t>
  </si>
  <si>
    <t>tlOutputComp2FBServiceCost_R2</t>
  </si>
  <si>
    <t>tlOutputComp2FBEmpOverhead_R1</t>
  </si>
  <si>
    <t>tlOutputComp2FBEmpOverhead_R2</t>
  </si>
  <si>
    <t>tlOutputComp2FBOpProfit_R1</t>
  </si>
  <si>
    <t>tlOutputComp2FBOpProfit_R2</t>
  </si>
  <si>
    <t>tlOutputComp2FBOpMargin_R1</t>
  </si>
  <si>
    <t>tlOutputComp2FBOpMargin_R2</t>
  </si>
  <si>
    <t>Competitor 2 Round 1</t>
  </si>
  <si>
    <t>Competitor 2 Round 2</t>
  </si>
  <si>
    <t>DOO Conference Invitation</t>
  </si>
  <si>
    <t>Catch up at the end of each day</t>
  </si>
  <si>
    <t>Delegate Tasks to Team Members</t>
  </si>
  <si>
    <t>Ask CM to Manage Key Tasks</t>
  </si>
  <si>
    <t>Accept the Referral</t>
  </si>
  <si>
    <t>Referral from New Hospital</t>
  </si>
  <si>
    <t>Accept the Referral and do work yourself</t>
  </si>
  <si>
    <t>Turn Down The Referral</t>
  </si>
  <si>
    <t>Non Expereinced</t>
  </si>
  <si>
    <t>Expereinced</t>
  </si>
  <si>
    <t>tlOutputLOB1Cln11NonExperienced_R1</t>
  </si>
  <si>
    <t>tlOutputLOB1Cln11NonExperienced_R2</t>
  </si>
  <si>
    <t>tlOutputLOB1Cln11Experienced_R2</t>
  </si>
  <si>
    <t>tlOutputLOB1Cln11Experienced_R1</t>
  </si>
  <si>
    <t>tlOutputLOB2Cln11NonExperienced_R1</t>
  </si>
  <si>
    <t>tlOutputLOB2Cln11Experienced_R1</t>
  </si>
  <si>
    <t>tlOutputLOB2Cln11NonExperienced_R2</t>
  </si>
  <si>
    <t>tlOutputLOB2Cln11Experienced_R2</t>
  </si>
  <si>
    <t>tlOutputfinLOB1Seg1Rev_R0</t>
  </si>
  <si>
    <t>tlOutputfinLOB2Seg1Rev_R0</t>
  </si>
  <si>
    <t>tlOutputfinSeg1Rev_R0</t>
  </si>
  <si>
    <t>tlOutputfinLOB1Seg2Rev_R0</t>
  </si>
  <si>
    <t>tlOutputfinLOB2Seg2Rev_R0</t>
  </si>
  <si>
    <t>tlOutputfinSeg2Rev_R0</t>
  </si>
  <si>
    <t>tlOutputfinLOB1Seg3Rev_R0</t>
  </si>
  <si>
    <t>tlOutputfinLOB2Seg3Rev_R0</t>
  </si>
  <si>
    <t>tlOutputfinSeg3Rev_R0</t>
  </si>
  <si>
    <t>tlOutputfinLOB1Rev_R0</t>
  </si>
  <si>
    <t>tlOutputfinLOB2Rev_R0</t>
  </si>
  <si>
    <t>tlOutputfinRev_R0</t>
  </si>
  <si>
    <t>tlOutputfinLOB1ServiceCost_R0</t>
  </si>
  <si>
    <t>tlOutputfinLOB2ServiceCost_R0</t>
  </si>
  <si>
    <t>tlOutputfinServiceCost_R0</t>
  </si>
  <si>
    <t>tlOutputfinLOB1GrossMargin_R0</t>
  </si>
  <si>
    <t>tlOutputfinLOB2GrossMargin_R0</t>
  </si>
  <si>
    <t>tlOutputfinGrossMargin_R0</t>
  </si>
  <si>
    <t>tlOutputfinLOB1EmpOverhead_R0</t>
  </si>
  <si>
    <t>tlOutputfinLOB2EmpOverhead_R0</t>
  </si>
  <si>
    <t>tlOutputfinEmpOverhead_R0</t>
  </si>
  <si>
    <t>tlOutputfinLOB1TotalExp_R0</t>
  </si>
  <si>
    <t>tlOutputfinLOB2TotalExp_R0</t>
  </si>
  <si>
    <t>tlOutputfinTotalExp_R0</t>
  </si>
  <si>
    <t>tlOutputfinLOB1OpProfit_R0</t>
  </si>
  <si>
    <t>tlOutputfinLOB2OpProfit_R0</t>
  </si>
  <si>
    <t>tlOutputfinOpProfit_R0</t>
  </si>
  <si>
    <t>tlOutputfinLOB1OpMargin_R0</t>
  </si>
  <si>
    <t>tlOutputfinLOB2OpMargin_R0</t>
  </si>
  <si>
    <t>tlOutputfinOpMargin_R0</t>
  </si>
  <si>
    <t>Corp Rev Growth</t>
  </si>
  <si>
    <t>Care Center Rev Growth</t>
  </si>
  <si>
    <t>RevGrowth</t>
  </si>
  <si>
    <t>ESAT</t>
  </si>
  <si>
    <t>CSAT</t>
  </si>
  <si>
    <t>Corp</t>
  </si>
  <si>
    <t>Care Center</t>
  </si>
  <si>
    <t>DOO People Modification</t>
  </si>
  <si>
    <t>ESAT Modification</t>
  </si>
  <si>
    <t>calcLOB1DOOStaffModImpact</t>
  </si>
  <si>
    <t>calcR2LOB1DOOStaffModImpact</t>
  </si>
  <si>
    <t>DOO Staff Modification</t>
  </si>
  <si>
    <t>calcLOB2DOOStaffModImpact</t>
  </si>
  <si>
    <t>calcR2LOB2DOOStaffModImpact</t>
  </si>
  <si>
    <t>tlOutputFBLOB1ESATImpact4_R1</t>
  </si>
  <si>
    <t>tlOutputFBLOB1ESATImpact4_R2</t>
  </si>
  <si>
    <t>tlOutputComp1FBESATImpact4_R1</t>
  </si>
  <si>
    <t>tlOutputComp1FBESATImpact4_R2</t>
  </si>
  <si>
    <t>tlOutputComp2FBESATImpact4_R1</t>
  </si>
  <si>
    <t>tlOutputComp2FBESATImpact4_R2</t>
  </si>
  <si>
    <t>tlOutputFBLOB2ESATImpact4_R1</t>
  </si>
  <si>
    <t>tlOutputFBLOB2ESATImpact4_R2</t>
  </si>
  <si>
    <t>tlOutputFBESATImpact4_R1</t>
  </si>
  <si>
    <t>tlOutputFBESATImpact4_R2</t>
  </si>
  <si>
    <t>tlOutputDBLOB1RevGrowth_R0</t>
  </si>
  <si>
    <t>tlOutputDBLOB1NIFO_R0</t>
  </si>
  <si>
    <t>tlOutputDBLOB1Stars_R0</t>
  </si>
  <si>
    <t>tlOutputDBLOB1ESAT_R0</t>
  </si>
  <si>
    <t>tlOutputDBLOB1CSAT_R0</t>
  </si>
  <si>
    <t>tlOutputDBLOB1Emp1Util_R0</t>
  </si>
  <si>
    <t>tlOutputDBLOB2RevGrowth_R0</t>
  </si>
  <si>
    <t>tlOutputDBLOB2NIFO_R0</t>
  </si>
  <si>
    <t>tlOutputDBLOB2Stars_R0</t>
  </si>
  <si>
    <t>tlOutputDBLOB2ESAT_R0</t>
  </si>
  <si>
    <t>tlOutputDBLOB2CSAT_R0</t>
  </si>
  <si>
    <t>tlOutputDBLOB2Emp1Util_R0</t>
  </si>
  <si>
    <t>tlOutputDBRevGrowth_R0</t>
  </si>
  <si>
    <t>tlOutputDBNIFO_R0</t>
  </si>
  <si>
    <t>tlOutputDBStars_R0</t>
  </si>
  <si>
    <t>tlOutputDBESAT_R0</t>
  </si>
  <si>
    <t>tlOutputDBCSAT_R0</t>
  </si>
  <si>
    <t>Number of Employees</t>
  </si>
  <si>
    <t>obalLOB1NumProdClinician13</t>
  </si>
  <si>
    <t>obalLOB1NumProdClinician14</t>
  </si>
  <si>
    <t>obalLOB1NumProdClinician15</t>
  </si>
  <si>
    <t>obalLOB1NumProdClinician16</t>
  </si>
  <si>
    <t>cbalLOB1NumProdClinician13</t>
  </si>
  <si>
    <t>cbalLOB1NumProdClinician14</t>
  </si>
  <si>
    <t>cbalLOB1NumProdClinician15</t>
  </si>
  <si>
    <t>cbalLOB1NumProdClinician16</t>
  </si>
  <si>
    <t>obalR2LOB1NumProdClinician13</t>
  </si>
  <si>
    <t>obalR2LOB1NumProdClinician14</t>
  </si>
  <si>
    <t>obalR2LOB1NumProdClinician15</t>
  </si>
  <si>
    <t>obalR2LOB1NumProdClinician16</t>
  </si>
  <si>
    <t>cbalR2LOB1NumProdClinician13</t>
  </si>
  <si>
    <t>cbalR2LOB1NumProdClinician14</t>
  </si>
  <si>
    <t>cbalR2LOB1NumProdClinician15</t>
  </si>
  <si>
    <t>cbalR2LOB1NumProdClinician16</t>
  </si>
  <si>
    <t>obalLOB1BaseProdClinician13</t>
  </si>
  <si>
    <t>obalLOB1BaseProdClinician14</t>
  </si>
  <si>
    <t>obalLOB1BaseProdClinician15</t>
  </si>
  <si>
    <t>obalLOB1BaseProdClinician16</t>
  </si>
  <si>
    <t>obalR2LOB1BaseProdClinician13</t>
  </si>
  <si>
    <t>obalR2LOB1BaseProdClinician14</t>
  </si>
  <si>
    <t>obalR2LOB1BaseProdClinician15</t>
  </si>
  <si>
    <t>obalR2LOB1BaseProdClinician16</t>
  </si>
  <si>
    <t>cbalLOB1BaseProdClinician13</t>
  </si>
  <si>
    <t>cbalLOB1BaseProdClinician14</t>
  </si>
  <si>
    <t>cbalLOB1BaseProdClinician15</t>
  </si>
  <si>
    <t>cbalLOB1BaseProdClinician16</t>
  </si>
  <si>
    <t>cbalR2LOB1BaseProdClinician13</t>
  </si>
  <si>
    <t>cbalR2LOB1BaseProdClinician14</t>
  </si>
  <si>
    <t>cbalR2LOB1BaseProdClinician15</t>
  </si>
  <si>
    <t>cbalR2LOB1BaseProdClinician16</t>
  </si>
  <si>
    <t>calcLOB1Disc1EmpCount</t>
  </si>
  <si>
    <t>calcLOB1Disc2EmpCount</t>
  </si>
  <si>
    <t>calcLOB1Disc3EmpCount</t>
  </si>
  <si>
    <t>calcLOB1Disc4EmpCount</t>
  </si>
  <si>
    <t>calcR2LOB1Disc1EmpCount</t>
  </si>
  <si>
    <t>calcR2LOB1Disc2EmpCount</t>
  </si>
  <si>
    <t>calcR2LOB1Disc3EmpCount</t>
  </si>
  <si>
    <t>calcR2LOB1Disc4EmpCount</t>
  </si>
  <si>
    <t>obalLOB2NumProdClinician13</t>
  </si>
  <si>
    <t>obalR2LOB2NumProdClinician13</t>
  </si>
  <si>
    <t>obalLOB2NumProdClinician14</t>
  </si>
  <si>
    <t>obalR2LOB2NumProdClinician14</t>
  </si>
  <si>
    <t>obalLOB2NumProdClinician15</t>
  </si>
  <si>
    <t>obalR2LOB2NumProdClinician15</t>
  </si>
  <si>
    <t>obalLOB2NumProdClinician16</t>
  </si>
  <si>
    <t>obalR2LOB2NumProdClinician16</t>
  </si>
  <si>
    <t>obalLOB2BaseProdClinician13</t>
  </si>
  <si>
    <t>obalR2LOB2BaseProdClinician13</t>
  </si>
  <si>
    <t>obalLOB2BaseProdClinician14</t>
  </si>
  <si>
    <t>obalR2LOB2BaseProdClinician14</t>
  </si>
  <si>
    <t>obalLOB2BaseProdClinician15</t>
  </si>
  <si>
    <t>obalR2LOB2BaseProdClinician15</t>
  </si>
  <si>
    <t>obalLOB2BaseProdClinician16</t>
  </si>
  <si>
    <t>obalR2LOB2BaseProdClinician16</t>
  </si>
  <si>
    <t>cbalLOB2NumProdClinician13</t>
  </si>
  <si>
    <t>cbalR2LOB2NumProdClinician13</t>
  </si>
  <si>
    <t>cbalLOB2NumProdClinician14</t>
  </si>
  <si>
    <t>cbalR2LOB2NumProdClinician14</t>
  </si>
  <si>
    <t>cbalLOB2NumProdClinician15</t>
  </si>
  <si>
    <t>cbalR2LOB2NumProdClinician15</t>
  </si>
  <si>
    <t>cbalLOB2NumProdClinician16</t>
  </si>
  <si>
    <t>cbalR2LOB2NumProdClinician16</t>
  </si>
  <si>
    <t>cbalLOB2BaseProdClinician13</t>
  </si>
  <si>
    <t>cbalR2LOB2BaseProdClinician13</t>
  </si>
  <si>
    <t>cbalLOB2BaseProdClinician14</t>
  </si>
  <si>
    <t>cbalR2LOB2BaseProdClinician14</t>
  </si>
  <si>
    <t>cbalLOB2BaseProdClinician15</t>
  </si>
  <si>
    <t>cbalR2LOB2BaseProdClinician15</t>
  </si>
  <si>
    <t>cbalLOB2BaseProdClinician16</t>
  </si>
  <si>
    <t>cbalR2LOB2BaseProdClinician16</t>
  </si>
  <si>
    <t>calcLOB2Disc1EmpCount</t>
  </si>
  <si>
    <t>calcR2LOB2Disc1EmpCount</t>
  </si>
  <si>
    <t>calcLOB2Disc2EmpCount</t>
  </si>
  <si>
    <t>calcR2LOB2Disc2EmpCount</t>
  </si>
  <si>
    <t>calcLOB2Disc3EmpCount</t>
  </si>
  <si>
    <t>calcR2LOB2Disc3EmpCount</t>
  </si>
  <si>
    <t>calcLOB2Disc4EmpCount</t>
  </si>
  <si>
    <t>calcR2LOB2Disc4EmpCount</t>
  </si>
  <si>
    <t>calcLOB2Emp1Count</t>
  </si>
  <si>
    <t>calcR2LOB2Emp1Count</t>
  </si>
  <si>
    <t>calcLOB1Emp1Count</t>
  </si>
  <si>
    <t>calcR2LOB1Emp1Count</t>
  </si>
  <si>
    <t>Avg Allocated</t>
  </si>
  <si>
    <t>calcLOB1Emp1AllocatedProd</t>
  </si>
  <si>
    <t>calcR2LOB1Emp1AllocatedProd</t>
  </si>
  <si>
    <t>calcLOB1Emp2AllocatedProd</t>
  </si>
  <si>
    <t>calcR2LOB1Emp2AllocatedProd</t>
  </si>
  <si>
    <t>calcLOB1Emp3AllocatedProd</t>
  </si>
  <si>
    <t>calcR2LOB1Emp3AllocatedProd</t>
  </si>
  <si>
    <t>Avg Production</t>
  </si>
  <si>
    <t>calcLOB1Emp1GrossProdCapacity</t>
  </si>
  <si>
    <t>calcLOB1Emp2GrossProdCapacity</t>
  </si>
  <si>
    <t>calcR2LOB1Emp2GrossProdCapacity</t>
  </si>
  <si>
    <t>calcLOB1Emp3GrossProdCapacity</t>
  </si>
  <si>
    <t>calcR2LOB1Emp3GrossProdCapacity</t>
  </si>
  <si>
    <t>calcLOB2Emp1AllocatedProd</t>
  </si>
  <si>
    <t>calcR2LOB2Emp1AllocatedProd</t>
  </si>
  <si>
    <t>calcLOB2Emp1GrossProdCapacity</t>
  </si>
  <si>
    <t>calcR2LOB2Emp1GrossProdCapacity</t>
  </si>
  <si>
    <t>calcLOB2Emp2AllocatedProd</t>
  </si>
  <si>
    <t>calcR2LOB2Emp2AllocatedProd</t>
  </si>
  <si>
    <t>calcLOB2Emp3AllocatedProd</t>
  </si>
  <si>
    <t>calcR2LOB2Emp3AllocatedProd</t>
  </si>
  <si>
    <t>calcLOB2Emp2GrossProdCapacity</t>
  </si>
  <si>
    <t>calcR2LOB2Emp2GrossProdCapacity</t>
  </si>
  <si>
    <t>calcLOB2Emp3GrossProdCapacity</t>
  </si>
  <si>
    <t>calcR2LOB2Emp3GrossProdCapacity</t>
  </si>
  <si>
    <t>tlInputSubmitted_R1</t>
  </si>
  <si>
    <t>tlInputSubmitted_R2</t>
  </si>
  <si>
    <t>Average Utilization</t>
  </si>
  <si>
    <t>calcLOB1AvgUtilization</t>
  </si>
  <si>
    <t>calcR2LOB1AvgUtilization</t>
  </si>
  <si>
    <t>calcLOB2AvgUtilization</t>
  </si>
  <si>
    <t>calcR2LOB2AvgUtilization</t>
  </si>
  <si>
    <t>Clinician Utilization</t>
  </si>
  <si>
    <t>obalLOB1AvgUtilization</t>
  </si>
  <si>
    <t>obalR2LOB1AvgUtilization</t>
  </si>
  <si>
    <t>obalLOB2AvgUtilization</t>
  </si>
  <si>
    <t>obalR2LOB2AvgUtilization</t>
  </si>
  <si>
    <t>cbalLOB1AvgUtilization</t>
  </si>
  <si>
    <t>cbalR2LOB1AvgUtilization</t>
  </si>
  <si>
    <t>cbalLOB2AvgUtilization</t>
  </si>
  <si>
    <t>cbalR2LOB2AvgUtilization</t>
  </si>
  <si>
    <t xml:space="preserve">Clinical Utilzation </t>
  </si>
  <si>
    <t>tlOutputLOB1Emp1Total_R1</t>
  </si>
  <si>
    <t>tlOutputLOB1Emp2Total_R1</t>
  </si>
  <si>
    <t>tlOutputLOB1Emp3Total_R1</t>
  </si>
  <si>
    <t>tlOutputLOB1Emp1AvgAlloMeet_R1</t>
  </si>
  <si>
    <t>tlOutputLOB1Emp2AvgAlloMeet_R1</t>
  </si>
  <si>
    <t>tlOutputLOB1Emp3AvgAlloMeet_R1</t>
  </si>
  <si>
    <t>tlOutputLOB1Emp1AvgCapacity_R1</t>
  </si>
  <si>
    <t>tlOutputLOB1Emp2AvgCapacity_R1</t>
  </si>
  <si>
    <t>tlOutputLOB1Emp3AvgCapacity_R1</t>
  </si>
  <si>
    <t>tlOutputLOB1Emp1Total_R2</t>
  </si>
  <si>
    <t>tlOutputLOB1Emp2Total_R2</t>
  </si>
  <si>
    <t>tlOutputLOB1Emp3Total_R2</t>
  </si>
  <si>
    <t>tlOutputLOB1Emp1AvgAlloMeet_R2</t>
  </si>
  <si>
    <t>tlOutputLOB1Emp2AvgAlloMeet_R2</t>
  </si>
  <si>
    <t>tlOutputLOB1Emp3AvgAlloMeet_R2</t>
  </si>
  <si>
    <t>tlOutputLOB1Emp1AvgCapacity_R2</t>
  </si>
  <si>
    <t>tlOutputLOB1Emp2AvgCapacity_R2</t>
  </si>
  <si>
    <t>tlOutputLOB1Emp3AvgCapacity_R2</t>
  </si>
  <si>
    <t>tlOutputLOB2Emp1Total_R1</t>
  </si>
  <si>
    <t>tlOutputLOB2Emp1AvgAlloMeet_R1</t>
  </si>
  <si>
    <t>tlOutputLOB2Emp1AvgCapacity_R1</t>
  </si>
  <si>
    <t>tlOutputLOB2Emp2Total_R1</t>
  </si>
  <si>
    <t>tlOutputLOB2Emp2AvgAlloMeet_R1</t>
  </si>
  <si>
    <t>tlOutputLOB2Emp2AvgCapacity_R1</t>
  </si>
  <si>
    <t>tlOutputLOB2Emp3Total_R1</t>
  </si>
  <si>
    <t>tlOutputLOB2Emp3AvgAlloMeet_R1</t>
  </si>
  <si>
    <t>tlOutputLOB2Emp3AvgCapacity_R1</t>
  </si>
  <si>
    <t>tlOutputLOB2Emp1Total_R2</t>
  </si>
  <si>
    <t>tlOutputLOB2Emp2Total_R2</t>
  </si>
  <si>
    <t>tlOutputLOB2Emp3Total_R2</t>
  </si>
  <si>
    <t>tlOutputLOB2Emp1AvgAlloMeet_R2</t>
  </si>
  <si>
    <t>tlOutputLOB2Emp2AvgAlloMeet_R2</t>
  </si>
  <si>
    <t>tlOutputLOB2Emp3AvgAlloMeet_R2</t>
  </si>
  <si>
    <t>tlOutputLOB2Emp1AvgCapacity_R2</t>
  </si>
  <si>
    <t>tlOutputLOB2Emp2AvgCapacity_R2</t>
  </si>
  <si>
    <t>tlOutputLOB2Emp3AvgCapacity_R2</t>
  </si>
  <si>
    <t>Riverside received favorable results in a recent employee engagement survey.</t>
  </si>
  <si>
    <t>Pleasantville and Riverside both struggle with relatively low NIFO.</t>
  </si>
  <si>
    <t>Pleasantville has the potential to expand rapidly.</t>
  </si>
  <si>
    <t>Pleasantville faces high turnover as a result of aggressive recruiting from competitors and low employee engagement.</t>
  </si>
  <si>
    <t>calcLOB1Prod1Seg1RunRateMM</t>
  </si>
  <si>
    <t>calcLOB1Prod1Seg2RunRateMM</t>
  </si>
  <si>
    <t>calcLOB1Prod1Seg3RunRateMM</t>
  </si>
  <si>
    <t>calcLOB1Prod2Seg1RunRateMM</t>
  </si>
  <si>
    <t>calcLOB1Prod2Seg2RunRateMM</t>
  </si>
  <si>
    <t>calcLOB1Prod2Seg3RunRateMM</t>
  </si>
  <si>
    <t>calcLOB1RunRateMM</t>
  </si>
  <si>
    <t>calcR2LOB1Prod1Seg1RunRateMM</t>
  </si>
  <si>
    <t>calcR2LOB1Prod1Seg2RunRateMM</t>
  </si>
  <si>
    <t>calcR2LOB1Prod1Seg3RunRateMM</t>
  </si>
  <si>
    <t>calcR2LOB1Prod2Seg1RunRateMM</t>
  </si>
  <si>
    <t>calcR2LOB1Prod2Seg2RunRateMM</t>
  </si>
  <si>
    <t>calcR2LOB1Prod2Seg3RunRateMM</t>
  </si>
  <si>
    <t>calcR2LOB1RunRateMM</t>
  </si>
  <si>
    <t>calcLOB1Prod1Seg1BudgetMM</t>
  </si>
  <si>
    <t>calcR2LOB1Prod1Seg1BudgetMM</t>
  </si>
  <si>
    <t>calcLOB1Prod1Seg2BudgetMM</t>
  </si>
  <si>
    <t>calcR2LOB1Prod1Seg2BudgetMM</t>
  </si>
  <si>
    <t>calcLOB1Prod1Seg3BudgetMM</t>
  </si>
  <si>
    <t>calcR2LOB1Prod1Seg3BudgetMM</t>
  </si>
  <si>
    <t>calcLOB1Prod2Seg1BudgetMM</t>
  </si>
  <si>
    <t>calcR2LOB1Prod2Seg1BudgetMM</t>
  </si>
  <si>
    <t>calcLOB1Prod2Seg2BudgetMM</t>
  </si>
  <si>
    <t>calcR2LOB1Prod2Seg2BudgetMM</t>
  </si>
  <si>
    <t>calcLOB1Prod2Seg3BudgetMM</t>
  </si>
  <si>
    <t>calcR2LOB1Prod2Seg3BudgetMM</t>
  </si>
  <si>
    <t>calcLOB1BudgetMM</t>
  </si>
  <si>
    <t>calcR2LOB1BudgetMM</t>
  </si>
  <si>
    <t>calcLOB2Prod1Seg1RunRateMM</t>
  </si>
  <si>
    <t>calcR2LOB2Prod1Seg1RunRateMM</t>
  </si>
  <si>
    <t>calcLOB2Prod1Seg2RunRateMM</t>
  </si>
  <si>
    <t>calcR2LOB2Prod1Seg2RunRateMM</t>
  </si>
  <si>
    <t>calcLOB2Prod1Seg3RunRateMM</t>
  </si>
  <si>
    <t>calcR2LOB2Prod1Seg3RunRateMM</t>
  </si>
  <si>
    <t>calcLOB2Prod2Seg1RunRateMM</t>
  </si>
  <si>
    <t>calcR2LOB2Prod2Seg1RunRateMM</t>
  </si>
  <si>
    <t>calcLOB2Prod2Seg2RunRateMM</t>
  </si>
  <si>
    <t>calcR2LOB2Prod2Seg2RunRateMM</t>
  </si>
  <si>
    <t>calcLOB2Prod2Seg3RunRateMM</t>
  </si>
  <si>
    <t>calcR2LOB2Prod2Seg3RunRateMM</t>
  </si>
  <si>
    <t>calcLOB2RunRateMM</t>
  </si>
  <si>
    <t>calcR2LOB2RunRateMM</t>
  </si>
  <si>
    <t>calcLOB2Prod1Seg1BudgetMM</t>
  </si>
  <si>
    <t>calcR2LOB2Prod1Seg1BudgetMM</t>
  </si>
  <si>
    <t>calcLOB2Prod1Seg2BudgetMM</t>
  </si>
  <si>
    <t>calcR2LOB2Prod1Seg2BudgetMM</t>
  </si>
  <si>
    <t>calcLOB2Prod1Seg3BudgetMM</t>
  </si>
  <si>
    <t>calcR2LOB2Prod1Seg3BudgetMM</t>
  </si>
  <si>
    <t>calcLOB2Prod2Seg1BudgetMM</t>
  </si>
  <si>
    <t>calcR2LOB2Prod2Seg1BudgetMM</t>
  </si>
  <si>
    <t>calcLOB2Prod2Seg2BudgetMM</t>
  </si>
  <si>
    <t>calcR2LOB2Prod2Seg2BudgetMM</t>
  </si>
  <si>
    <t>calcLOB2Prod2Seg3BudgetMM</t>
  </si>
  <si>
    <t>calcR2LOB2Prod2Seg3BudgetMM</t>
  </si>
  <si>
    <t>calcLOB2BudgetMM</t>
  </si>
  <si>
    <t>calcR2LOB2BudgetMM</t>
  </si>
  <si>
    <t>tlInputTeamNumber</t>
  </si>
  <si>
    <t>tlOutputmmR2LOB1Driver1Explain</t>
  </si>
  <si>
    <t>tlOutputmmR2LOB1Driver2Explain</t>
  </si>
  <si>
    <t>tlOutputmmR2LOB1Driver3Explain</t>
  </si>
  <si>
    <t>tlOutputmmR2LOB1MarketShare</t>
  </si>
  <si>
    <t>tlOutputmmR2LOB2Driver1Explain</t>
  </si>
  <si>
    <t>tlOutputmmR2LOB2Driver2Explain</t>
  </si>
  <si>
    <t>tlOutputmmR2LOB2Driver3Explain</t>
  </si>
  <si>
    <t>tlOutputmmR2LOB2MarketShare</t>
  </si>
  <si>
    <t>PTA</t>
  </si>
  <si>
    <t>OTA</t>
  </si>
  <si>
    <t>Nicole Nelson</t>
  </si>
  <si>
    <t>Marta Matarazzo</t>
  </si>
  <si>
    <t>Karie Keough</t>
  </si>
  <si>
    <t>Harris Hanning</t>
  </si>
  <si>
    <t>Income Statement - Year 0</t>
  </si>
  <si>
    <t>tlOutputDBLOB1OpMargin_R1</t>
  </si>
  <si>
    <t>tlOutputDBLOB1OpMargin_R2</t>
  </si>
  <si>
    <t>tlOutputDBLOB2OpMargin_R1</t>
  </si>
  <si>
    <t>tlOutputDBLOB2OpMargin_R2</t>
  </si>
  <si>
    <t>tlOutputDBOpMargin_R1</t>
  </si>
  <si>
    <t>tlOutputDBOpMargin_R2</t>
  </si>
  <si>
    <t>tlOutputDBLOB1OpMargin_R0</t>
  </si>
  <si>
    <t>tlOutputDBLOB2OpMargin_R0</t>
  </si>
  <si>
    <t>tlOutputDBOpMargin_R0</t>
  </si>
  <si>
    <t>Max Value</t>
  </si>
  <si>
    <t>tlOutputLOB1Prod1Seg1AdjMax_R1</t>
  </si>
  <si>
    <t>tlOutputLOB1Prod1Seg2AdjMax_R1</t>
  </si>
  <si>
    <t>tlOutputLOB1Prod1Seg3AdjMax_R1</t>
  </si>
  <si>
    <t>tlOutputLOB1Prod2Seg1AdjMax_R1</t>
  </si>
  <si>
    <t>tlOutputLOB1Prod2Seg2AdjMax_R1</t>
  </si>
  <si>
    <t>tlOutputLOB1Prod2Seg3AdjMax_R1</t>
  </si>
  <si>
    <t>tlOutputLOB1Prod1Seg1AdjMax_R2</t>
  </si>
  <si>
    <t>tlOutputLOB1Prod1Seg2AdjMax_R2</t>
  </si>
  <si>
    <t>tlOutputLOB1Prod1Seg3AdjMax_R2</t>
  </si>
  <si>
    <t>tlOutputLOB1Prod2Seg1AdjMax_R2</t>
  </si>
  <si>
    <t>tlOutputLOB1Prod2Seg2AdjMax_R2</t>
  </si>
  <si>
    <t>tlOutputLOB1Prod2Seg3AdjMax_R2</t>
  </si>
  <si>
    <t>tlOutputLOB2Prod1Seg1AdjMax_R1</t>
  </si>
  <si>
    <t>tlOutputLOB2Prod1Seg2AdjMax_R1</t>
  </si>
  <si>
    <t>tlOutputLOB2Prod1Seg3AdjMax_R1</t>
  </si>
  <si>
    <t>tlOutputLOB2Prod2Seg1AdjMax_R1</t>
  </si>
  <si>
    <t>tlOutputLOB2Prod2Seg2AdjMax_R1</t>
  </si>
  <si>
    <t>tlOutputLOB2Prod2Seg3AdjMax_R1</t>
  </si>
  <si>
    <t>tlOutputLOB2Prod1Seg1AdjMax_R2</t>
  </si>
  <si>
    <t>tlOutputLOB2Prod1Seg2AdjMax_R2</t>
  </si>
  <si>
    <t>tlOutputLOB2Prod1Seg3AdjMax_R2</t>
  </si>
  <si>
    <t>tlOutputLOB2Prod2Seg1AdjMax_R2</t>
  </si>
  <si>
    <t>tlOutputLOB2Prod2Seg2AdjMax_R2</t>
  </si>
  <si>
    <t>tlOutputLOB2Prod2Seg3AdjMax_R2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</si>
</sst>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3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.00\ &quot;mk&quot;;[Red]\-#,##0.00\ &quot;mk&quot;"/>
    <numFmt numFmtId="167" formatCode="\ #,##0_);\ \(#,##0\);_(* &quot;-&quot;??_);_(@_)"/>
    <numFmt numFmtId="168" formatCode="#,##0.0_);\(#,##0.0\)"/>
    <numFmt numFmtId="169" formatCode="#,##0,_);\ \(#,##0,\);_(* &quot;-&quot;_);_(@_)"/>
    <numFmt numFmtId="170" formatCode="#,###.##,,_);\ \(#,##0,,\);_(* &quot;-&quot;_);_(@_)"/>
    <numFmt numFmtId="171" formatCode="#,##0,,_);\ \(#,##0,,\);_(* &quot;-&quot;_);_(@_)"/>
    <numFmt numFmtId="172" formatCode="_(* #,##0.0_);_(* \(#,##0.0\);_(* &quot;-&quot;?_);_(@_)"/>
    <numFmt numFmtId="173" formatCode="0%\ \ "/>
    <numFmt numFmtId="174" formatCode="_(&quot;$&quot;\ #,##0,_);_(&quot;$&quot;\ \ \(#,##0,\);_(&quot;$&quot;\ &quot;-&quot;_);_(@_)"/>
    <numFmt numFmtId="175" formatCode="mmm\ dd\ &quot;Year&quot;\ yy"/>
    <numFmt numFmtId="176" formatCode="_([$€-2]* #,##0.00_);_([$€-2]* \(#,##0.00\);_([$€-2]* &quot;-&quot;??_)"/>
    <numFmt numFmtId="177" formatCode="#,###,;\(#,###,\);_(* &quot;-&quot;_);_(@_)"/>
    <numFmt numFmtId="178" formatCode="0.00_)"/>
    <numFmt numFmtId="179" formatCode="0.0%"/>
    <numFmt numFmtId="180" formatCode="#,##0;\-#,##0;&quot;-&quot;"/>
    <numFmt numFmtId="181" formatCode="0.0"/>
    <numFmt numFmtId="182" formatCode="_(* #,##0_);_(* \(#,##0\);_(* &quot;-&quot;??_);_(@_)"/>
    <numFmt numFmtId="183" formatCode="_(* #,##0.0_);_(* \(#,##0.0\);_(* &quot;-&quot;??_);_(@_)"/>
    <numFmt numFmtId="184" formatCode="\+0;\-0;&quot;-&quot;"/>
    <numFmt numFmtId="185" formatCode="0.00%;\-0.00%;&quot;-&quot;"/>
    <numFmt numFmtId="186" formatCode="0.0%;\-0.0%;&quot;-&quot;"/>
    <numFmt numFmtId="187" formatCode="\+0;\-0;0"/>
    <numFmt numFmtId="188" formatCode="0.00000%"/>
    <numFmt numFmtId="189" formatCode="0.0000%"/>
    <numFmt numFmtId="190" formatCode="0.000%"/>
  </numFmts>
  <fonts count="83"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1"/>
      <name val="Verdana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0"/>
      <name val="Arial Black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name val="Helv"/>
    </font>
    <font>
      <sz val="9"/>
      <name val="Arial Rounded MT Bold"/>
      <family val="2"/>
    </font>
    <font>
      <b/>
      <sz val="10"/>
      <name val="Helv"/>
    </font>
    <font>
      <b/>
      <sz val="18"/>
      <name val="Garamond"/>
      <family val="1"/>
    </font>
    <font>
      <sz val="7"/>
      <name val="Small Fonts"/>
      <family val="2"/>
    </font>
    <font>
      <b/>
      <i/>
      <sz val="16"/>
      <name val="Helv"/>
    </font>
    <font>
      <sz val="12"/>
      <color theme="1"/>
      <name val="Open Sans"/>
      <family val="2"/>
    </font>
    <font>
      <b/>
      <sz val="12"/>
      <name val="Garamond"/>
      <family val="1"/>
    </font>
    <font>
      <sz val="11"/>
      <color theme="1"/>
      <name val="Verdana"/>
      <family val="2"/>
    </font>
    <font>
      <u/>
      <sz val="11"/>
      <color theme="10"/>
      <name val="Verdana"/>
      <family val="2"/>
      <scheme val="minor"/>
    </font>
    <font>
      <sz val="10"/>
      <color theme="1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b/>
      <sz val="16"/>
      <color theme="5"/>
      <name val="Verdana"/>
      <family val="2"/>
    </font>
    <font>
      <b/>
      <sz val="12"/>
      <color theme="4"/>
      <name val="Verdana"/>
      <family val="2"/>
    </font>
    <font>
      <b/>
      <i/>
      <sz val="14"/>
      <color theme="0"/>
      <name val="Verdana"/>
      <family val="2"/>
    </font>
    <font>
      <sz val="12"/>
      <color theme="0"/>
      <name val="Verdana"/>
      <family val="2"/>
    </font>
    <font>
      <sz val="14"/>
      <color theme="5"/>
      <name val="Verdana"/>
      <family val="2"/>
    </font>
    <font>
      <sz val="10"/>
      <color theme="0"/>
      <name val="Verdana"/>
      <family val="2"/>
    </font>
    <font>
      <b/>
      <sz val="8"/>
      <color theme="0"/>
      <name val="Arial"/>
      <family val="2"/>
    </font>
    <font>
      <sz val="8"/>
      <color rgb="FFFF0000"/>
      <name val="Arial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u/>
      <sz val="8"/>
      <color theme="10"/>
      <name val="Arial"/>
      <family val="2"/>
    </font>
    <font>
      <i/>
      <sz val="8"/>
      <color theme="1"/>
      <name val="Arial"/>
      <family val="2"/>
    </font>
    <font>
      <sz val="8"/>
      <color rgb="FF000000"/>
      <name val="Arial"/>
      <family val="2"/>
    </font>
    <font>
      <i/>
      <sz val="8"/>
      <name val="Arial"/>
      <family val="2"/>
    </font>
    <font>
      <i/>
      <sz val="8"/>
      <color rgb="FFFF0000"/>
      <name val="Arial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14"/>
      <color theme="4"/>
      <name val="Verdana"/>
      <family val="2"/>
    </font>
    <font>
      <sz val="11"/>
      <color theme="4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7"/>
      <color theme="1"/>
      <name val="Verdana"/>
      <family val="2"/>
    </font>
    <font>
      <sz val="12"/>
      <color theme="5"/>
      <name val="Verdana"/>
      <family val="2"/>
    </font>
    <font>
      <sz val="8"/>
      <color theme="1" tint="0.34998626667073579"/>
      <name val="Verdana"/>
      <family val="2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8"/>
      <color theme="1"/>
      <name val="Verdana"/>
      <family val="2"/>
    </font>
    <font>
      <sz val="8"/>
      <name val="Verdana"/>
      <family val="2"/>
      <scheme val="minor"/>
    </font>
    <font>
      <b/>
      <sz val="8"/>
      <name val="Verdana"/>
      <family val="2"/>
      <scheme val="minor"/>
    </font>
    <font>
      <sz val="8"/>
      <color theme="1"/>
      <name val="Verdana"/>
      <family val="2"/>
      <scheme val="minor"/>
    </font>
    <font>
      <sz val="10"/>
      <color theme="4"/>
      <name val="Verdana"/>
      <family val="2"/>
    </font>
    <font>
      <sz val="18"/>
      <color theme="2"/>
      <name val="Verdana"/>
      <family val="2"/>
    </font>
    <font>
      <sz val="16"/>
      <color theme="5"/>
      <name val="Verdana"/>
      <family val="2"/>
    </font>
    <font>
      <b/>
      <sz val="8"/>
      <color rgb="FFFFFFFF"/>
      <name val="Verdana"/>
      <family val="2"/>
      <scheme val="minor"/>
    </font>
    <font>
      <sz val="8"/>
      <color rgb="FFFFFFFF"/>
      <name val="Verdana"/>
      <family val="2"/>
      <scheme val="minor"/>
    </font>
    <font>
      <sz val="8"/>
      <color rgb="FF000000"/>
      <name val="Verdana"/>
      <family val="2"/>
      <scheme val="minor"/>
    </font>
    <font>
      <sz val="8"/>
      <color rgb="FF28324B"/>
      <name val="Verdana"/>
      <family val="2"/>
    </font>
    <font>
      <sz val="8"/>
      <color rgb="FFFFFFFF"/>
      <name val="Verdana"/>
      <family val="2"/>
    </font>
    <font>
      <sz val="9"/>
      <color theme="1"/>
      <name val="Verdana"/>
      <family val="2"/>
    </font>
    <font>
      <sz val="8"/>
      <color theme="4"/>
      <name val="Arial"/>
      <family val="2"/>
    </font>
    <font>
      <b/>
      <sz val="8"/>
      <color rgb="FF000000"/>
      <name val="Arial"/>
      <family val="2"/>
    </font>
    <font>
      <sz val="8"/>
      <name val="Verdana"/>
      <family val="2"/>
    </font>
    <font>
      <sz val="8"/>
      <color theme="0" tint="-0.249977111117893"/>
      <name val="Verdana"/>
      <family val="2"/>
    </font>
    <font>
      <sz val="12"/>
      <name val="Verdana"/>
      <family val="2"/>
    </font>
    <font>
      <sz val="8"/>
      <color rgb="FFFF0000"/>
      <name val="Verdana"/>
      <family val="2"/>
    </font>
    <font>
      <b/>
      <sz val="8"/>
      <color theme="0" tint="-0.249977111117893"/>
      <name val="Verdana"/>
      <family val="2"/>
    </font>
    <font>
      <sz val="7"/>
      <color theme="0"/>
      <name val="Verdana"/>
      <family val="2"/>
    </font>
    <font>
      <sz val="11"/>
      <color theme="1"/>
      <name val="Calibri"/>
      <family val="2"/>
    </font>
    <font>
      <sz val="14"/>
      <color theme="1" tint="0.14999847407452621"/>
      <name val="Calibri"/>
      <family val="2"/>
    </font>
    <font>
      <b/>
      <sz val="14"/>
      <color theme="1" tint="0.14999847407452621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3"/>
        <b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9D9AB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8A10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CC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8324B"/>
        <bgColor indexed="64"/>
      </patternFill>
    </fill>
    <fill>
      <patternFill patternType="solid">
        <fgColor rgb="FFE8E8E9"/>
        <bgColor indexed="64"/>
      </patternFill>
    </fill>
    <fill>
      <patternFill patternType="solid">
        <fgColor rgb="FFCDCDD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3"/>
      </left>
      <right style="medium">
        <color indexed="9"/>
      </right>
      <top style="medium">
        <color indexed="63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55"/>
      </right>
      <top style="medium">
        <color indexed="64"/>
      </top>
      <bottom style="medium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ck">
        <color theme="0"/>
      </right>
      <top/>
      <bottom/>
      <diagonal/>
    </border>
    <border>
      <left/>
      <right/>
      <top style="medium">
        <color theme="5" tint="0.79998168889431442"/>
      </top>
      <bottom/>
      <diagonal/>
    </border>
    <border>
      <left/>
      <right/>
      <top style="medium">
        <color theme="4" tint="0.79998168889431442"/>
      </top>
      <bottom/>
      <diagonal/>
    </border>
    <border>
      <left/>
      <right/>
      <top/>
      <bottom style="medium">
        <color theme="3" tint="0.79998168889431442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/>
      <top style="medium">
        <color rgb="FFFFFFFF"/>
      </top>
      <bottom style="thick">
        <color rgb="FFFFFFFF"/>
      </bottom>
      <diagonal/>
    </border>
    <border>
      <left/>
      <right/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/>
      <right/>
      <top/>
      <bottom style="thin">
        <color theme="1" tint="0.14996795556505021"/>
      </bottom>
      <diagonal/>
    </border>
    <border>
      <left/>
      <right/>
      <top style="thin">
        <color theme="1" tint="0.14996795556505021"/>
      </top>
      <bottom style="thin">
        <color theme="1" tint="0.14993743705557422"/>
      </bottom>
      <diagonal/>
    </border>
    <border>
      <left/>
      <right/>
      <top style="thin">
        <color theme="1" tint="0.14996795556505021"/>
      </top>
      <bottom style="thin">
        <color theme="1" tint="0.14996795556505021"/>
      </bottom>
      <diagonal/>
    </border>
  </borders>
  <cellStyleXfs count="176">
    <xf numFmtId="0" fontId="0" fillId="0" borderId="0"/>
    <xf numFmtId="0" fontId="6" fillId="0" borderId="0"/>
    <xf numFmtId="1" fontId="7" fillId="0" borderId="0"/>
    <xf numFmtId="0" fontId="8" fillId="6" borderId="0" applyFont="0" applyFill="0" applyBorder="0" applyAlignment="0" applyProtection="0"/>
    <xf numFmtId="0" fontId="8" fillId="6" borderId="0" applyFont="0" applyFill="0" applyBorder="0" applyAlignment="0" applyProtection="0"/>
    <xf numFmtId="0" fontId="9" fillId="7" borderId="12" applyNumberFormat="0" applyFont="0" applyProtection="0"/>
    <xf numFmtId="0" fontId="9" fillId="7" borderId="12" applyNumberFormat="0" applyFont="0" applyProtection="0"/>
    <xf numFmtId="0" fontId="9" fillId="7" borderId="13" applyNumberFormat="0" applyFont="0" applyProtection="0"/>
    <xf numFmtId="0" fontId="9" fillId="7" borderId="13" applyNumberFormat="0" applyFont="0" applyProtection="0"/>
    <xf numFmtId="0" fontId="9" fillId="7" borderId="13" applyFont="0"/>
    <xf numFmtId="0" fontId="9" fillId="7" borderId="13" applyFont="0"/>
    <xf numFmtId="0" fontId="10" fillId="6" borderId="12" applyNumberFormat="0" applyFont="0"/>
    <xf numFmtId="0" fontId="10" fillId="6" borderId="12" applyNumberFormat="0" applyFont="0"/>
    <xf numFmtId="0" fontId="10" fillId="6" borderId="13" applyNumberFormat="0" applyFont="0"/>
    <xf numFmtId="0" fontId="10" fillId="6" borderId="13" applyNumberFormat="0" applyFont="0"/>
    <xf numFmtId="0" fontId="8" fillId="8" borderId="0" applyNumberFormat="0" applyFont="0" applyBorder="0" applyAlignment="0"/>
    <xf numFmtId="0" fontId="8" fillId="8" borderId="0" applyNumberFormat="0" applyFont="0" applyBorder="0" applyAlignment="0"/>
    <xf numFmtId="0" fontId="8" fillId="9" borderId="0" applyNumberFormat="0" applyFont="0" applyBorder="0" applyAlignment="0">
      <protection locked="0"/>
    </xf>
    <xf numFmtId="0" fontId="8" fillId="9" borderId="0" applyNumberFormat="0" applyFont="0" applyBorder="0" applyAlignment="0">
      <protection locked="0"/>
    </xf>
    <xf numFmtId="0" fontId="11" fillId="0" borderId="14">
      <alignment horizontal="center"/>
    </xf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6" fontId="12" fillId="0" borderId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7" fontId="11" fillId="10" borderId="1" applyFont="0" applyFill="0" applyBorder="0" applyAlignment="0" applyProtection="0">
      <alignment horizontal="center"/>
      <protection locked="0"/>
    </xf>
    <xf numFmtId="167" fontId="11" fillId="10" borderId="1" applyFont="0" applyFill="0" applyBorder="0" applyAlignment="0" applyProtection="0">
      <alignment horizontal="center"/>
      <protection locked="0"/>
    </xf>
    <xf numFmtId="168" fontId="12" fillId="0" borderId="0" applyFont="0" applyFill="0" applyBorder="0" applyAlignment="0" applyProtection="0">
      <alignment horizontal="center"/>
    </xf>
    <xf numFmtId="169" fontId="13" fillId="0" borderId="0" applyFont="0" applyFill="0" applyBorder="0" applyAlignment="0" applyProtection="0"/>
    <xf numFmtId="170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13" fillId="0" borderId="0" applyFont="0" applyFill="0" applyBorder="0" applyAlignment="0" applyProtection="0"/>
    <xf numFmtId="172" fontId="14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37" fontId="15" fillId="11" borderId="15" applyFont="0" applyFill="0" applyBorder="0" applyAlignment="0" applyProtection="0">
      <alignment horizontal="centerContinuous" vertical="center"/>
    </xf>
    <xf numFmtId="0" fontId="12" fillId="7" borderId="13" applyFont="0" applyFill="0" applyBorder="0" applyAlignment="0" applyProtection="0">
      <alignment horizontal="center"/>
      <protection locked="0"/>
    </xf>
    <xf numFmtId="0" fontId="12" fillId="7" borderId="13" applyFont="0" applyFill="0" applyBorder="0" applyAlignment="0" applyProtection="0">
      <alignment horizontal="center"/>
      <protection locked="0"/>
    </xf>
    <xf numFmtId="0" fontId="12" fillId="10" borderId="0" applyFont="0" applyFill="0" applyBorder="0" applyAlignment="0" applyProtection="0"/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6" borderId="0" applyFont="0" applyFill="0" applyBorder="0" applyAlignment="0" applyProtection="0"/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173" fontId="12" fillId="6" borderId="0" applyFont="0" applyFill="0" applyBorder="0" applyAlignment="0" applyProtection="0"/>
    <xf numFmtId="3" fontId="12" fillId="0" borderId="0" applyFont="0" applyFill="0" applyBorder="0" applyAlignment="0" applyProtection="0"/>
    <xf numFmtId="0" fontId="16" fillId="0" borderId="0"/>
    <xf numFmtId="3" fontId="12" fillId="6" borderId="0" applyFont="0" applyFill="0" applyBorder="0" applyAlignment="0" applyProtection="0">
      <alignment horizontal="center"/>
    </xf>
    <xf numFmtId="0" fontId="16" fillId="0" borderId="0"/>
    <xf numFmtId="0" fontId="12" fillId="0" borderId="0"/>
    <xf numFmtId="0" fontId="16" fillId="0" borderId="0"/>
    <xf numFmtId="0" fontId="16" fillId="0" borderId="0"/>
    <xf numFmtId="174" fontId="14" fillId="12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3" fillId="7" borderId="13" applyFont="0" applyFill="0" applyBorder="0" applyAlignment="0" applyProtection="0">
      <protection locked="0"/>
    </xf>
    <xf numFmtId="0" fontId="13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5" fontId="12" fillId="0" borderId="0" applyFont="0" applyFill="0" applyBorder="0" applyAlignment="0" applyProtection="0"/>
    <xf numFmtId="0" fontId="12" fillId="0" borderId="0" applyFill="0" applyBorder="0" applyAlignment="0" applyProtection="0"/>
    <xf numFmtId="175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3" fontId="17" fillId="13" borderId="16">
      <alignment horizontal="center" vertical="center"/>
      <protection locked="0"/>
    </xf>
    <xf numFmtId="176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14" borderId="0" applyFont="0" applyBorder="0" applyAlignment="0" applyProtection="0"/>
    <xf numFmtId="0" fontId="8" fillId="14" borderId="0" applyFont="0" applyBorder="0" applyAlignment="0" applyProtection="0"/>
    <xf numFmtId="0" fontId="8" fillId="15" borderId="0" applyFont="0" applyBorder="0" applyAlignment="0" applyProtection="0"/>
    <xf numFmtId="0" fontId="8" fillId="15" borderId="0" applyFont="0" applyBorder="0" applyAlignment="0" applyProtection="0"/>
    <xf numFmtId="177" fontId="8" fillId="14" borderId="0" applyFont="0" applyBorder="0" applyAlignment="0" applyProtection="0"/>
    <xf numFmtId="2" fontId="12" fillId="0" borderId="0" applyFont="0" applyFill="0" applyBorder="0" applyAlignment="0" applyProtection="0"/>
    <xf numFmtId="0" fontId="16" fillId="0" borderId="0"/>
    <xf numFmtId="12" fontId="18" fillId="0" borderId="17" applyFont="0" applyFill="0" applyBorder="0" applyAlignment="0" applyProtection="0"/>
    <xf numFmtId="38" fontId="8" fillId="6" borderId="0" applyNumberFormat="0" applyBorder="0" applyAlignment="0" applyProtection="0"/>
    <xf numFmtId="38" fontId="8" fillId="6" borderId="0" applyNumberFormat="0" applyBorder="0" applyAlignment="0" applyProtection="0"/>
    <xf numFmtId="10" fontId="8" fillId="13" borderId="18" applyNumberFormat="0" applyBorder="0" applyAlignment="0" applyProtection="0"/>
    <xf numFmtId="10" fontId="8" fillId="13" borderId="18" applyNumberFormat="0" applyBorder="0" applyAlignment="0" applyProtection="0"/>
    <xf numFmtId="0" fontId="19" fillId="10" borderId="13" applyNumberFormat="0" applyFont="0">
      <alignment horizontal="center"/>
      <protection locked="0"/>
    </xf>
    <xf numFmtId="0" fontId="19" fillId="10" borderId="13" applyNumberFormat="0" applyFont="0">
      <alignment horizontal="center"/>
      <protection locked="0"/>
    </xf>
    <xf numFmtId="37" fontId="20" fillId="0" borderId="0"/>
    <xf numFmtId="178" fontId="21" fillId="0" borderId="0"/>
    <xf numFmtId="0" fontId="8" fillId="0" borderId="0"/>
    <xf numFmtId="0" fontId="12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2" fillId="0" borderId="0"/>
    <xf numFmtId="37" fontId="12" fillId="10" borderId="0" applyFont="0" applyFill="0" applyBorder="0" applyAlignment="0" applyProtection="0">
      <alignment horizontal="center"/>
    </xf>
    <xf numFmtId="0" fontId="16" fillId="0" borderId="0"/>
    <xf numFmtId="0" fontId="16" fillId="0" borderId="0"/>
    <xf numFmtId="179" fontId="23" fillId="13" borderId="0" applyFont="0" applyFill="0" applyBorder="0" applyAlignment="0" applyProtection="0"/>
    <xf numFmtId="10" fontId="16" fillId="0" borderId="0" applyFont="0" applyFill="0" applyBorder="0" applyAlignment="0" applyProtection="0">
      <protection locked="0"/>
    </xf>
    <xf numFmtId="10" fontId="12" fillId="0" borderId="0" applyFont="0" applyFill="0" applyBorder="0" applyAlignment="0" applyProtection="0"/>
    <xf numFmtId="179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0" fontId="8" fillId="0" borderId="4" applyFont="0" applyFill="0" applyBorder="0" applyAlignment="0" applyProtection="0"/>
    <xf numFmtId="10" fontId="8" fillId="0" borderId="4" applyFont="0" applyFill="0" applyBorder="0" applyAlignment="0" applyProtection="0"/>
    <xf numFmtId="10" fontId="8" fillId="0" borderId="4" applyFont="0" applyFill="0" applyBorder="0" applyAlignment="0" applyProtection="0"/>
    <xf numFmtId="10" fontId="8" fillId="0" borderId="4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12" fillId="7" borderId="13" applyFont="0" applyFill="0" applyBorder="0" applyAlignment="0" applyProtection="0">
      <protection locked="0"/>
    </xf>
    <xf numFmtId="0" fontId="4" fillId="0" borderId="0"/>
    <xf numFmtId="0" fontId="24" fillId="0" borderId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4" fillId="0" borderId="0"/>
    <xf numFmtId="9" fontId="24" fillId="0" borderId="0" applyFont="0" applyFill="0" applyBorder="0" applyAlignment="0" applyProtection="0"/>
    <xf numFmtId="0" fontId="3" fillId="0" borderId="0"/>
    <xf numFmtId="0" fontId="3" fillId="0" borderId="0"/>
    <xf numFmtId="0" fontId="25" fillId="0" borderId="0" applyNumberFormat="0" applyFill="0" applyBorder="0" applyAlignment="0" applyProtection="0"/>
    <xf numFmtId="0" fontId="2" fillId="0" borderId="0"/>
    <xf numFmtId="0" fontId="2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8" fillId="0" borderId="0"/>
    <xf numFmtId="0" fontId="2" fillId="0" borderId="0"/>
    <xf numFmtId="43" fontId="24" fillId="0" borderId="0" applyFont="0" applyFill="0" applyBorder="0" applyAlignment="0" applyProtection="0"/>
  </cellStyleXfs>
  <cellXfs count="831">
    <xf numFmtId="0" fontId="0" fillId="0" borderId="0" xfId="0"/>
    <xf numFmtId="0" fontId="5" fillId="3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24" fillId="17" borderId="0" xfId="0" applyFont="1" applyFill="1"/>
    <xf numFmtId="0" fontId="24" fillId="4" borderId="0" xfId="0" applyFont="1" applyFill="1"/>
    <xf numFmtId="0" fontId="5" fillId="18" borderId="0" xfId="0" applyFont="1" applyFill="1"/>
    <xf numFmtId="0" fontId="5" fillId="19" borderId="0" xfId="0" applyFont="1" applyFill="1"/>
    <xf numFmtId="0" fontId="0" fillId="0" borderId="0" xfId="0" applyFont="1"/>
    <xf numFmtId="0" fontId="0" fillId="0" borderId="0" xfId="0" applyAlignment="1">
      <alignment horizontal="center" vertical="center"/>
    </xf>
    <xf numFmtId="0" fontId="26" fillId="0" borderId="0" xfId="0" applyFont="1" applyFill="1" applyBorder="1"/>
    <xf numFmtId="0" fontId="0" fillId="17" borderId="0" xfId="0" applyFill="1" applyAlignment="1">
      <alignment horizontal="center" vertical="center"/>
    </xf>
    <xf numFmtId="0" fontId="26" fillId="0" borderId="0" xfId="0" applyFont="1"/>
    <xf numFmtId="0" fontId="27" fillId="0" borderId="0" xfId="0" quotePrefix="1" applyFont="1"/>
    <xf numFmtId="0" fontId="0" fillId="0" borderId="0" xfId="0" applyFill="1"/>
    <xf numFmtId="0" fontId="0" fillId="23" borderId="20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0" fillId="23" borderId="2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vertical="center"/>
    </xf>
    <xf numFmtId="0" fontId="32" fillId="0" borderId="22" xfId="0" applyFont="1" applyBorder="1" applyAlignment="1">
      <alignment horizontal="center" vertical="center"/>
    </xf>
    <xf numFmtId="0" fontId="30" fillId="5" borderId="0" xfId="0" applyFont="1" applyFill="1" applyBorder="1" applyAlignment="1">
      <alignment vertical="center"/>
    </xf>
    <xf numFmtId="0" fontId="30" fillId="5" borderId="23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right" vertical="center"/>
    </xf>
    <xf numFmtId="0" fontId="30" fillId="0" borderId="0" xfId="0" applyFont="1" applyAlignment="1">
      <alignment vertical="center"/>
    </xf>
    <xf numFmtId="0" fontId="30" fillId="26" borderId="0" xfId="0" applyFont="1" applyFill="1" applyAlignment="1">
      <alignment vertical="center"/>
    </xf>
    <xf numFmtId="0" fontId="30" fillId="5" borderId="0" xfId="0" applyFont="1" applyFill="1" applyAlignment="1">
      <alignment vertical="center"/>
    </xf>
    <xf numFmtId="0" fontId="30" fillId="23" borderId="0" xfId="0" applyFont="1" applyFill="1" applyAlignment="1">
      <alignment vertical="center"/>
    </xf>
    <xf numFmtId="0" fontId="34" fillId="23" borderId="0" xfId="0" applyFont="1" applyFill="1" applyAlignment="1">
      <alignment horizontal="left" vertical="center"/>
    </xf>
    <xf numFmtId="9" fontId="0" fillId="17" borderId="0" xfId="167" applyFont="1" applyFill="1" applyAlignment="1">
      <alignment horizontal="center" vertical="center"/>
    </xf>
    <xf numFmtId="0" fontId="26" fillId="17" borderId="3" xfId="0" applyFont="1" applyFill="1" applyBorder="1"/>
    <xf numFmtId="0" fontId="36" fillId="19" borderId="0" xfId="0" applyFont="1" applyFill="1"/>
    <xf numFmtId="0" fontId="26" fillId="17" borderId="2" xfId="0" applyFont="1" applyFill="1" applyBorder="1"/>
    <xf numFmtId="0" fontId="26" fillId="17" borderId="1" xfId="0" applyFont="1" applyFill="1" applyBorder="1"/>
    <xf numFmtId="0" fontId="26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7" fillId="0" borderId="0" xfId="0" quotePrefix="1" applyFont="1" applyFill="1" applyBorder="1"/>
    <xf numFmtId="0" fontId="36" fillId="2" borderId="0" xfId="0" applyFont="1" applyFill="1"/>
    <xf numFmtId="0" fontId="36" fillId="2" borderId="0" xfId="0" applyFont="1" applyFill="1" applyAlignment="1">
      <alignment horizontal="center" vertical="center"/>
    </xf>
    <xf numFmtId="4" fontId="26" fillId="4" borderId="0" xfId="166" applyNumberFormat="1" applyFont="1" applyFill="1" applyAlignment="1"/>
    <xf numFmtId="0" fontId="26" fillId="0" borderId="0" xfId="0" applyFont="1" applyAlignment="1"/>
    <xf numFmtId="0" fontId="26" fillId="0" borderId="0" xfId="0" applyFont="1" applyBorder="1" applyAlignment="1">
      <alignment vertical="center"/>
    </xf>
    <xf numFmtId="0" fontId="27" fillId="4" borderId="3" xfId="0" applyFont="1" applyFill="1" applyBorder="1"/>
    <xf numFmtId="0" fontId="27" fillId="4" borderId="2" xfId="0" applyFont="1" applyFill="1" applyBorder="1"/>
    <xf numFmtId="4" fontId="26" fillId="4" borderId="0" xfId="0" applyNumberFormat="1" applyFont="1" applyFill="1" applyAlignment="1"/>
    <xf numFmtId="0" fontId="27" fillId="4" borderId="1" xfId="0" applyFont="1" applyFill="1" applyBorder="1"/>
    <xf numFmtId="0" fontId="26" fillId="17" borderId="0" xfId="0" applyFont="1" applyFill="1" applyAlignment="1">
      <alignment vertical="center"/>
    </xf>
    <xf numFmtId="0" fontId="28" fillId="0" borderId="0" xfId="0" applyFont="1" applyAlignment="1">
      <alignment horizontal="right"/>
    </xf>
    <xf numFmtId="43" fontId="26" fillId="0" borderId="0" xfId="165" applyFont="1" applyAlignment="1"/>
    <xf numFmtId="0" fontId="28" fillId="4" borderId="25" xfId="0" applyFont="1" applyFill="1" applyBorder="1" applyAlignment="1">
      <alignment horizontal="center"/>
    </xf>
    <xf numFmtId="0" fontId="28" fillId="4" borderId="15" xfId="0" applyFont="1" applyFill="1" applyBorder="1" applyAlignment="1">
      <alignment horizontal="left"/>
    </xf>
    <xf numFmtId="41" fontId="26" fillId="4" borderId="0" xfId="166" applyFont="1" applyFill="1" applyAlignment="1"/>
    <xf numFmtId="0" fontId="26" fillId="4" borderId="0" xfId="0" applyFont="1" applyFill="1" applyAlignment="1"/>
    <xf numFmtId="0" fontId="36" fillId="2" borderId="0" xfId="0" applyFont="1" applyFill="1" applyAlignment="1">
      <alignment vertical="center"/>
    </xf>
    <xf numFmtId="0" fontId="15" fillId="2" borderId="0" xfId="0" applyFont="1" applyFill="1" applyAlignment="1"/>
    <xf numFmtId="0" fontId="40" fillId="2" borderId="0" xfId="0" applyFont="1" applyFill="1"/>
    <xf numFmtId="0" fontId="40" fillId="16" borderId="0" xfId="0" applyFont="1" applyFill="1"/>
    <xf numFmtId="0" fontId="1" fillId="0" borderId="0" xfId="0" applyFont="1"/>
    <xf numFmtId="0" fontId="1" fillId="17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39" fillId="0" borderId="0" xfId="0" applyFont="1"/>
    <xf numFmtId="0" fontId="40" fillId="19" borderId="0" xfId="0" applyFont="1" applyFill="1" applyAlignment="1">
      <alignment horizontal="center"/>
    </xf>
    <xf numFmtId="0" fontId="40" fillId="3" borderId="0" xfId="0" applyFont="1" applyFill="1" applyAlignment="1">
      <alignment horizontal="left"/>
    </xf>
    <xf numFmtId="0" fontId="40" fillId="3" borderId="0" xfId="0" applyFont="1" applyFill="1"/>
    <xf numFmtId="0" fontId="40" fillId="3" borderId="0" xfId="0" applyFont="1" applyFill="1" applyAlignment="1">
      <alignment horizontal="center"/>
    </xf>
    <xf numFmtId="0" fontId="1" fillId="17" borderId="0" xfId="0" applyFont="1" applyFill="1"/>
    <xf numFmtId="0" fontId="8" fillId="0" borderId="0" xfId="0" quotePrefix="1" applyFont="1"/>
    <xf numFmtId="0" fontId="40" fillId="18" borderId="0" xfId="0" applyFont="1" applyFill="1"/>
    <xf numFmtId="0" fontId="40" fillId="19" borderId="0" xfId="0" applyFont="1" applyFill="1"/>
    <xf numFmtId="0" fontId="1" fillId="4" borderId="0" xfId="0" applyFont="1" applyFill="1"/>
    <xf numFmtId="0" fontId="37" fillId="2" borderId="0" xfId="163" applyFont="1" applyFill="1"/>
    <xf numFmtId="0" fontId="40" fillId="2" borderId="0" xfId="163" applyFont="1" applyFill="1"/>
    <xf numFmtId="0" fontId="1" fillId="0" borderId="0" xfId="164" applyFont="1"/>
    <xf numFmtId="0" fontId="1" fillId="0" borderId="0" xfId="164" applyFont="1" applyFill="1" applyBorder="1"/>
    <xf numFmtId="0" fontId="41" fillId="0" borderId="0" xfId="162" applyFont="1" applyAlignment="1">
      <alignment horizontal="left" vertical="center"/>
    </xf>
    <xf numFmtId="0" fontId="41" fillId="0" borderId="0" xfId="162" applyFont="1" applyAlignment="1">
      <alignment horizontal="center" vertical="center"/>
    </xf>
    <xf numFmtId="0" fontId="1" fillId="0" borderId="0" xfId="163" applyFont="1"/>
    <xf numFmtId="0" fontId="40" fillId="3" borderId="0" xfId="163" applyFont="1" applyFill="1" applyAlignment="1">
      <alignment horizontal="left"/>
    </xf>
    <xf numFmtId="0" fontId="40" fillId="3" borderId="0" xfId="163" applyFont="1" applyFill="1"/>
    <xf numFmtId="0" fontId="40" fillId="3" borderId="0" xfId="163" applyFont="1" applyFill="1" applyAlignment="1">
      <alignment horizontal="center"/>
    </xf>
    <xf numFmtId="0" fontId="39" fillId="0" borderId="0" xfId="163" applyFont="1"/>
    <xf numFmtId="0" fontId="11" fillId="0" borderId="0" xfId="163" applyFont="1"/>
    <xf numFmtId="0" fontId="1" fillId="17" borderId="0" xfId="163" applyFont="1" applyFill="1"/>
    <xf numFmtId="0" fontId="8" fillId="0" borderId="0" xfId="163" quotePrefix="1" applyFont="1"/>
    <xf numFmtId="0" fontId="1" fillId="4" borderId="0" xfId="163" applyFont="1" applyFill="1"/>
    <xf numFmtId="0" fontId="40" fillId="18" borderId="0" xfId="163" applyFont="1" applyFill="1"/>
    <xf numFmtId="0" fontId="40" fillId="19" borderId="0" xfId="163" applyFont="1" applyFill="1"/>
    <xf numFmtId="0" fontId="8" fillId="0" borderId="0" xfId="163" applyFont="1"/>
    <xf numFmtId="0" fontId="8" fillId="0" borderId="0" xfId="163" applyFont="1" applyFill="1"/>
    <xf numFmtId="0" fontId="11" fillId="0" borderId="0" xfId="163" applyFont="1" applyFill="1" applyAlignment="1">
      <alignment horizontal="right"/>
    </xf>
    <xf numFmtId="1" fontId="11" fillId="0" borderId="0" xfId="163" applyNumberFormat="1" applyFont="1" applyFill="1"/>
    <xf numFmtId="0" fontId="37" fillId="3" borderId="0" xfId="163" applyFont="1" applyFill="1" applyAlignment="1">
      <alignment vertical="center"/>
    </xf>
    <xf numFmtId="0" fontId="40" fillId="3" borderId="0" xfId="163" applyFont="1" applyFill="1" applyAlignment="1">
      <alignment vertical="center"/>
    </xf>
    <xf numFmtId="0" fontId="8" fillId="17" borderId="1" xfId="163" applyFont="1" applyFill="1" applyBorder="1" applyAlignment="1">
      <alignment horizontal="center"/>
    </xf>
    <xf numFmtId="0" fontId="8" fillId="17" borderId="3" xfId="163" applyFont="1" applyFill="1" applyBorder="1" applyAlignment="1">
      <alignment horizontal="center"/>
    </xf>
    <xf numFmtId="0" fontId="8" fillId="0" borderId="4" xfId="163" applyFont="1" applyFill="1" applyBorder="1" applyAlignment="1">
      <alignment horizontal="center"/>
    </xf>
    <xf numFmtId="0" fontId="8" fillId="0" borderId="5" xfId="163" applyFont="1" applyFill="1" applyBorder="1" applyAlignment="1">
      <alignment horizontal="center"/>
    </xf>
    <xf numFmtId="0" fontId="8" fillId="0" borderId="6" xfId="163" applyFont="1" applyFill="1" applyBorder="1" applyAlignment="1">
      <alignment horizontal="center"/>
    </xf>
    <xf numFmtId="1" fontId="8" fillId="17" borderId="7" xfId="163" applyNumberFormat="1" applyFont="1" applyFill="1" applyBorder="1" applyAlignment="1">
      <alignment horizontal="center"/>
    </xf>
    <xf numFmtId="0" fontId="8" fillId="17" borderId="0" xfId="163" applyFont="1" applyFill="1" applyBorder="1" applyAlignment="1">
      <alignment horizontal="left"/>
    </xf>
    <xf numFmtId="1" fontId="8" fillId="17" borderId="0" xfId="163" applyNumberFormat="1" applyFont="1" applyFill="1" applyBorder="1" applyAlignment="1">
      <alignment horizontal="left"/>
    </xf>
    <xf numFmtId="0" fontId="8" fillId="4" borderId="0" xfId="163" applyFont="1" applyFill="1" applyBorder="1" applyAlignment="1">
      <alignment horizontal="left"/>
    </xf>
    <xf numFmtId="0" fontId="8" fillId="17" borderId="8" xfId="163" applyFont="1" applyFill="1" applyBorder="1" applyAlignment="1">
      <alignment horizontal="center"/>
    </xf>
    <xf numFmtId="1" fontId="8" fillId="17" borderId="9" xfId="163" applyNumberFormat="1" applyFont="1" applyFill="1" applyBorder="1" applyAlignment="1">
      <alignment horizontal="center"/>
    </xf>
    <xf numFmtId="0" fontId="8" fillId="17" borderId="10" xfId="163" applyFont="1" applyFill="1" applyBorder="1" applyAlignment="1">
      <alignment horizontal="left"/>
    </xf>
    <xf numFmtId="1" fontId="8" fillId="17" borderId="10" xfId="163" applyNumberFormat="1" applyFont="1" applyFill="1" applyBorder="1" applyAlignment="1">
      <alignment horizontal="left"/>
    </xf>
    <xf numFmtId="0" fontId="8" fillId="17" borderId="10" xfId="163" quotePrefix="1" applyFont="1" applyFill="1" applyBorder="1" applyAlignment="1">
      <alignment horizontal="left"/>
    </xf>
    <xf numFmtId="0" fontId="8" fillId="4" borderId="10" xfId="163" quotePrefix="1" applyFont="1" applyFill="1" applyBorder="1" applyAlignment="1">
      <alignment horizontal="left"/>
    </xf>
    <xf numFmtId="0" fontId="8" fillId="17" borderId="11" xfId="163" applyFont="1" applyFill="1" applyBorder="1" applyAlignment="1">
      <alignment horizontal="center"/>
    </xf>
    <xf numFmtId="0" fontId="8" fillId="0" borderId="0" xfId="163" applyFont="1" applyFill="1" applyAlignment="1">
      <alignment horizontal="right"/>
    </xf>
    <xf numFmtId="0" fontId="8" fillId="5" borderId="0" xfId="163" applyFont="1" applyFill="1"/>
    <xf numFmtId="0" fontId="8" fillId="4" borderId="1" xfId="163" applyFont="1" applyFill="1" applyBorder="1"/>
    <xf numFmtId="0" fontId="8" fillId="4" borderId="2" xfId="163" applyFont="1" applyFill="1" applyBorder="1"/>
    <xf numFmtId="0" fontId="8" fillId="4" borderId="3" xfId="163" applyFont="1" applyFill="1" applyBorder="1"/>
    <xf numFmtId="0" fontId="11" fillId="0" borderId="4" xfId="163" applyFont="1" applyFill="1" applyBorder="1" applyAlignment="1">
      <alignment horizontal="center"/>
    </xf>
    <xf numFmtId="0" fontId="11" fillId="0" borderId="6" xfId="163" applyFont="1" applyFill="1" applyBorder="1" applyAlignment="1">
      <alignment horizontal="center"/>
    </xf>
    <xf numFmtId="0" fontId="8" fillId="0" borderId="7" xfId="163" applyFont="1" applyFill="1" applyBorder="1" applyAlignment="1">
      <alignment horizontal="right"/>
    </xf>
    <xf numFmtId="0" fontId="8" fillId="0" borderId="8" xfId="163" applyFont="1" applyFill="1" applyBorder="1" applyAlignment="1">
      <alignment horizontal="right"/>
    </xf>
    <xf numFmtId="0" fontId="8" fillId="0" borderId="9" xfId="163" applyFont="1" applyFill="1" applyBorder="1" applyAlignment="1">
      <alignment horizontal="right"/>
    </xf>
    <xf numFmtId="0" fontId="8" fillId="0" borderId="11" xfId="163" applyFont="1" applyFill="1" applyBorder="1" applyAlignment="1">
      <alignment horizontal="right"/>
    </xf>
    <xf numFmtId="0" fontId="8" fillId="17" borderId="1" xfId="141" applyFont="1" applyFill="1" applyBorder="1" applyAlignment="1">
      <alignment horizontal="center"/>
    </xf>
    <xf numFmtId="0" fontId="1" fillId="0" borderId="0" xfId="141" applyFont="1" applyFill="1"/>
    <xf numFmtId="0" fontId="8" fillId="17" borderId="2" xfId="104" applyFont="1" applyFill="1" applyBorder="1" applyAlignment="1">
      <alignment horizontal="center"/>
    </xf>
    <xf numFmtId="0" fontId="8" fillId="17" borderId="3" xfId="104" applyFont="1" applyFill="1" applyBorder="1" applyAlignment="1">
      <alignment horizontal="center"/>
    </xf>
    <xf numFmtId="0" fontId="0" fillId="0" borderId="0" xfId="163" applyFont="1"/>
    <xf numFmtId="0" fontId="0" fillId="4" borderId="0" xfId="0" applyFont="1" applyFill="1"/>
    <xf numFmtId="0" fontId="0" fillId="0" borderId="0" xfId="0" applyFont="1" applyAlignment="1">
      <alignment horizontal="left" vertical="center"/>
    </xf>
    <xf numFmtId="0" fontId="37" fillId="2" borderId="0" xfId="0" applyFont="1" applyFill="1"/>
    <xf numFmtId="0" fontId="1" fillId="0" borderId="0" xfId="163" applyFont="1" applyFill="1" applyBorder="1"/>
    <xf numFmtId="0" fontId="41" fillId="0" borderId="0" xfId="162" applyFont="1" applyAlignment="1">
      <alignment horizontal="left"/>
    </xf>
    <xf numFmtId="0" fontId="1" fillId="0" borderId="0" xfId="163" applyFont="1" applyFill="1"/>
    <xf numFmtId="0" fontId="42" fillId="0" borderId="0" xfId="0" applyFont="1"/>
    <xf numFmtId="0" fontId="43" fillId="20" borderId="0" xfId="0" applyFont="1" applyFill="1" applyBorder="1"/>
    <xf numFmtId="0" fontId="11" fillId="0" borderId="0" xfId="0" applyFont="1"/>
    <xf numFmtId="0" fontId="38" fillId="22" borderId="0" xfId="0" applyFont="1" applyFill="1" applyBorder="1"/>
    <xf numFmtId="0" fontId="43" fillId="21" borderId="0" xfId="0" applyFont="1" applyFill="1" applyBorder="1"/>
    <xf numFmtId="0" fontId="44" fillId="0" borderId="0" xfId="0" applyFont="1"/>
    <xf numFmtId="0" fontId="40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40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" fillId="17" borderId="0" xfId="0" applyFont="1" applyFill="1" applyAlignment="1">
      <alignment horizontal="center" vertical="center"/>
    </xf>
    <xf numFmtId="0" fontId="40" fillId="19" borderId="0" xfId="0" applyFont="1" applyFill="1" applyAlignment="1">
      <alignment horizontal="center" vertical="center"/>
    </xf>
    <xf numFmtId="180" fontId="1" fillId="4" borderId="0" xfId="0" applyNumberFormat="1" applyFont="1" applyFill="1" applyAlignment="1">
      <alignment horizontal="center" vertical="center"/>
    </xf>
    <xf numFmtId="0" fontId="1" fillId="0" borderId="0" xfId="0" applyFont="1" applyFill="1"/>
    <xf numFmtId="0" fontId="1" fillId="0" borderId="0" xfId="0" quotePrefix="1" applyFont="1"/>
    <xf numFmtId="0" fontId="1" fillId="0" borderId="0" xfId="0" applyFont="1" applyAlignment="1">
      <alignment horizontal="right"/>
    </xf>
    <xf numFmtId="0" fontId="39" fillId="0" borderId="18" xfId="0" applyFont="1" applyBorder="1"/>
    <xf numFmtId="0" fontId="1" fillId="0" borderId="18" xfId="0" applyFont="1" applyBorder="1" applyAlignment="1">
      <alignment vertical="center"/>
    </xf>
    <xf numFmtId="0" fontId="1" fillId="0" borderId="18" xfId="0" applyFont="1" applyBorder="1" applyAlignment="1">
      <alignment vertical="center" wrapText="1"/>
    </xf>
    <xf numFmtId="0" fontId="41" fillId="0" borderId="18" xfId="162" applyFont="1" applyBorder="1" applyAlignment="1">
      <alignment vertical="center"/>
    </xf>
    <xf numFmtId="0" fontId="1" fillId="0" borderId="18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 wrapText="1"/>
    </xf>
    <xf numFmtId="0" fontId="41" fillId="0" borderId="18" xfId="162" applyFont="1" applyBorder="1" applyAlignment="1">
      <alignment horizontal="left" vertical="center"/>
    </xf>
    <xf numFmtId="0" fontId="38" fillId="0" borderId="0" xfId="0" applyFont="1"/>
    <xf numFmtId="0" fontId="45" fillId="0" borderId="0" xfId="0" applyFont="1"/>
    <xf numFmtId="0" fontId="40" fillId="2" borderId="0" xfId="163" applyFont="1" applyFill="1" applyAlignment="1">
      <alignment horizontal="center"/>
    </xf>
    <xf numFmtId="0" fontId="46" fillId="0" borderId="0" xfId="163" applyFont="1"/>
    <xf numFmtId="0" fontId="0" fillId="0" borderId="0" xfId="168" applyFont="1"/>
    <xf numFmtId="0" fontId="40" fillId="2" borderId="0" xfId="0" applyFont="1" applyFill="1" applyAlignment="1">
      <alignment horizontal="right" vertical="center"/>
    </xf>
    <xf numFmtId="0" fontId="40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40" fillId="2" borderId="0" xfId="0" applyFont="1" applyFill="1" applyAlignment="1">
      <alignment horizontal="right"/>
    </xf>
    <xf numFmtId="0" fontId="1" fillId="0" borderId="0" xfId="163" applyFont="1" applyAlignment="1">
      <alignment horizontal="right"/>
    </xf>
    <xf numFmtId="0" fontId="41" fillId="0" borderId="0" xfId="162" applyFont="1" applyAlignment="1">
      <alignment horizontal="right"/>
    </xf>
    <xf numFmtId="0" fontId="40" fillId="3" borderId="0" xfId="0" applyFont="1" applyFill="1" applyAlignment="1">
      <alignment horizontal="right"/>
    </xf>
    <xf numFmtId="0" fontId="1" fillId="0" borderId="0" xfId="163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 wrapText="1"/>
    </xf>
    <xf numFmtId="0" fontId="0" fillId="0" borderId="0" xfId="164" applyFont="1"/>
    <xf numFmtId="0" fontId="0" fillId="0" borderId="0" xfId="164" applyFont="1" applyFill="1" applyBorder="1"/>
    <xf numFmtId="0" fontId="0" fillId="17" borderId="0" xfId="0" applyFont="1" applyFill="1"/>
    <xf numFmtId="0" fontId="42" fillId="0" borderId="0" xfId="0" applyFont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37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0" fontId="8" fillId="9" borderId="18" xfId="0" applyFont="1" applyFill="1" applyBorder="1" applyAlignment="1">
      <alignment horizontal="center" vertical="center"/>
    </xf>
    <xf numFmtId="182" fontId="0" fillId="0" borderId="0" xfId="165" applyNumberFormat="1" applyFont="1" applyAlignment="1">
      <alignment horizontal="center" vertical="center"/>
    </xf>
    <xf numFmtId="182" fontId="0" fillId="28" borderId="18" xfId="165" applyNumberFormat="1" applyFont="1" applyFill="1" applyBorder="1" applyAlignment="1">
      <alignment horizontal="center" vertical="center"/>
    </xf>
    <xf numFmtId="182" fontId="0" fillId="0" borderId="18" xfId="165" applyNumberFormat="1" applyFont="1" applyBorder="1" applyAlignment="1">
      <alignment horizontal="center" vertical="center"/>
    </xf>
    <xf numFmtId="0" fontId="40" fillId="23" borderId="0" xfId="0" applyFont="1" applyFill="1" applyAlignment="1">
      <alignment horizontal="center" vertical="center"/>
    </xf>
    <xf numFmtId="0" fontId="40" fillId="23" borderId="0" xfId="0" applyFont="1" applyFill="1" applyAlignment="1">
      <alignment vertical="center"/>
    </xf>
    <xf numFmtId="184" fontId="40" fillId="23" borderId="0" xfId="0" applyNumberFormat="1" applyFont="1" applyFill="1" applyAlignment="1">
      <alignment horizontal="center" vertical="center"/>
    </xf>
    <xf numFmtId="0" fontId="0" fillId="29" borderId="0" xfId="0" applyFont="1" applyFill="1" applyAlignment="1">
      <alignment horizontal="center" vertical="center"/>
    </xf>
    <xf numFmtId="0" fontId="38" fillId="0" borderId="0" xfId="0" applyFont="1" applyAlignment="1">
      <alignment vertical="center"/>
    </xf>
    <xf numFmtId="179" fontId="40" fillId="23" borderId="0" xfId="167" applyNumberFormat="1" applyFont="1" applyFill="1" applyAlignment="1">
      <alignment horizontal="right" vertical="center"/>
    </xf>
    <xf numFmtId="0" fontId="39" fillId="0" borderId="0" xfId="0" applyFont="1" applyAlignment="1">
      <alignment vertical="center"/>
    </xf>
    <xf numFmtId="0" fontId="0" fillId="0" borderId="27" xfId="0" applyFont="1" applyBorder="1" applyAlignment="1">
      <alignment vertical="center"/>
    </xf>
    <xf numFmtId="181" fontId="0" fillId="0" borderId="28" xfId="0" applyNumberFormat="1" applyFont="1" applyBorder="1" applyAlignment="1">
      <alignment horizontal="center" vertical="center"/>
    </xf>
    <xf numFmtId="181" fontId="0" fillId="0" borderId="27" xfId="0" applyNumberFormat="1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0" fillId="0" borderId="30" xfId="0" applyFont="1" applyBorder="1" applyAlignment="1">
      <alignment vertical="center"/>
    </xf>
    <xf numFmtId="181" fontId="0" fillId="0" borderId="0" xfId="0" applyNumberFormat="1" applyFont="1" applyBorder="1" applyAlignment="1">
      <alignment horizontal="center" vertical="center"/>
    </xf>
    <xf numFmtId="181" fontId="0" fillId="0" borderId="30" xfId="0" applyNumberFormat="1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0" borderId="31" xfId="0" applyFont="1" applyBorder="1" applyAlignment="1">
      <alignment vertical="center"/>
    </xf>
    <xf numFmtId="181" fontId="0" fillId="0" borderId="26" xfId="0" applyNumberFormat="1" applyFont="1" applyBorder="1" applyAlignment="1">
      <alignment horizontal="center" vertical="center"/>
    </xf>
    <xf numFmtId="181" fontId="0" fillId="0" borderId="32" xfId="0" applyNumberFormat="1" applyFont="1" applyBorder="1" applyAlignment="1">
      <alignment horizontal="center" vertical="center"/>
    </xf>
    <xf numFmtId="0" fontId="0" fillId="0" borderId="32" xfId="0" applyFont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0" fillId="24" borderId="33" xfId="0" applyFont="1" applyFill="1" applyBorder="1" applyAlignment="1">
      <alignment vertical="center"/>
    </xf>
    <xf numFmtId="0" fontId="0" fillId="24" borderId="34" xfId="0" applyFont="1" applyFill="1" applyBorder="1" applyAlignment="1">
      <alignment vertical="center"/>
    </xf>
    <xf numFmtId="179" fontId="0" fillId="24" borderId="34" xfId="167" applyNumberFormat="1" applyFont="1" applyFill="1" applyBorder="1" applyAlignment="1">
      <alignment horizontal="center" vertical="center"/>
    </xf>
    <xf numFmtId="37" fontId="0" fillId="30" borderId="35" xfId="165" applyNumberFormat="1" applyFont="1" applyFill="1" applyBorder="1" applyAlignment="1">
      <alignment horizontal="center" vertical="center"/>
    </xf>
    <xf numFmtId="0" fontId="0" fillId="0" borderId="28" xfId="0" applyFont="1" applyBorder="1" applyAlignment="1">
      <alignment vertical="center"/>
    </xf>
    <xf numFmtId="3" fontId="0" fillId="0" borderId="28" xfId="165" applyNumberFormat="1" applyFont="1" applyBorder="1" applyAlignment="1">
      <alignment horizontal="center" vertical="center"/>
    </xf>
    <xf numFmtId="3" fontId="0" fillId="0" borderId="29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9" fontId="0" fillId="9" borderId="18" xfId="0" applyNumberFormat="1" applyFont="1" applyFill="1" applyBorder="1" applyAlignment="1">
      <alignment horizontal="center" vertical="center"/>
    </xf>
    <xf numFmtId="9" fontId="0" fillId="0" borderId="19" xfId="0" applyNumberFormat="1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19" xfId="0" applyNumberFormat="1" applyFont="1" applyBorder="1" applyAlignment="1">
      <alignment horizontal="center" vertical="center"/>
    </xf>
    <xf numFmtId="0" fontId="0" fillId="0" borderId="33" xfId="0" applyFont="1" applyBorder="1" applyAlignment="1">
      <alignment vertical="center"/>
    </xf>
    <xf numFmtId="0" fontId="0" fillId="0" borderId="34" xfId="0" applyFont="1" applyBorder="1" applyAlignment="1">
      <alignment vertical="center"/>
    </xf>
    <xf numFmtId="179" fontId="0" fillId="0" borderId="34" xfId="167" applyNumberFormat="1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181" fontId="0" fillId="0" borderId="14" xfId="0" applyNumberFormat="1" applyFont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185" fontId="0" fillId="0" borderId="27" xfId="167" applyNumberFormat="1" applyFont="1" applyBorder="1" applyAlignment="1">
      <alignment horizontal="center" vertical="center"/>
    </xf>
    <xf numFmtId="185" fontId="0" fillId="0" borderId="28" xfId="167" applyNumberFormat="1" applyFont="1" applyBorder="1" applyAlignment="1">
      <alignment horizontal="center" vertical="center"/>
    </xf>
    <xf numFmtId="181" fontId="0" fillId="0" borderId="36" xfId="0" applyNumberFormat="1" applyFont="1" applyBorder="1" applyAlignment="1">
      <alignment horizontal="center" vertical="center"/>
    </xf>
    <xf numFmtId="0" fontId="0" fillId="0" borderId="19" xfId="0" applyFont="1" applyBorder="1" applyAlignment="1">
      <alignment vertical="center"/>
    </xf>
    <xf numFmtId="185" fontId="0" fillId="0" borderId="30" xfId="167" applyNumberFormat="1" applyFont="1" applyBorder="1" applyAlignment="1">
      <alignment horizontal="center" vertical="center"/>
    </xf>
    <xf numFmtId="185" fontId="0" fillId="0" borderId="0" xfId="167" applyNumberFormat="1" applyFont="1" applyBorder="1" applyAlignment="1">
      <alignment horizontal="center" vertical="center"/>
    </xf>
    <xf numFmtId="181" fontId="0" fillId="0" borderId="37" xfId="0" applyNumberFormat="1" applyFont="1" applyBorder="1" applyAlignment="1">
      <alignment horizontal="center" vertical="center"/>
    </xf>
    <xf numFmtId="0" fontId="0" fillId="0" borderId="32" xfId="0" applyFont="1" applyBorder="1" applyAlignment="1">
      <alignment vertical="center"/>
    </xf>
    <xf numFmtId="185" fontId="0" fillId="0" borderId="31" xfId="167" applyNumberFormat="1" applyFont="1" applyBorder="1" applyAlignment="1">
      <alignment horizontal="center" vertical="center"/>
    </xf>
    <xf numFmtId="185" fontId="0" fillId="0" borderId="26" xfId="167" applyNumberFormat="1" applyFont="1" applyBorder="1" applyAlignment="1">
      <alignment horizontal="center" vertical="center"/>
    </xf>
    <xf numFmtId="185" fontId="0" fillId="0" borderId="34" xfId="167" applyNumberFormat="1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43" fontId="0" fillId="0" borderId="14" xfId="165" applyNumberFormat="1" applyFont="1" applyBorder="1" applyAlignment="1">
      <alignment vertical="center"/>
    </xf>
    <xf numFmtId="179" fontId="0" fillId="0" borderId="28" xfId="167" applyNumberFormat="1" applyFont="1" applyBorder="1" applyAlignment="1">
      <alignment vertical="center"/>
    </xf>
    <xf numFmtId="185" fontId="0" fillId="0" borderId="0" xfId="167" applyNumberFormat="1" applyFont="1" applyAlignment="1">
      <alignment horizontal="center" vertical="center"/>
    </xf>
    <xf numFmtId="43" fontId="0" fillId="0" borderId="36" xfId="165" applyNumberFormat="1" applyFont="1" applyBorder="1" applyAlignment="1">
      <alignment vertical="center"/>
    </xf>
    <xf numFmtId="179" fontId="0" fillId="0" borderId="30" xfId="167" applyNumberFormat="1" applyFont="1" applyBorder="1" applyAlignment="1">
      <alignment vertical="center"/>
    </xf>
    <xf numFmtId="179" fontId="0" fillId="0" borderId="0" xfId="167" applyNumberFormat="1" applyFont="1" applyBorder="1" applyAlignment="1">
      <alignment vertical="center"/>
    </xf>
    <xf numFmtId="181" fontId="0" fillId="0" borderId="33" xfId="0" applyNumberFormat="1" applyFont="1" applyBorder="1" applyAlignment="1">
      <alignment horizontal="center" vertical="center"/>
    </xf>
    <xf numFmtId="43" fontId="0" fillId="0" borderId="18" xfId="165" applyNumberFormat="1" applyFont="1" applyBorder="1" applyAlignment="1">
      <alignment vertical="center"/>
    </xf>
    <xf numFmtId="43" fontId="0" fillId="0" borderId="33" xfId="165" applyFont="1" applyBorder="1" applyAlignment="1">
      <alignment vertical="center"/>
    </xf>
    <xf numFmtId="181" fontId="0" fillId="31" borderId="0" xfId="0" applyNumberFormat="1" applyFont="1" applyFill="1" applyAlignment="1">
      <alignment horizontal="center" vertical="center"/>
    </xf>
    <xf numFmtId="186" fontId="0" fillId="31" borderId="0" xfId="167" applyNumberFormat="1" applyFont="1" applyFill="1" applyAlignment="1">
      <alignment horizontal="center" vertical="center"/>
    </xf>
    <xf numFmtId="43" fontId="0" fillId="31" borderId="0" xfId="0" applyNumberFormat="1" applyFont="1" applyFill="1" applyAlignment="1">
      <alignment vertical="center"/>
    </xf>
    <xf numFmtId="0" fontId="40" fillId="33" borderId="0" xfId="0" applyFont="1" applyFill="1" applyAlignment="1">
      <alignment horizontal="center" vertical="center"/>
    </xf>
    <xf numFmtId="0" fontId="37" fillId="33" borderId="0" xfId="0" applyFont="1" applyFill="1" applyAlignment="1">
      <alignment horizontal="left" vertical="center"/>
    </xf>
    <xf numFmtId="0" fontId="40" fillId="33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left" vertical="center" wrapText="1"/>
    </xf>
    <xf numFmtId="0" fontId="0" fillId="4" borderId="0" xfId="0" applyFont="1" applyFill="1" applyAlignment="1">
      <alignment horizontal="left" vertical="center"/>
    </xf>
    <xf numFmtId="187" fontId="0" fillId="29" borderId="0" xfId="0" applyNumberFormat="1" applyFont="1" applyFill="1" applyAlignment="1">
      <alignment horizontal="center" vertical="center"/>
    </xf>
    <xf numFmtId="0" fontId="0" fillId="29" borderId="0" xfId="0" applyFont="1" applyFill="1" applyAlignment="1">
      <alignment horizontal="left" vertical="center"/>
    </xf>
    <xf numFmtId="179" fontId="0" fillId="29" borderId="0" xfId="0" applyNumberFormat="1" applyFont="1" applyFill="1" applyAlignment="1">
      <alignment horizontal="center" vertical="center"/>
    </xf>
    <xf numFmtId="179" fontId="0" fillId="32" borderId="0" xfId="0" applyNumberFormat="1" applyFont="1" applyFill="1" applyAlignment="1">
      <alignment horizontal="center" vertical="center"/>
    </xf>
    <xf numFmtId="179" fontId="0" fillId="17" borderId="0" xfId="0" applyNumberFormat="1" applyFont="1" applyFill="1" applyAlignment="1">
      <alignment horizontal="center" vertical="center"/>
    </xf>
    <xf numFmtId="9" fontId="0" fillId="0" borderId="0" xfId="0" applyNumberFormat="1" applyFont="1" applyFill="1" applyAlignment="1">
      <alignment horizontal="center" vertical="center"/>
    </xf>
    <xf numFmtId="9" fontId="0" fillId="0" borderId="0" xfId="0" applyNumberFormat="1" applyFont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179" fontId="0" fillId="0" borderId="0" xfId="167" applyNumberFormat="1" applyFont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right" wrapText="1"/>
    </xf>
    <xf numFmtId="0" fontId="0" fillId="0" borderId="0" xfId="0" applyFont="1" applyFill="1" applyBorder="1" applyAlignment="1">
      <alignment horizontal="right"/>
    </xf>
    <xf numFmtId="37" fontId="1" fillId="34" borderId="18" xfId="165" applyNumberFormat="1" applyFont="1" applyFill="1" applyBorder="1" applyAlignment="1">
      <alignment horizontal="center" vertical="center"/>
    </xf>
    <xf numFmtId="0" fontId="49" fillId="5" borderId="0" xfId="0" applyFont="1" applyFill="1" applyAlignment="1">
      <alignment horizontal="left" vertical="center"/>
    </xf>
    <xf numFmtId="0" fontId="48" fillId="5" borderId="0" xfId="0" applyFont="1" applyFill="1" applyAlignment="1">
      <alignment horizontal="left" vertical="center"/>
    </xf>
    <xf numFmtId="0" fontId="0" fillId="17" borderId="0" xfId="0" applyFont="1" applyFill="1" applyAlignment="1">
      <alignment horizontal="center"/>
    </xf>
    <xf numFmtId="0" fontId="50" fillId="5" borderId="0" xfId="0" applyFont="1" applyFill="1" applyAlignment="1">
      <alignment vertical="center"/>
    </xf>
    <xf numFmtId="0" fontId="50" fillId="5" borderId="24" xfId="0" applyFont="1" applyFill="1" applyBorder="1" applyAlignment="1">
      <alignment vertical="center"/>
    </xf>
    <xf numFmtId="0" fontId="35" fillId="5" borderId="24" xfId="0" applyFont="1" applyFill="1" applyBorder="1" applyAlignment="1">
      <alignment horizontal="left" vertical="center"/>
    </xf>
    <xf numFmtId="0" fontId="50" fillId="17" borderId="0" xfId="0" applyFont="1" applyFill="1" applyAlignment="1">
      <alignment vertical="center"/>
    </xf>
    <xf numFmtId="1" fontId="51" fillId="25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50" fillId="5" borderId="0" xfId="0" applyFont="1" applyFill="1" applyAlignment="1">
      <alignment horizontal="left" vertical="center"/>
    </xf>
    <xf numFmtId="0" fontId="53" fillId="5" borderId="24" xfId="0" applyFont="1" applyFill="1" applyBorder="1" applyAlignment="1">
      <alignment horizontal="left" vertical="center"/>
    </xf>
    <xf numFmtId="0" fontId="52" fillId="0" borderId="0" xfId="0" applyFont="1" applyAlignment="1">
      <alignment vertical="center"/>
    </xf>
    <xf numFmtId="0" fontId="54" fillId="5" borderId="0" xfId="0" applyFont="1" applyFill="1" applyAlignment="1">
      <alignment vertical="center"/>
    </xf>
    <xf numFmtId="0" fontId="54" fillId="5" borderId="24" xfId="0" applyFont="1" applyFill="1" applyBorder="1" applyAlignment="1">
      <alignment vertical="center"/>
    </xf>
    <xf numFmtId="0" fontId="51" fillId="0" borderId="0" xfId="0" applyFont="1" applyFill="1" applyAlignment="1" applyProtection="1">
      <alignment vertic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0" fontId="0" fillId="0" borderId="0" xfId="0" applyNumberFormat="1"/>
    <xf numFmtId="0" fontId="0" fillId="0" borderId="0" xfId="0" applyFill="1" applyAlignment="1">
      <alignment horizontal="right"/>
    </xf>
    <xf numFmtId="0" fontId="0" fillId="2" borderId="0" xfId="0" applyFill="1"/>
    <xf numFmtId="0" fontId="0" fillId="2" borderId="0" xfId="0" applyNumberFormat="1" applyFill="1"/>
    <xf numFmtId="0" fontId="47" fillId="2" borderId="0" xfId="0" applyFont="1" applyFill="1"/>
    <xf numFmtId="0" fontId="0" fillId="3" borderId="0" xfId="0" applyFill="1"/>
    <xf numFmtId="0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55" fillId="3" borderId="0" xfId="0" applyFont="1" applyFill="1" applyAlignment="1">
      <alignment horizontal="right"/>
    </xf>
    <xf numFmtId="0" fontId="56" fillId="3" borderId="0" xfId="0" applyFont="1" applyFill="1" applyAlignment="1">
      <alignment horizontal="right"/>
    </xf>
    <xf numFmtId="0" fontId="57" fillId="3" borderId="0" xfId="0" applyNumberFormat="1" applyFont="1" applyFill="1" applyAlignment="1">
      <alignment horizontal="right"/>
    </xf>
    <xf numFmtId="0" fontId="0" fillId="3" borderId="0" xfId="0" applyFill="1" applyAlignment="1">
      <alignment horizontal="right"/>
    </xf>
    <xf numFmtId="0" fontId="57" fillId="3" borderId="0" xfId="0" applyFont="1" applyFill="1" applyAlignment="1">
      <alignment horizontal="right"/>
    </xf>
    <xf numFmtId="0" fontId="58" fillId="3" borderId="0" xfId="0" applyFont="1" applyFill="1" applyAlignment="1">
      <alignment horizontal="right"/>
    </xf>
    <xf numFmtId="0" fontId="57" fillId="3" borderId="0" xfId="0" applyNumberFormat="1" applyFont="1" applyFill="1" applyAlignment="1">
      <alignment horizontal="left"/>
    </xf>
    <xf numFmtId="0" fontId="40" fillId="19" borderId="0" xfId="0" applyFont="1" applyFill="1" applyAlignment="1">
      <alignment horizontal="right" vertical="center"/>
    </xf>
    <xf numFmtId="0" fontId="40" fillId="0" borderId="0" xfId="0" applyFont="1" applyFill="1" applyAlignment="1">
      <alignment horizontal="right" vertical="center"/>
    </xf>
    <xf numFmtId="0" fontId="1" fillId="0" borderId="0" xfId="163" applyFont="1" applyFill="1" applyBorder="1" applyAlignment="1">
      <alignment horizontal="right"/>
    </xf>
    <xf numFmtId="0" fontId="1" fillId="0" borderId="0" xfId="163" applyFont="1" applyFill="1" applyAlignment="1">
      <alignment horizontal="right"/>
    </xf>
    <xf numFmtId="0" fontId="44" fillId="0" borderId="0" xfId="0" applyFont="1" applyAlignment="1">
      <alignment horizontal="right"/>
    </xf>
    <xf numFmtId="0" fontId="0" fillId="0" borderId="0" xfId="163" applyFont="1" applyAlignment="1">
      <alignment horizontal="right"/>
    </xf>
    <xf numFmtId="0" fontId="40" fillId="18" borderId="0" xfId="0" quotePrefix="1" applyFont="1" applyFill="1" applyAlignment="1">
      <alignment horizontal="right"/>
    </xf>
    <xf numFmtId="0" fontId="1" fillId="4" borderId="0" xfId="0" applyFont="1" applyFill="1" applyAlignment="1">
      <alignment horizontal="right"/>
    </xf>
    <xf numFmtId="0" fontId="46" fillId="0" borderId="0" xfId="163" applyFont="1" applyAlignment="1">
      <alignment horizontal="right"/>
    </xf>
    <xf numFmtId="0" fontId="40" fillId="0" borderId="0" xfId="0" applyFont="1" applyFill="1" applyAlignment="1">
      <alignment horizontal="left" vertical="center"/>
    </xf>
    <xf numFmtId="0" fontId="40" fillId="0" borderId="0" xfId="0" applyFont="1" applyFill="1" applyAlignment="1">
      <alignment horizontal="center" vertical="center"/>
    </xf>
    <xf numFmtId="0" fontId="50" fillId="9" borderId="0" xfId="0" applyFont="1" applyFill="1" applyAlignment="1">
      <alignment vertical="center"/>
    </xf>
    <xf numFmtId="0" fontId="59" fillId="5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0" fillId="0" borderId="0" xfId="0" applyFont="1" applyFill="1"/>
    <xf numFmtId="0" fontId="61" fillId="0" borderId="0" xfId="165" applyNumberFormat="1" applyFont="1" applyFill="1" applyBorder="1" applyAlignment="1">
      <alignment horizontal="left"/>
    </xf>
    <xf numFmtId="0" fontId="60" fillId="0" borderId="0" xfId="174" applyNumberFormat="1" applyFont="1" applyFill="1" applyBorder="1" applyAlignment="1">
      <alignment horizontal="left"/>
    </xf>
    <xf numFmtId="0" fontId="60" fillId="0" borderId="26" xfId="174" applyNumberFormat="1" applyFont="1" applyFill="1" applyBorder="1" applyAlignment="1">
      <alignment horizontal="left"/>
    </xf>
    <xf numFmtId="0" fontId="60" fillId="0" borderId="0" xfId="165" applyNumberFormat="1" applyFont="1" applyFill="1" applyBorder="1" applyAlignment="1">
      <alignment horizontal="left"/>
    </xf>
    <xf numFmtId="0" fontId="62" fillId="0" borderId="0" xfId="165" applyNumberFormat="1" applyFont="1" applyAlignment="1">
      <alignment horizontal="left"/>
    </xf>
    <xf numFmtId="182" fontId="50" fillId="5" borderId="0" xfId="165" applyNumberFormat="1" applyFont="1" applyFill="1" applyAlignment="1">
      <alignment vertical="center"/>
    </xf>
    <xf numFmtId="0" fontId="59" fillId="5" borderId="0" xfId="0" applyFont="1" applyFill="1" applyAlignment="1">
      <alignment horizontal="right" vertical="center"/>
    </xf>
    <xf numFmtId="0" fontId="50" fillId="5" borderId="0" xfId="0" applyFont="1" applyFill="1" applyAlignment="1">
      <alignment horizontal="right" vertical="center"/>
    </xf>
    <xf numFmtId="177" fontId="50" fillId="5" borderId="0" xfId="165" applyNumberFormat="1" applyFont="1" applyFill="1" applyAlignment="1">
      <alignment vertical="center"/>
    </xf>
    <xf numFmtId="0" fontId="50" fillId="5" borderId="26" xfId="0" applyFont="1" applyFill="1" applyBorder="1" applyAlignment="1">
      <alignment vertical="center"/>
    </xf>
    <xf numFmtId="182" fontId="50" fillId="0" borderId="0" xfId="165" applyNumberFormat="1" applyFont="1" applyAlignment="1">
      <alignment vertical="center"/>
    </xf>
    <xf numFmtId="179" fontId="50" fillId="0" borderId="0" xfId="167" applyNumberFormat="1" applyFont="1" applyAlignment="1">
      <alignment vertical="center"/>
    </xf>
    <xf numFmtId="0" fontId="30" fillId="24" borderId="0" xfId="0" applyFont="1" applyFill="1" applyAlignment="1">
      <alignment vertical="center"/>
    </xf>
    <xf numFmtId="0" fontId="48" fillId="24" borderId="0" xfId="0" applyFont="1" applyFill="1" applyAlignment="1">
      <alignment horizontal="left" vertical="center"/>
    </xf>
    <xf numFmtId="0" fontId="30" fillId="36" borderId="0" xfId="0" applyFont="1" applyFill="1" applyAlignment="1">
      <alignment vertical="center"/>
    </xf>
    <xf numFmtId="0" fontId="48" fillId="36" borderId="0" xfId="0" applyFont="1" applyFill="1" applyAlignment="1">
      <alignment horizontal="left" vertical="center"/>
    </xf>
    <xf numFmtId="0" fontId="63" fillId="36" borderId="0" xfId="0" applyFont="1" applyFill="1" applyAlignment="1">
      <alignment horizontal="left" vertical="center"/>
    </xf>
    <xf numFmtId="0" fontId="63" fillId="24" borderId="0" xfId="0" applyFont="1" applyFill="1" applyAlignment="1">
      <alignment horizontal="left" vertical="center"/>
    </xf>
    <xf numFmtId="0" fontId="64" fillId="5" borderId="23" xfId="0" applyFont="1" applyFill="1" applyBorder="1" applyAlignment="1">
      <alignment vertical="center"/>
    </xf>
    <xf numFmtId="0" fontId="65" fillId="5" borderId="0" xfId="0" applyFont="1" applyFill="1" applyAlignment="1">
      <alignment vertical="center"/>
    </xf>
    <xf numFmtId="3" fontId="0" fillId="17" borderId="0" xfId="0" applyNumberFormat="1" applyFont="1" applyFill="1" applyAlignment="1">
      <alignment horizontal="center"/>
    </xf>
    <xf numFmtId="9" fontId="50" fillId="0" borderId="0" xfId="167" applyFont="1" applyAlignment="1">
      <alignment vertical="center"/>
    </xf>
    <xf numFmtId="0" fontId="60" fillId="37" borderId="38" xfId="0" applyFont="1" applyFill="1" applyBorder="1" applyAlignment="1">
      <alignment horizontal="center" vertical="center" wrapText="1"/>
    </xf>
    <xf numFmtId="0" fontId="67" fillId="37" borderId="42" xfId="0" applyFont="1" applyFill="1" applyBorder="1" applyAlignment="1">
      <alignment horizontal="center" vertical="center" wrapText="1" readingOrder="1"/>
    </xf>
    <xf numFmtId="17" fontId="67" fillId="37" borderId="42" xfId="0" applyNumberFormat="1" applyFont="1" applyFill="1" applyBorder="1" applyAlignment="1">
      <alignment horizontal="center" vertical="center" wrapText="1" readingOrder="1"/>
    </xf>
    <xf numFmtId="0" fontId="51" fillId="23" borderId="0" xfId="0" applyFont="1" applyFill="1" applyAlignment="1">
      <alignment vertical="center"/>
    </xf>
    <xf numFmtId="0" fontId="51" fillId="23" borderId="0" xfId="0" applyFont="1" applyFill="1" applyAlignment="1">
      <alignment horizontal="left" vertical="center"/>
    </xf>
    <xf numFmtId="0" fontId="67" fillId="37" borderId="45" xfId="0" applyFont="1" applyFill="1" applyBorder="1" applyAlignment="1">
      <alignment horizontal="center" vertical="center" wrapText="1" readingOrder="1"/>
    </xf>
    <xf numFmtId="37" fontId="51" fillId="25" borderId="18" xfId="165" applyNumberFormat="1" applyFont="1" applyFill="1" applyBorder="1" applyAlignment="1" applyProtection="1">
      <alignment horizontal="center" vertical="center"/>
      <protection locked="0"/>
    </xf>
    <xf numFmtId="0" fontId="66" fillId="37" borderId="40" xfId="0" applyFont="1" applyFill="1" applyBorder="1" applyAlignment="1">
      <alignment horizontal="center" vertical="center" wrapText="1" readingOrder="1"/>
    </xf>
    <xf numFmtId="0" fontId="67" fillId="37" borderId="42" xfId="0" applyFont="1" applyFill="1" applyBorder="1" applyAlignment="1">
      <alignment vertical="center" wrapText="1" readingOrder="1"/>
    </xf>
    <xf numFmtId="0" fontId="68" fillId="38" borderId="43" xfId="0" applyFont="1" applyFill="1" applyBorder="1" applyAlignment="1">
      <alignment vertical="center" wrapText="1" readingOrder="1"/>
    </xf>
    <xf numFmtId="0" fontId="68" fillId="39" borderId="43" xfId="0" applyFont="1" applyFill="1" applyBorder="1" applyAlignment="1">
      <alignment vertical="center" wrapText="1" readingOrder="1"/>
    </xf>
    <xf numFmtId="0" fontId="68" fillId="39" borderId="38" xfId="0" applyFont="1" applyFill="1" applyBorder="1" applyAlignment="1">
      <alignment vertical="center" wrapText="1" readingOrder="1"/>
    </xf>
    <xf numFmtId="0" fontId="66" fillId="37" borderId="42" xfId="0" applyFont="1" applyFill="1" applyBorder="1" applyAlignment="1">
      <alignment vertical="center" wrapText="1" readingOrder="1"/>
    </xf>
    <xf numFmtId="0" fontId="69" fillId="39" borderId="42" xfId="0" applyFont="1" applyFill="1" applyBorder="1" applyAlignment="1">
      <alignment horizontal="center" vertical="center" wrapText="1" readingOrder="1"/>
    </xf>
    <xf numFmtId="0" fontId="69" fillId="38" borderId="43" xfId="0" applyFont="1" applyFill="1" applyBorder="1" applyAlignment="1">
      <alignment horizontal="center" vertical="center" wrapText="1" readingOrder="1"/>
    </xf>
    <xf numFmtId="0" fontId="69" fillId="39" borderId="43" xfId="0" applyFont="1" applyFill="1" applyBorder="1" applyAlignment="1">
      <alignment horizontal="center" vertical="center" wrapText="1" readingOrder="1"/>
    </xf>
    <xf numFmtId="0" fontId="70" fillId="37" borderId="38" xfId="0" applyFont="1" applyFill="1" applyBorder="1" applyAlignment="1">
      <alignment horizontal="center" vertical="center" wrapText="1" readingOrder="1"/>
    </xf>
    <xf numFmtId="37" fontId="51" fillId="25" borderId="18" xfId="165" applyNumberFormat="1" applyFont="1" applyFill="1" applyBorder="1" applyAlignment="1" applyProtection="1">
      <alignment vertical="center"/>
      <protection locked="0"/>
    </xf>
    <xf numFmtId="0" fontId="50" fillId="24" borderId="0" xfId="0" applyFont="1" applyFill="1" applyAlignment="1">
      <alignment vertical="center"/>
    </xf>
    <xf numFmtId="0" fontId="59" fillId="5" borderId="0" xfId="0" applyFont="1" applyFill="1" applyAlignment="1">
      <alignment horizontal="center" vertical="center"/>
    </xf>
    <xf numFmtId="179" fontId="51" fillId="25" borderId="18" xfId="167" applyNumberFormat="1" applyFont="1" applyFill="1" applyBorder="1" applyAlignment="1" applyProtection="1">
      <alignment horizontal="center" vertical="center"/>
      <protection locked="0"/>
    </xf>
    <xf numFmtId="179" fontId="50" fillId="5" borderId="0" xfId="0" applyNumberFormat="1" applyFont="1" applyFill="1" applyAlignment="1">
      <alignment horizontal="center" vertical="center"/>
    </xf>
    <xf numFmtId="0" fontId="71" fillId="24" borderId="0" xfId="0" applyFont="1" applyFill="1" applyAlignment="1">
      <alignment vertical="center"/>
    </xf>
    <xf numFmtId="0" fontId="50" fillId="5" borderId="0" xfId="0" applyFont="1" applyFill="1" applyBorder="1" applyAlignment="1">
      <alignment vertical="center"/>
    </xf>
    <xf numFmtId="0" fontId="50" fillId="23" borderId="0" xfId="0" applyFont="1" applyFill="1" applyAlignment="1">
      <alignment vertical="center"/>
    </xf>
    <xf numFmtId="0" fontId="0" fillId="0" borderId="0" xfId="0" applyFont="1" applyAlignment="1">
      <alignment wrapText="1"/>
    </xf>
    <xf numFmtId="182" fontId="0" fillId="0" borderId="0" xfId="165" applyNumberFormat="1" applyFont="1"/>
    <xf numFmtId="179" fontId="0" fillId="0" borderId="0" xfId="167" applyNumberFormat="1" applyFont="1"/>
    <xf numFmtId="0" fontId="40" fillId="0" borderId="0" xfId="0" applyFont="1" applyFill="1"/>
    <xf numFmtId="0" fontId="40" fillId="0" borderId="0" xfId="0" applyFont="1" applyFill="1" applyAlignment="1">
      <alignment horizontal="center"/>
    </xf>
    <xf numFmtId="0" fontId="0" fillId="36" borderId="0" xfId="0" applyFont="1" applyFill="1" applyAlignment="1">
      <alignment vertical="center"/>
    </xf>
    <xf numFmtId="0" fontId="72" fillId="36" borderId="0" xfId="0" applyFont="1" applyFill="1" applyAlignment="1">
      <alignment horizontal="left" vertical="center"/>
    </xf>
    <xf numFmtId="0" fontId="0" fillId="0" borderId="0" xfId="0" applyFont="1" applyBorder="1"/>
    <xf numFmtId="0" fontId="0" fillId="0" borderId="0" xfId="0" applyBorder="1"/>
    <xf numFmtId="0" fontId="0" fillId="0" borderId="30" xfId="0" applyBorder="1"/>
    <xf numFmtId="0" fontId="0" fillId="0" borderId="19" xfId="0" applyFont="1" applyBorder="1"/>
    <xf numFmtId="0" fontId="0" fillId="0" borderId="19" xfId="0" applyBorder="1"/>
    <xf numFmtId="0" fontId="0" fillId="0" borderId="31" xfId="0" applyBorder="1"/>
    <xf numFmtId="0" fontId="0" fillId="0" borderId="26" xfId="0" applyBorder="1"/>
    <xf numFmtId="0" fontId="0" fillId="40" borderId="0" xfId="0" applyFont="1" applyFill="1" applyAlignment="1">
      <alignment vertical="center"/>
    </xf>
    <xf numFmtId="0" fontId="72" fillId="40" borderId="0" xfId="0" applyFont="1" applyFill="1" applyAlignment="1">
      <alignment horizontal="left" vertical="center"/>
    </xf>
    <xf numFmtId="9" fontId="0" fillId="0" borderId="0" xfId="167" applyFont="1"/>
    <xf numFmtId="0" fontId="0" fillId="0" borderId="27" xfId="0" applyBorder="1"/>
    <xf numFmtId="0" fontId="0" fillId="0" borderId="28" xfId="0" applyBorder="1"/>
    <xf numFmtId="0" fontId="0" fillId="0" borderId="28" xfId="0" applyFont="1" applyBorder="1"/>
    <xf numFmtId="0" fontId="0" fillId="0" borderId="29" xfId="0" applyFont="1" applyBorder="1"/>
    <xf numFmtId="181" fontId="0" fillId="0" borderId="28" xfId="0" applyNumberFormat="1" applyBorder="1"/>
    <xf numFmtId="181" fontId="0" fillId="0" borderId="0" xfId="0" applyNumberFormat="1" applyBorder="1"/>
    <xf numFmtId="181" fontId="0" fillId="0" borderId="26" xfId="0" applyNumberFormat="1" applyBorder="1"/>
    <xf numFmtId="43" fontId="0" fillId="0" borderId="0" xfId="165" applyFont="1"/>
    <xf numFmtId="0" fontId="72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72" fillId="0" borderId="0" xfId="0" applyFont="1" applyFill="1" applyAlignment="1">
      <alignment horizontal="left" vertical="center"/>
    </xf>
    <xf numFmtId="0" fontId="0" fillId="0" borderId="26" xfId="0" applyFont="1" applyBorder="1"/>
    <xf numFmtId="0" fontId="0" fillId="0" borderId="32" xfId="0" applyFont="1" applyBorder="1"/>
    <xf numFmtId="0" fontId="0" fillId="0" borderId="27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181" fontId="0" fillId="0" borderId="19" xfId="0" applyNumberFormat="1" applyBorder="1"/>
    <xf numFmtId="181" fontId="0" fillId="0" borderId="32" xfId="0" applyNumberFormat="1" applyBorder="1"/>
    <xf numFmtId="9" fontId="0" fillId="9" borderId="0" xfId="167" applyFont="1" applyFill="1"/>
    <xf numFmtId="6" fontId="0" fillId="0" borderId="0" xfId="0" applyNumberFormat="1" applyFont="1"/>
    <xf numFmtId="0" fontId="0" fillId="0" borderId="0" xfId="0" applyFont="1" applyAlignment="1">
      <alignment horizontal="left" wrapText="1"/>
    </xf>
    <xf numFmtId="9" fontId="0" fillId="0" borderId="0" xfId="0" applyNumberFormat="1" applyFont="1"/>
    <xf numFmtId="182" fontId="0" fillId="0" borderId="0" xfId="0" applyNumberFormat="1"/>
    <xf numFmtId="8" fontId="0" fillId="0" borderId="0" xfId="0" applyNumberFormat="1"/>
    <xf numFmtId="6" fontId="0" fillId="0" borderId="0" xfId="0" applyNumberFormat="1"/>
    <xf numFmtId="0" fontId="0" fillId="0" borderId="0" xfId="0" applyFont="1" applyAlignment="1">
      <alignment horizontal="right" wrapText="1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73" fillId="0" borderId="0" xfId="0" quotePrefix="1" applyFont="1" applyFill="1" applyAlignment="1">
      <alignment horizontal="left" vertical="center"/>
    </xf>
    <xf numFmtId="9" fontId="1" fillId="17" borderId="19" xfId="0" applyNumberFormat="1" applyFont="1" applyFill="1" applyBorder="1" applyAlignment="1">
      <alignment horizontal="right" vertical="center"/>
    </xf>
    <xf numFmtId="9" fontId="0" fillId="17" borderId="0" xfId="0" applyNumberFormat="1" applyFont="1" applyFill="1" applyAlignment="1">
      <alignment horizontal="center" vertical="center"/>
    </xf>
    <xf numFmtId="0" fontId="40" fillId="41" borderId="0" xfId="0" applyFont="1" applyFill="1" applyAlignment="1">
      <alignment horizontal="right" vertical="center"/>
    </xf>
    <xf numFmtId="0" fontId="0" fillId="0" borderId="0" xfId="0" applyFont="1" applyFill="1" applyAlignment="1">
      <alignment vertic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79" fontId="1" fillId="4" borderId="0" xfId="167" applyNumberFormat="1" applyFont="1" applyFill="1" applyBorder="1" applyAlignment="1">
      <alignment horizontal="center" vertical="center"/>
    </xf>
    <xf numFmtId="0" fontId="1" fillId="0" borderId="0" xfId="0" applyFont="1" applyFill="1" applyBorder="1"/>
    <xf numFmtId="182" fontId="8" fillId="0" borderId="0" xfId="165" applyNumberFormat="1" applyFont="1"/>
    <xf numFmtId="9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0" fontId="39" fillId="4" borderId="0" xfId="163" applyFont="1" applyFill="1"/>
    <xf numFmtId="0" fontId="46" fillId="3" borderId="0" xfId="163" applyFont="1" applyFill="1"/>
    <xf numFmtId="9" fontId="1" fillId="4" borderId="0" xfId="167" applyFont="1" applyFill="1" applyAlignment="1">
      <alignment horizontal="right" vertical="center"/>
    </xf>
    <xf numFmtId="182" fontId="1" fillId="17" borderId="19" xfId="165" applyNumberFormat="1" applyFont="1" applyFill="1" applyBorder="1" applyAlignment="1">
      <alignment horizontal="right" vertical="center"/>
    </xf>
    <xf numFmtId="182" fontId="1" fillId="4" borderId="0" xfId="165" applyNumberFormat="1" applyFont="1" applyFill="1" applyAlignment="1">
      <alignment horizontal="right" vertical="center"/>
    </xf>
    <xf numFmtId="183" fontId="46" fillId="0" borderId="0" xfId="165" applyNumberFormat="1" applyFont="1"/>
    <xf numFmtId="182" fontId="46" fillId="0" borderId="0" xfId="165" applyNumberFormat="1" applyFont="1"/>
    <xf numFmtId="0" fontId="46" fillId="35" borderId="0" xfId="163" applyFont="1" applyFill="1"/>
    <xf numFmtId="182" fontId="46" fillId="35" borderId="0" xfId="165" applyNumberFormat="1" applyFont="1" applyFill="1"/>
    <xf numFmtId="179" fontId="46" fillId="0" borderId="0" xfId="167" applyNumberFormat="1" applyFont="1"/>
    <xf numFmtId="179" fontId="46" fillId="0" borderId="0" xfId="167" applyNumberFormat="1" applyFont="1" applyAlignment="1">
      <alignment horizontal="right"/>
    </xf>
    <xf numFmtId="43" fontId="46" fillId="0" borderId="0" xfId="165" applyFont="1" applyAlignment="1">
      <alignment horizontal="right"/>
    </xf>
    <xf numFmtId="9" fontId="0" fillId="0" borderId="28" xfId="167" applyFont="1" applyBorder="1"/>
    <xf numFmtId="9" fontId="0" fillId="0" borderId="0" xfId="167" applyFont="1" applyBorder="1"/>
    <xf numFmtId="0" fontId="0" fillId="0" borderId="28" xfId="0" applyFont="1" applyBorder="1" applyAlignment="1">
      <alignment horizontal="center"/>
    </xf>
    <xf numFmtId="179" fontId="1" fillId="0" borderId="0" xfId="167" applyNumberFormat="1" applyFont="1" applyAlignment="1">
      <alignment horizontal="right"/>
    </xf>
    <xf numFmtId="0" fontId="46" fillId="41" borderId="0" xfId="163" applyFont="1" applyFill="1"/>
    <xf numFmtId="0" fontId="46" fillId="29" borderId="0" xfId="163" applyFont="1" applyFill="1"/>
    <xf numFmtId="0" fontId="46" fillId="25" borderId="0" xfId="163" applyFont="1" applyFill="1"/>
    <xf numFmtId="0" fontId="46" fillId="42" borderId="0" xfId="163" applyFont="1" applyFill="1"/>
    <xf numFmtId="182" fontId="46" fillId="0" borderId="0" xfId="163" applyNumberFormat="1" applyFont="1"/>
    <xf numFmtId="1" fontId="46" fillId="0" borderId="0" xfId="163" applyNumberFormat="1" applyFont="1"/>
    <xf numFmtId="0" fontId="1" fillId="0" borderId="0" xfId="0" applyFont="1" applyBorder="1" applyAlignment="1">
      <alignment horizontal="right"/>
    </xf>
    <xf numFmtId="168" fontId="0" fillId="0" borderId="0" xfId="165" applyNumberFormat="1" applyFont="1" applyFill="1" applyAlignment="1">
      <alignment horizontal="center" vertical="center"/>
    </xf>
    <xf numFmtId="1" fontId="68" fillId="38" borderId="44" xfId="0" applyNumberFormat="1" applyFont="1" applyFill="1" applyBorder="1" applyAlignment="1">
      <alignment horizontal="center" vertical="center" wrapText="1" readingOrder="1"/>
    </xf>
    <xf numFmtId="1" fontId="68" fillId="39" borderId="44" xfId="0" applyNumberFormat="1" applyFont="1" applyFill="1" applyBorder="1" applyAlignment="1">
      <alignment horizontal="center" vertical="center" wrapText="1" readingOrder="1"/>
    </xf>
    <xf numFmtId="1" fontId="68" fillId="39" borderId="39" xfId="0" applyNumberFormat="1" applyFont="1" applyFill="1" applyBorder="1" applyAlignment="1">
      <alignment horizontal="center" vertical="center" wrapText="1" readingOrder="1"/>
    </xf>
    <xf numFmtId="1" fontId="66" fillId="37" borderId="42" xfId="0" applyNumberFormat="1" applyFont="1" applyFill="1" applyBorder="1" applyAlignment="1">
      <alignment horizontal="center" vertical="center" wrapText="1" readingOrder="1"/>
    </xf>
    <xf numFmtId="1" fontId="69" fillId="39" borderId="42" xfId="0" applyNumberFormat="1" applyFont="1" applyFill="1" applyBorder="1" applyAlignment="1">
      <alignment horizontal="center" vertical="center" wrapText="1" readingOrder="1"/>
    </xf>
    <xf numFmtId="1" fontId="69" fillId="38" borderId="43" xfId="0" applyNumberFormat="1" applyFont="1" applyFill="1" applyBorder="1" applyAlignment="1">
      <alignment horizontal="center" vertical="center" wrapText="1" readingOrder="1"/>
    </xf>
    <xf numFmtId="1" fontId="69" fillId="39" borderId="43" xfId="0" applyNumberFormat="1" applyFont="1" applyFill="1" applyBorder="1" applyAlignment="1">
      <alignment horizontal="center" vertical="center" wrapText="1" readingOrder="1"/>
    </xf>
    <xf numFmtId="182" fontId="1" fillId="0" borderId="0" xfId="165" applyNumberFormat="1" applyFont="1" applyAlignment="1">
      <alignment horizontal="right"/>
    </xf>
    <xf numFmtId="0" fontId="0" fillId="0" borderId="0" xfId="0" applyFont="1" applyBorder="1" applyAlignment="1">
      <alignment horizontal="right"/>
    </xf>
    <xf numFmtId="182" fontId="46" fillId="43" borderId="0" xfId="165" applyNumberFormat="1" applyFont="1" applyFill="1"/>
    <xf numFmtId="0" fontId="46" fillId="0" borderId="0" xfId="163" applyFont="1" applyFill="1"/>
    <xf numFmtId="0" fontId="39" fillId="0" borderId="0" xfId="163" applyFont="1" applyFill="1"/>
    <xf numFmtId="0" fontId="46" fillId="18" borderId="0" xfId="163" applyFont="1" applyFill="1"/>
    <xf numFmtId="182" fontId="1" fillId="0" borderId="0" xfId="165" applyNumberFormat="1" applyFont="1" applyAlignment="1">
      <alignment horizontal="center"/>
    </xf>
    <xf numFmtId="9" fontId="46" fillId="0" borderId="0" xfId="167" applyFont="1"/>
    <xf numFmtId="182" fontId="0" fillId="0" borderId="0" xfId="165" applyNumberFormat="1" applyFont="1" applyAlignment="1">
      <alignment horizontal="center"/>
    </xf>
    <xf numFmtId="0" fontId="0" fillId="0" borderId="0" xfId="163" applyFont="1" applyFill="1"/>
    <xf numFmtId="9" fontId="50" fillId="5" borderId="0" xfId="167" applyFont="1" applyFill="1" applyAlignment="1">
      <alignment vertical="center"/>
    </xf>
    <xf numFmtId="182" fontId="1" fillId="0" borderId="0" xfId="165" applyNumberFormat="1" applyFont="1"/>
    <xf numFmtId="0" fontId="46" fillId="43" borderId="0" xfId="163" applyFont="1" applyFill="1"/>
    <xf numFmtId="0" fontId="1" fillId="18" borderId="0" xfId="163" applyFont="1" applyFill="1"/>
    <xf numFmtId="182" fontId="50" fillId="5" borderId="26" xfId="165" applyNumberFormat="1" applyFont="1" applyFill="1" applyBorder="1" applyAlignment="1">
      <alignment vertical="center"/>
    </xf>
    <xf numFmtId="179" fontId="50" fillId="5" borderId="0" xfId="167" applyNumberFormat="1" applyFont="1" applyFill="1" applyAlignment="1">
      <alignment vertical="center"/>
    </xf>
    <xf numFmtId="9" fontId="1" fillId="0" borderId="0" xfId="167" applyFont="1" applyAlignment="1">
      <alignment horizontal="right"/>
    </xf>
    <xf numFmtId="182" fontId="1" fillId="0" borderId="0" xfId="163" applyNumberFormat="1" applyFont="1"/>
    <xf numFmtId="9" fontId="1" fillId="0" borderId="0" xfId="167" applyFont="1"/>
    <xf numFmtId="0" fontId="69" fillId="25" borderId="43" xfId="0" applyFont="1" applyFill="1" applyBorder="1" applyAlignment="1">
      <alignment horizontal="center" vertical="center" wrapText="1" readingOrder="1"/>
    </xf>
    <xf numFmtId="1" fontId="8" fillId="39" borderId="42" xfId="0" applyNumberFormat="1" applyFont="1" applyFill="1" applyBorder="1" applyAlignment="1">
      <alignment horizontal="center" vertical="center" wrapText="1"/>
    </xf>
    <xf numFmtId="1" fontId="8" fillId="38" borderId="43" xfId="0" applyNumberFormat="1" applyFont="1" applyFill="1" applyBorder="1" applyAlignment="1">
      <alignment horizontal="center" vertical="center" wrapText="1"/>
    </xf>
    <xf numFmtId="1" fontId="8" fillId="39" borderId="43" xfId="0" applyNumberFormat="1" applyFont="1" applyFill="1" applyBorder="1" applyAlignment="1">
      <alignment horizontal="center" vertical="center" wrapText="1"/>
    </xf>
    <xf numFmtId="9" fontId="1" fillId="0" borderId="0" xfId="0" applyNumberFormat="1" applyFont="1"/>
    <xf numFmtId="0" fontId="0" fillId="44" borderId="0" xfId="0" applyFill="1"/>
    <xf numFmtId="0" fontId="1" fillId="44" borderId="0" xfId="0" applyFont="1" applyFill="1" applyAlignment="1">
      <alignment horizontal="left" vertical="center"/>
    </xf>
    <xf numFmtId="0" fontId="1" fillId="44" borderId="0" xfId="0" applyFont="1" applyFill="1" applyAlignment="1">
      <alignment horizontal="center" vertical="center"/>
    </xf>
    <xf numFmtId="0" fontId="1" fillId="44" borderId="0" xfId="0" applyFont="1" applyFill="1" applyAlignment="1">
      <alignment horizontal="right" vertical="center"/>
    </xf>
    <xf numFmtId="0" fontId="0" fillId="0" borderId="0" xfId="0" applyFont="1" applyBorder="1" applyAlignment="1">
      <alignment horizontal="center" vertical="center"/>
    </xf>
    <xf numFmtId="0" fontId="1" fillId="44" borderId="0" xfId="0" applyFont="1" applyFill="1" applyAlignment="1">
      <alignment horizontal="center"/>
    </xf>
    <xf numFmtId="0" fontId="1" fillId="44" borderId="0" xfId="0" applyFont="1" applyFill="1"/>
    <xf numFmtId="9" fontId="46" fillId="0" borderId="0" xfId="163" applyNumberFormat="1" applyFont="1"/>
    <xf numFmtId="179" fontId="46" fillId="35" borderId="0" xfId="167" applyNumberFormat="1" applyFont="1" applyFill="1"/>
    <xf numFmtId="179" fontId="1" fillId="0" borderId="0" xfId="167" applyNumberFormat="1" applyFont="1" applyFill="1" applyAlignment="1">
      <alignment horizontal="right"/>
    </xf>
    <xf numFmtId="183" fontId="1" fillId="0" borderId="0" xfId="165" applyNumberFormat="1" applyFont="1" applyFill="1" applyAlignment="1">
      <alignment horizontal="right"/>
    </xf>
    <xf numFmtId="182" fontId="0" fillId="0" borderId="0" xfId="165" applyNumberFormat="1" applyFont="1" applyBorder="1"/>
    <xf numFmtId="0" fontId="43" fillId="0" borderId="0" xfId="0" applyFont="1" applyFill="1" applyBorder="1"/>
    <xf numFmtId="0" fontId="0" fillId="45" borderId="0" xfId="0" applyFont="1" applyFill="1" applyAlignment="1">
      <alignment horizontal="left" vertical="center"/>
    </xf>
    <xf numFmtId="0" fontId="0" fillId="45" borderId="0" xfId="0" applyFont="1" applyFill="1" applyAlignment="1">
      <alignment horizontal="center" vertical="center"/>
    </xf>
    <xf numFmtId="9" fontId="1" fillId="5" borderId="19" xfId="0" applyNumberFormat="1" applyFont="1" applyFill="1" applyBorder="1" applyAlignment="1">
      <alignment horizontal="right" vertical="center"/>
    </xf>
    <xf numFmtId="182" fontId="1" fillId="4" borderId="0" xfId="165" applyNumberFormat="1" applyFont="1" applyFill="1" applyAlignment="1">
      <alignment horizontal="right"/>
    </xf>
    <xf numFmtId="179" fontId="1" fillId="4" borderId="0" xfId="167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  <xf numFmtId="182" fontId="0" fillId="0" borderId="0" xfId="165" applyNumberFormat="1" applyFont="1" applyFill="1" applyAlignment="1">
      <alignment horizontal="right"/>
    </xf>
    <xf numFmtId="179" fontId="0" fillId="0" borderId="0" xfId="167" applyNumberFormat="1" applyFont="1" applyFill="1" applyAlignment="1">
      <alignment horizontal="right"/>
    </xf>
    <xf numFmtId="2" fontId="46" fillId="0" borderId="0" xfId="163" applyNumberFormat="1" applyFont="1"/>
    <xf numFmtId="181" fontId="1" fillId="4" borderId="0" xfId="0" applyNumberFormat="1" applyFont="1" applyFill="1" applyAlignment="1">
      <alignment horizontal="right"/>
    </xf>
    <xf numFmtId="9" fontId="1" fillId="4" borderId="0" xfId="0" applyNumberFormat="1" applyFont="1" applyFill="1" applyAlignment="1">
      <alignment horizontal="right"/>
    </xf>
    <xf numFmtId="179" fontId="51" fillId="23" borderId="0" xfId="167" applyNumberFormat="1" applyFont="1" applyFill="1" applyAlignment="1">
      <alignment vertical="center"/>
    </xf>
    <xf numFmtId="179" fontId="51" fillId="23" borderId="0" xfId="167" applyNumberFormat="1" applyFont="1" applyFill="1" applyAlignment="1">
      <alignment horizontal="center" vertical="center"/>
    </xf>
    <xf numFmtId="0" fontId="51" fillId="23" borderId="0" xfId="0" applyFont="1" applyFill="1" applyAlignment="1">
      <alignment horizontal="center" vertical="center"/>
    </xf>
    <xf numFmtId="1" fontId="69" fillId="25" borderId="43" xfId="0" applyNumberFormat="1" applyFont="1" applyFill="1" applyBorder="1" applyAlignment="1">
      <alignment horizontal="center" vertical="center" wrapText="1" readingOrder="1"/>
    </xf>
    <xf numFmtId="0" fontId="54" fillId="0" borderId="0" xfId="0" applyFont="1" applyFill="1" applyAlignment="1">
      <alignment vertical="center"/>
    </xf>
    <xf numFmtId="1" fontId="69" fillId="25" borderId="42" xfId="0" applyNumberFormat="1" applyFont="1" applyFill="1" applyBorder="1" applyAlignment="1">
      <alignment horizontal="center" vertical="center" wrapText="1" readingOrder="1"/>
    </xf>
    <xf numFmtId="0" fontId="51" fillId="35" borderId="0" xfId="0" applyFont="1" applyFill="1" applyAlignment="1">
      <alignment vertical="center"/>
    </xf>
    <xf numFmtId="37" fontId="40" fillId="19" borderId="0" xfId="165" applyNumberFormat="1" applyFont="1" applyFill="1" applyAlignment="1">
      <alignment horizontal="right" vertical="center"/>
    </xf>
    <xf numFmtId="2" fontId="0" fillId="0" borderId="0" xfId="0" applyNumberFormat="1" applyFont="1" applyBorder="1"/>
    <xf numFmtId="183" fontId="1" fillId="0" borderId="0" xfId="165" applyNumberFormat="1" applyFont="1" applyAlignment="1">
      <alignment horizontal="right"/>
    </xf>
    <xf numFmtId="183" fontId="0" fillId="0" borderId="0" xfId="165" applyNumberFormat="1" applyFont="1"/>
    <xf numFmtId="0" fontId="75" fillId="5" borderId="0" xfId="0" applyFont="1" applyFill="1" applyAlignment="1">
      <alignment vertical="center"/>
    </xf>
    <xf numFmtId="0" fontId="0" fillId="46" borderId="30" xfId="0" applyFill="1" applyBorder="1"/>
    <xf numFmtId="0" fontId="0" fillId="46" borderId="0" xfId="0" applyFill="1" applyBorder="1"/>
    <xf numFmtId="181" fontId="0" fillId="46" borderId="0" xfId="0" applyNumberFormat="1" applyFill="1" applyBorder="1"/>
    <xf numFmtId="2" fontId="0" fillId="46" borderId="0" xfId="0" applyNumberFormat="1" applyFont="1" applyFill="1" applyBorder="1"/>
    <xf numFmtId="9" fontId="0" fillId="46" borderId="0" xfId="0" applyNumberFormat="1" applyFill="1" applyBorder="1"/>
    <xf numFmtId="0" fontId="0" fillId="46" borderId="0" xfId="0" applyFont="1" applyFill="1" applyBorder="1"/>
    <xf numFmtId="179" fontId="46" fillId="0" borderId="0" xfId="167" applyNumberFormat="1" applyFont="1" applyFill="1" applyAlignment="1">
      <alignment horizontal="right"/>
    </xf>
    <xf numFmtId="43" fontId="46" fillId="0" borderId="0" xfId="163" applyNumberFormat="1" applyFont="1" applyFill="1" applyAlignment="1">
      <alignment horizontal="right"/>
    </xf>
    <xf numFmtId="0" fontId="50" fillId="26" borderId="0" xfId="0" applyFont="1" applyFill="1" applyAlignment="1">
      <alignment vertical="center"/>
    </xf>
    <xf numFmtId="0" fontId="50" fillId="0" borderId="0" xfId="0" applyFont="1" applyFill="1" applyAlignment="1">
      <alignment vertical="center"/>
    </xf>
    <xf numFmtId="179" fontId="74" fillId="0" borderId="0" xfId="167" applyNumberFormat="1" applyFont="1" applyFill="1" applyAlignment="1">
      <alignment vertical="center"/>
    </xf>
    <xf numFmtId="0" fontId="76" fillId="0" borderId="0" xfId="0" applyFont="1" applyFill="1" applyAlignment="1">
      <alignment vertical="center"/>
    </xf>
    <xf numFmtId="182" fontId="74" fillId="0" borderId="0" xfId="165" applyNumberFormat="1" applyFont="1" applyFill="1" applyAlignment="1">
      <alignment vertical="center"/>
    </xf>
    <xf numFmtId="181" fontId="74" fillId="0" borderId="0" xfId="0" applyNumberFormat="1" applyFont="1" applyFill="1" applyAlignment="1">
      <alignment vertical="center"/>
    </xf>
    <xf numFmtId="179" fontId="50" fillId="26" borderId="0" xfId="167" applyNumberFormat="1" applyFont="1" applyFill="1" applyAlignment="1">
      <alignment vertical="center"/>
    </xf>
    <xf numFmtId="0" fontId="50" fillId="26" borderId="0" xfId="0" applyFont="1" applyFill="1" applyAlignment="1">
      <alignment horizontal="right" vertical="center"/>
    </xf>
    <xf numFmtId="0" fontId="0" fillId="46" borderId="27" xfId="0" applyFill="1" applyBorder="1"/>
    <xf numFmtId="0" fontId="0" fillId="46" borderId="28" xfId="0" applyFill="1" applyBorder="1"/>
    <xf numFmtId="2" fontId="0" fillId="46" borderId="28" xfId="0" applyNumberFormat="1" applyFont="1" applyFill="1" applyBorder="1"/>
    <xf numFmtId="9" fontId="0" fillId="46" borderId="28" xfId="0" applyNumberFormat="1" applyFill="1" applyBorder="1"/>
    <xf numFmtId="0" fontId="0" fillId="46" borderId="28" xfId="0" applyFont="1" applyFill="1" applyBorder="1"/>
    <xf numFmtId="1" fontId="0" fillId="0" borderId="0" xfId="0" applyNumberFormat="1" applyFont="1"/>
    <xf numFmtId="182" fontId="0" fillId="0" borderId="19" xfId="165" applyNumberFormat="1" applyFont="1" applyBorder="1"/>
    <xf numFmtId="182" fontId="0" fillId="46" borderId="19" xfId="165" applyNumberFormat="1" applyFont="1" applyFill="1" applyBorder="1"/>
    <xf numFmtId="182" fontId="0" fillId="46" borderId="29" xfId="165" applyNumberFormat="1" applyFont="1" applyFill="1" applyBorder="1"/>
    <xf numFmtId="43" fontId="46" fillId="43" borderId="0" xfId="165" applyFont="1" applyFill="1" applyAlignment="1">
      <alignment horizontal="right"/>
    </xf>
    <xf numFmtId="183" fontId="46" fillId="43" borderId="0" xfId="165" applyNumberFormat="1" applyFont="1" applyFill="1" applyAlignment="1">
      <alignment horizontal="right"/>
    </xf>
    <xf numFmtId="182" fontId="46" fillId="43" borderId="0" xfId="165" applyNumberFormat="1" applyFont="1" applyFill="1" applyAlignment="1">
      <alignment horizontal="right"/>
    </xf>
    <xf numFmtId="0" fontId="0" fillId="47" borderId="30" xfId="0" applyFill="1" applyBorder="1"/>
    <xf numFmtId="0" fontId="0" fillId="47" borderId="0" xfId="0" applyFill="1" applyBorder="1"/>
    <xf numFmtId="181" fontId="0" fillId="47" borderId="0" xfId="0" applyNumberFormat="1" applyFill="1" applyBorder="1"/>
    <xf numFmtId="2" fontId="0" fillId="47" borderId="0" xfId="0" applyNumberFormat="1" applyFont="1" applyFill="1" applyBorder="1"/>
    <xf numFmtId="9" fontId="0" fillId="47" borderId="0" xfId="0" applyNumberFormat="1" applyFill="1" applyBorder="1"/>
    <xf numFmtId="0" fontId="0" fillId="47" borderId="0" xfId="0" applyFont="1" applyFill="1" applyBorder="1"/>
    <xf numFmtId="182" fontId="0" fillId="47" borderId="19" xfId="165" applyNumberFormat="1" applyFont="1" applyFill="1" applyBorder="1"/>
    <xf numFmtId="0" fontId="0" fillId="0" borderId="0" xfId="0" applyAlignment="1">
      <alignment horizontal="left"/>
    </xf>
    <xf numFmtId="9" fontId="0" fillId="0" borderId="0" xfId="167" applyNumberFormat="1" applyFont="1" applyBorder="1"/>
    <xf numFmtId="9" fontId="0" fillId="0" borderId="0" xfId="167" applyNumberFormat="1" applyFont="1"/>
    <xf numFmtId="0" fontId="46" fillId="32" borderId="0" xfId="163" applyFont="1" applyFill="1"/>
    <xf numFmtId="0" fontId="0" fillId="32" borderId="0" xfId="163" applyFont="1" applyFill="1"/>
    <xf numFmtId="182" fontId="1" fillId="0" borderId="0" xfId="165" applyNumberFormat="1" applyFont="1" applyFill="1" applyAlignment="1">
      <alignment horizontal="right"/>
    </xf>
    <xf numFmtId="9" fontId="30" fillId="0" borderId="0" xfId="167" applyFont="1" applyAlignment="1">
      <alignment vertical="center"/>
    </xf>
    <xf numFmtId="0" fontId="30" fillId="5" borderId="0" xfId="0" applyFont="1" applyFill="1" applyBorder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30" fillId="0" borderId="0" xfId="0" applyFont="1" applyFill="1" applyAlignment="1">
      <alignment vertical="center"/>
    </xf>
    <xf numFmtId="43" fontId="1" fillId="0" borderId="0" xfId="165" applyFont="1" applyAlignment="1">
      <alignment horizontal="right"/>
    </xf>
    <xf numFmtId="43" fontId="46" fillId="35" borderId="0" xfId="165" applyFont="1" applyFill="1" applyAlignment="1">
      <alignment horizontal="right"/>
    </xf>
    <xf numFmtId="9" fontId="1" fillId="0" borderId="0" xfId="167" applyNumberFormat="1" applyFont="1" applyAlignment="1">
      <alignment horizontal="right"/>
    </xf>
    <xf numFmtId="9" fontId="46" fillId="0" borderId="0" xfId="163" applyNumberFormat="1" applyFont="1" applyFill="1"/>
    <xf numFmtId="179" fontId="30" fillId="0" borderId="0" xfId="167" applyNumberFormat="1" applyFont="1" applyAlignment="1">
      <alignment vertical="center"/>
    </xf>
    <xf numFmtId="10" fontId="74" fillId="0" borderId="0" xfId="167" applyNumberFormat="1" applyFont="1" applyFill="1" applyAlignment="1">
      <alignment vertical="center"/>
    </xf>
    <xf numFmtId="10" fontId="30" fillId="0" borderId="0" xfId="167" applyNumberFormat="1" applyFont="1" applyAlignment="1">
      <alignment vertical="center"/>
    </xf>
    <xf numFmtId="0" fontId="39" fillId="0" borderId="0" xfId="0" applyFont="1" applyBorder="1"/>
    <xf numFmtId="0" fontId="33" fillId="25" borderId="0" xfId="0" applyFont="1" applyFill="1" applyAlignment="1" applyProtection="1">
      <alignment vertical="center"/>
      <protection locked="0"/>
    </xf>
    <xf numFmtId="0" fontId="33" fillId="0" borderId="0" xfId="0" applyFont="1" applyFill="1" applyAlignment="1" applyProtection="1">
      <alignment vertical="center"/>
      <protection locked="0"/>
    </xf>
    <xf numFmtId="179" fontId="1" fillId="43" borderId="0" xfId="167" applyNumberFormat="1" applyFont="1" applyFill="1" applyBorder="1" applyAlignment="1">
      <alignment horizontal="center" vertical="center"/>
    </xf>
    <xf numFmtId="179" fontId="1" fillId="0" borderId="0" xfId="0" applyNumberFormat="1" applyFont="1" applyAlignment="1">
      <alignment horizontal="right"/>
    </xf>
    <xf numFmtId="0" fontId="0" fillId="42" borderId="0" xfId="163" applyFont="1" applyFill="1"/>
    <xf numFmtId="182" fontId="0" fillId="17" borderId="0" xfId="165" applyNumberFormat="1" applyFont="1" applyFill="1" applyAlignment="1">
      <alignment horizontal="center" vertical="center"/>
    </xf>
    <xf numFmtId="0" fontId="1" fillId="29" borderId="0" xfId="0" applyFont="1" applyFill="1"/>
    <xf numFmtId="0" fontId="0" fillId="0" borderId="0" xfId="0" applyAlignment="1">
      <alignment horizontal="center"/>
    </xf>
    <xf numFmtId="9" fontId="0" fillId="0" borderId="0" xfId="0" applyNumberFormat="1"/>
    <xf numFmtId="9" fontId="1" fillId="0" borderId="0" xfId="107" applyNumberFormat="1" applyFont="1" applyAlignment="1">
      <alignment horizontal="left"/>
    </xf>
    <xf numFmtId="9" fontId="0" fillId="0" borderId="0" xfId="107" applyNumberFormat="1" applyFont="1" applyAlignment="1">
      <alignment horizontal="left"/>
    </xf>
    <xf numFmtId="182" fontId="1" fillId="0" borderId="0" xfId="0" applyNumberFormat="1" applyFont="1" applyBorder="1" applyAlignment="1">
      <alignment horizontal="center"/>
    </xf>
    <xf numFmtId="179" fontId="60" fillId="0" borderId="0" xfId="167" applyNumberFormat="1" applyFont="1" applyFill="1" applyBorder="1" applyAlignment="1">
      <alignment horizontal="left"/>
    </xf>
    <xf numFmtId="0" fontId="8" fillId="0" borderId="0" xfId="0" quotePrefix="1" applyFont="1" applyFill="1" applyBorder="1"/>
    <xf numFmtId="0" fontId="39" fillId="19" borderId="0" xfId="0" applyFont="1" applyFill="1" applyAlignment="1">
      <alignment horizontal="center"/>
    </xf>
    <xf numFmtId="0" fontId="42" fillId="0" borderId="0" xfId="0" applyFont="1" applyFill="1" applyBorder="1"/>
    <xf numFmtId="0" fontId="39" fillId="0" borderId="0" xfId="0" applyFont="1" applyAlignment="1">
      <alignment horizontal="right" vertical="center"/>
    </xf>
    <xf numFmtId="0" fontId="0" fillId="4" borderId="0" xfId="0" applyFont="1" applyFill="1" applyAlignment="1">
      <alignment horizontal="center"/>
    </xf>
    <xf numFmtId="182" fontId="40" fillId="19" borderId="0" xfId="165" applyNumberFormat="1" applyFont="1" applyFill="1"/>
    <xf numFmtId="179" fontId="40" fillId="19" borderId="0" xfId="167" applyNumberFormat="1" applyFont="1" applyFill="1"/>
    <xf numFmtId="0" fontId="0" fillId="5" borderId="0" xfId="0" applyFont="1" applyFill="1" applyAlignment="1">
      <alignment vertical="center"/>
    </xf>
    <xf numFmtId="0" fontId="46" fillId="0" borderId="27" xfId="163" applyFont="1" applyBorder="1"/>
    <xf numFmtId="0" fontId="0" fillId="0" borderId="28" xfId="163" applyFont="1" applyBorder="1"/>
    <xf numFmtId="0" fontId="46" fillId="0" borderId="28" xfId="163" applyFont="1" applyBorder="1"/>
    <xf numFmtId="0" fontId="46" fillId="0" borderId="29" xfId="163" applyFont="1" applyBorder="1"/>
    <xf numFmtId="0" fontId="46" fillId="0" borderId="30" xfId="163" applyFont="1" applyBorder="1"/>
    <xf numFmtId="0" fontId="46" fillId="0" borderId="0" xfId="163" applyFont="1" applyBorder="1"/>
    <xf numFmtId="0" fontId="0" fillId="0" borderId="0" xfId="163" applyFont="1" applyBorder="1"/>
    <xf numFmtId="179" fontId="46" fillId="0" borderId="0" xfId="167" applyNumberFormat="1" applyFont="1" applyBorder="1"/>
    <xf numFmtId="0" fontId="46" fillId="0" borderId="19" xfId="163" applyFont="1" applyBorder="1"/>
    <xf numFmtId="9" fontId="46" fillId="0" borderId="0" xfId="163" applyNumberFormat="1" applyFont="1" applyBorder="1"/>
    <xf numFmtId="9" fontId="46" fillId="9" borderId="0" xfId="163" applyNumberFormat="1" applyFont="1" applyFill="1" applyBorder="1"/>
    <xf numFmtId="0" fontId="46" fillId="35" borderId="0" xfId="163" applyFont="1" applyFill="1" applyBorder="1"/>
    <xf numFmtId="179" fontId="46" fillId="35" borderId="0" xfId="167" applyNumberFormat="1" applyFont="1" applyFill="1" applyBorder="1"/>
    <xf numFmtId="0" fontId="0" fillId="0" borderId="19" xfId="163" applyFont="1" applyBorder="1"/>
    <xf numFmtId="0" fontId="46" fillId="0" borderId="31" xfId="163" applyFont="1" applyBorder="1"/>
    <xf numFmtId="0" fontId="46" fillId="0" borderId="26" xfId="163" applyFont="1" applyBorder="1"/>
    <xf numFmtId="0" fontId="0" fillId="0" borderId="26" xfId="163" applyFont="1" applyBorder="1"/>
    <xf numFmtId="179" fontId="46" fillId="0" borderId="26" xfId="167" applyNumberFormat="1" applyFont="1" applyBorder="1"/>
    <xf numFmtId="0" fontId="0" fillId="0" borderId="32" xfId="163" applyFont="1" applyBorder="1"/>
    <xf numFmtId="0" fontId="0" fillId="0" borderId="28" xfId="163" applyFont="1" applyFill="1" applyBorder="1"/>
    <xf numFmtId="0" fontId="46" fillId="0" borderId="0" xfId="163" applyFont="1" applyFill="1" applyBorder="1"/>
    <xf numFmtId="179" fontId="46" fillId="0" borderId="0" xfId="167" applyNumberFormat="1" applyFont="1" applyFill="1" applyBorder="1"/>
    <xf numFmtId="9" fontId="46" fillId="0" borderId="0" xfId="163" applyNumberFormat="1" applyFont="1" applyFill="1" applyBorder="1"/>
    <xf numFmtId="0" fontId="0" fillId="0" borderId="0" xfId="0" applyFont="1" applyFill="1" applyAlignment="1">
      <alignment horizontal="center"/>
    </xf>
    <xf numFmtId="182" fontId="40" fillId="0" borderId="0" xfId="165" applyNumberFormat="1" applyFont="1" applyFill="1"/>
    <xf numFmtId="179" fontId="40" fillId="0" borderId="0" xfId="167" applyNumberFormat="1" applyFont="1" applyFill="1"/>
    <xf numFmtId="0" fontId="0" fillId="9" borderId="0" xfId="0" applyFont="1" applyFill="1"/>
    <xf numFmtId="0" fontId="77" fillId="5" borderId="0" xfId="0" applyFont="1" applyFill="1" applyAlignment="1">
      <alignment vertical="center"/>
    </xf>
    <xf numFmtId="0" fontId="46" fillId="9" borderId="0" xfId="163" applyFont="1" applyFill="1"/>
    <xf numFmtId="43" fontId="46" fillId="43" borderId="0" xfId="165" applyNumberFormat="1" applyFont="1" applyFill="1" applyAlignment="1">
      <alignment horizontal="right"/>
    </xf>
    <xf numFmtId="9" fontId="46" fillId="9" borderId="0" xfId="163" applyNumberFormat="1" applyFont="1" applyFill="1"/>
    <xf numFmtId="0" fontId="69" fillId="9" borderId="43" xfId="0" applyFont="1" applyFill="1" applyBorder="1" applyAlignment="1">
      <alignment horizontal="center" vertical="center" wrapText="1" readingOrder="1"/>
    </xf>
    <xf numFmtId="179" fontId="46" fillId="9" borderId="0" xfId="163" applyNumberFormat="1" applyFont="1" applyFill="1"/>
    <xf numFmtId="182" fontId="1" fillId="0" borderId="0" xfId="0" applyNumberFormat="1" applyFont="1"/>
    <xf numFmtId="179" fontId="0" fillId="0" borderId="0" xfId="167" applyNumberFormat="1" applyFont="1" applyAlignment="1">
      <alignment horizontal="right"/>
    </xf>
    <xf numFmtId="179" fontId="0" fillId="0" borderId="0" xfId="167" applyNumberFormat="1" applyFont="1" applyAlignment="1">
      <alignment horizontal="left"/>
    </xf>
    <xf numFmtId="179" fontId="46" fillId="4" borderId="0" xfId="167" applyNumberFormat="1" applyFont="1" applyFill="1" applyAlignment="1">
      <alignment horizontal="right"/>
    </xf>
    <xf numFmtId="179" fontId="46" fillId="8" borderId="0" xfId="167" applyNumberFormat="1" applyFont="1" applyFill="1" applyAlignment="1">
      <alignment horizontal="right"/>
    </xf>
    <xf numFmtId="0" fontId="0" fillId="24" borderId="0" xfId="0" applyFont="1" applyFill="1" applyAlignment="1">
      <alignment vertical="center"/>
    </xf>
    <xf numFmtId="0" fontId="40" fillId="35" borderId="0" xfId="0" applyFont="1" applyFill="1" applyAlignment="1">
      <alignment horizontal="center" vertical="center"/>
    </xf>
    <xf numFmtId="9" fontId="8" fillId="9" borderId="0" xfId="0" applyNumberFormat="1" applyFont="1" applyFill="1" applyAlignment="1">
      <alignment horizontal="center" vertical="center"/>
    </xf>
    <xf numFmtId="0" fontId="40" fillId="0" borderId="0" xfId="0" applyFont="1" applyFill="1" applyAlignment="1">
      <alignment vertical="center"/>
    </xf>
    <xf numFmtId="184" fontId="8" fillId="0" borderId="0" xfId="0" applyNumberFormat="1" applyFont="1" applyFill="1" applyAlignment="1">
      <alignment horizontal="center" vertical="center"/>
    </xf>
    <xf numFmtId="179" fontId="8" fillId="0" borderId="0" xfId="167" applyNumberFormat="1" applyFont="1" applyFill="1" applyAlignment="1">
      <alignment horizontal="right" vertical="center"/>
    </xf>
    <xf numFmtId="43" fontId="8" fillId="0" borderId="0" xfId="165" applyFont="1" applyFill="1" applyAlignment="1">
      <alignment horizontal="center" vertical="center"/>
    </xf>
    <xf numFmtId="2" fontId="0" fillId="0" borderId="26" xfId="0" applyNumberFormat="1" applyFont="1" applyBorder="1" applyAlignment="1">
      <alignment horizontal="center" vertical="center"/>
    </xf>
    <xf numFmtId="2" fontId="0" fillId="0" borderId="28" xfId="0" applyNumberFormat="1" applyFont="1" applyBorder="1" applyAlignment="1">
      <alignment horizontal="center" vertical="center"/>
    </xf>
    <xf numFmtId="2" fontId="0" fillId="0" borderId="29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2" fontId="0" fillId="0" borderId="19" xfId="0" applyNumberFormat="1" applyFont="1" applyBorder="1" applyAlignment="1">
      <alignment horizontal="center" vertical="center"/>
    </xf>
    <xf numFmtId="2" fontId="0" fillId="0" borderId="32" xfId="0" applyNumberFormat="1" applyFont="1" applyBorder="1" applyAlignment="1">
      <alignment horizontal="center" vertical="center"/>
    </xf>
    <xf numFmtId="9" fontId="0" fillId="0" borderId="0" xfId="163" applyNumberFormat="1" applyFont="1"/>
    <xf numFmtId="0" fontId="0" fillId="0" borderId="19" xfId="0" applyFill="1" applyBorder="1"/>
    <xf numFmtId="0" fontId="0" fillId="0" borderId="30" xfId="0" applyFont="1" applyBorder="1"/>
    <xf numFmtId="179" fontId="8" fillId="0" borderId="0" xfId="125" applyNumberFormat="1" applyFont="1" applyFill="1" applyBorder="1"/>
    <xf numFmtId="182" fontId="8" fillId="0" borderId="0" xfId="175" applyNumberFormat="1" applyFont="1" applyFill="1" applyBorder="1"/>
    <xf numFmtId="0" fontId="0" fillId="32" borderId="30" xfId="0" applyFont="1" applyFill="1" applyBorder="1"/>
    <xf numFmtId="0" fontId="0" fillId="32" borderId="0" xfId="0" applyFill="1" applyBorder="1"/>
    <xf numFmtId="0" fontId="8" fillId="32" borderId="0" xfId="0" applyFont="1" applyFill="1" applyBorder="1"/>
    <xf numFmtId="0" fontId="8" fillId="0" borderId="0" xfId="0" applyFont="1" applyFill="1" applyBorder="1"/>
    <xf numFmtId="0" fontId="39" fillId="0" borderId="33" xfId="0" applyFont="1" applyBorder="1"/>
    <xf numFmtId="0" fontId="0" fillId="0" borderId="34" xfId="0" applyBorder="1"/>
    <xf numFmtId="0" fontId="0" fillId="0" borderId="30" xfId="0" applyBorder="1" applyAlignment="1">
      <alignment horizontal="center"/>
    </xf>
    <xf numFmtId="0" fontId="39" fillId="0" borderId="30" xfId="0" applyFont="1" applyBorder="1"/>
    <xf numFmtId="183" fontId="0" fillId="0" borderId="0" xfId="165" applyNumberFormat="1" applyFont="1" applyBorder="1"/>
    <xf numFmtId="179" fontId="40" fillId="25" borderId="27" xfId="167" applyNumberFormat="1" applyFont="1" applyFill="1" applyBorder="1" applyAlignment="1">
      <alignment vertical="center"/>
    </xf>
    <xf numFmtId="179" fontId="40" fillId="25" borderId="30" xfId="167" applyNumberFormat="1" applyFont="1" applyFill="1" applyBorder="1" applyAlignment="1">
      <alignment vertical="center"/>
    </xf>
    <xf numFmtId="179" fontId="0" fillId="0" borderId="26" xfId="167" applyNumberFormat="1" applyFont="1" applyBorder="1" applyAlignment="1">
      <alignment vertical="center"/>
    </xf>
    <xf numFmtId="0" fontId="0" fillId="0" borderId="33" xfId="0" applyBorder="1"/>
    <xf numFmtId="179" fontId="0" fillId="0" borderId="34" xfId="167" applyNumberFormat="1" applyFont="1" applyBorder="1"/>
    <xf numFmtId="179" fontId="0" fillId="0" borderId="0" xfId="167" applyNumberFormat="1" applyFont="1" applyBorder="1"/>
    <xf numFmtId="179" fontId="0" fillId="0" borderId="28" xfId="167" applyNumberFormat="1" applyFont="1" applyBorder="1"/>
    <xf numFmtId="179" fontId="0" fillId="0" borderId="29" xfId="167" applyNumberFormat="1" applyFont="1" applyBorder="1"/>
    <xf numFmtId="179" fontId="0" fillId="0" borderId="19" xfId="167" applyNumberFormat="1" applyFont="1" applyBorder="1"/>
    <xf numFmtId="179" fontId="0" fillId="0" borderId="35" xfId="167" applyNumberFormat="1" applyFont="1" applyBorder="1"/>
    <xf numFmtId="182" fontId="0" fillId="0" borderId="26" xfId="165" applyNumberFormat="1" applyFont="1" applyBorder="1"/>
    <xf numFmtId="0" fontId="0" fillId="0" borderId="31" xfId="0" applyFont="1" applyBorder="1"/>
    <xf numFmtId="9" fontId="40" fillId="25" borderId="0" xfId="167" applyFont="1" applyFill="1" applyAlignment="1">
      <alignment horizontal="right" vertical="center"/>
    </xf>
    <xf numFmtId="9" fontId="8" fillId="42" borderId="0" xfId="0" applyNumberFormat="1" applyFont="1" applyFill="1" applyAlignment="1">
      <alignment horizontal="right" vertical="center"/>
    </xf>
    <xf numFmtId="9" fontId="40" fillId="25" borderId="0" xfId="163" applyNumberFormat="1" applyFont="1" applyFill="1"/>
    <xf numFmtId="179" fontId="40" fillId="25" borderId="0" xfId="167" applyNumberFormat="1" applyFont="1" applyFill="1" applyBorder="1"/>
    <xf numFmtId="182" fontId="8" fillId="42" borderId="0" xfId="165" applyNumberFormat="1" applyFont="1" applyFill="1" applyAlignment="1">
      <alignment horizontal="right" vertical="center"/>
    </xf>
    <xf numFmtId="37" fontId="8" fillId="42" borderId="0" xfId="165" applyNumberFormat="1" applyFont="1" applyFill="1" applyAlignment="1">
      <alignment horizontal="right" vertical="center"/>
    </xf>
    <xf numFmtId="0" fontId="8" fillId="42" borderId="0" xfId="0" applyFont="1" applyFill="1" applyAlignment="1">
      <alignment horizontal="right" vertical="center"/>
    </xf>
    <xf numFmtId="0" fontId="40" fillId="25" borderId="0" xfId="0" applyFont="1" applyFill="1" applyAlignment="1">
      <alignment horizontal="right"/>
    </xf>
    <xf numFmtId="182" fontId="40" fillId="25" borderId="0" xfId="165" applyNumberFormat="1" applyFont="1" applyFill="1" applyAlignment="1">
      <alignment horizontal="right"/>
    </xf>
    <xf numFmtId="179" fontId="8" fillId="0" borderId="19" xfId="125" applyNumberFormat="1" applyFont="1" applyFill="1" applyBorder="1"/>
    <xf numFmtId="182" fontId="8" fillId="0" borderId="19" xfId="175" applyNumberFormat="1" applyFont="1" applyFill="1" applyBorder="1"/>
    <xf numFmtId="0" fontId="8" fillId="0" borderId="19" xfId="0" applyFont="1" applyFill="1" applyBorder="1"/>
    <xf numFmtId="0" fontId="0" fillId="0" borderId="0" xfId="0" applyNumberFormat="1" applyBorder="1"/>
    <xf numFmtId="0" fontId="0" fillId="0" borderId="19" xfId="0" applyNumberFormat="1" applyBorder="1"/>
    <xf numFmtId="0" fontId="0" fillId="0" borderId="35" xfId="0" applyBorder="1"/>
    <xf numFmtId="0" fontId="8" fillId="32" borderId="19" xfId="0" applyFont="1" applyFill="1" applyBorder="1"/>
    <xf numFmtId="182" fontId="0" fillId="0" borderId="32" xfId="165" applyNumberFormat="1" applyFont="1" applyBorder="1"/>
    <xf numFmtId="179" fontId="46" fillId="0" borderId="19" xfId="167" applyNumberFormat="1" applyFont="1" applyBorder="1"/>
    <xf numFmtId="179" fontId="0" fillId="0" borderId="29" xfId="167" applyNumberFormat="1" applyFont="1" applyBorder="1" applyAlignment="1">
      <alignment vertical="center"/>
    </xf>
    <xf numFmtId="179" fontId="0" fillId="0" borderId="19" xfId="167" applyNumberFormat="1" applyFont="1" applyBorder="1" applyAlignment="1">
      <alignment vertical="center"/>
    </xf>
    <xf numFmtId="179" fontId="0" fillId="0" borderId="32" xfId="167" applyNumberFormat="1" applyFont="1" applyBorder="1" applyAlignment="1">
      <alignment vertical="center"/>
    </xf>
    <xf numFmtId="183" fontId="0" fillId="0" borderId="19" xfId="165" applyNumberFormat="1" applyFont="1" applyBorder="1"/>
    <xf numFmtId="0" fontId="0" fillId="0" borderId="32" xfId="0" applyBorder="1"/>
    <xf numFmtId="9" fontId="1" fillId="3" borderId="0" xfId="167" applyFont="1" applyFill="1" applyAlignment="1">
      <alignment horizontal="right" vertical="center"/>
    </xf>
    <xf numFmtId="179" fontId="40" fillId="25" borderId="0" xfId="167" applyNumberFormat="1" applyFont="1" applyFill="1" applyBorder="1" applyAlignment="1">
      <alignment vertical="center"/>
    </xf>
    <xf numFmtId="179" fontId="0" fillId="0" borderId="0" xfId="167" applyNumberFormat="1" applyFont="1" applyBorder="1" applyAlignment="1">
      <alignment horizontal="center" vertical="center"/>
    </xf>
    <xf numFmtId="179" fontId="40" fillId="25" borderId="27" xfId="167" applyNumberFormat="1" applyFont="1" applyFill="1" applyBorder="1" applyAlignment="1">
      <alignment horizontal="right" vertical="center"/>
    </xf>
    <xf numFmtId="179" fontId="0" fillId="0" borderId="34" xfId="167" applyNumberFormat="1" applyFont="1" applyBorder="1" applyAlignment="1">
      <alignment horizontal="right" vertical="center"/>
    </xf>
    <xf numFmtId="179" fontId="0" fillId="0" borderId="0" xfId="167" applyNumberFormat="1" applyFont="1" applyBorder="1" applyAlignment="1">
      <alignment horizontal="right" vertical="center"/>
    </xf>
    <xf numFmtId="179" fontId="40" fillId="25" borderId="30" xfId="167" applyNumberFormat="1" applyFont="1" applyFill="1" applyBorder="1" applyAlignment="1">
      <alignment horizontal="right" vertical="center"/>
    </xf>
    <xf numFmtId="179" fontId="0" fillId="0" borderId="0" xfId="0" applyNumberFormat="1" applyFont="1" applyBorder="1" applyAlignment="1">
      <alignment horizontal="right" vertical="center"/>
    </xf>
    <xf numFmtId="182" fontId="8" fillId="32" borderId="0" xfId="165" applyNumberFormat="1" applyFont="1" applyFill="1" applyBorder="1"/>
    <xf numFmtId="182" fontId="8" fillId="32" borderId="19" xfId="165" applyNumberFormat="1" applyFont="1" applyFill="1" applyBorder="1"/>
    <xf numFmtId="37" fontId="51" fillId="25" borderId="18" xfId="165" applyNumberFormat="1" applyFont="1" applyFill="1" applyBorder="1" applyAlignment="1" applyProtection="1">
      <alignment horizontal="left" vertical="center"/>
      <protection locked="0"/>
    </xf>
    <xf numFmtId="0" fontId="39" fillId="0" borderId="0" xfId="0" applyFont="1" applyFill="1" applyAlignment="1">
      <alignment horizontal="right" vertical="center"/>
    </xf>
    <xf numFmtId="0" fontId="50" fillId="3" borderId="0" xfId="0" applyFont="1" applyFill="1" applyAlignment="1">
      <alignment vertical="center"/>
    </xf>
    <xf numFmtId="1" fontId="51" fillId="3" borderId="0" xfId="0" applyNumberFormat="1" applyFont="1" applyFill="1" applyAlignment="1" applyProtection="1">
      <alignment horizontal="center" vertical="center"/>
      <protection locked="0"/>
    </xf>
    <xf numFmtId="0" fontId="54" fillId="3" borderId="0" xfId="0" applyFont="1" applyFill="1" applyAlignment="1">
      <alignment vertical="center"/>
    </xf>
    <xf numFmtId="0" fontId="39" fillId="0" borderId="0" xfId="0" applyFont="1" applyFill="1" applyAlignment="1">
      <alignment vertical="center"/>
    </xf>
    <xf numFmtId="0" fontId="38" fillId="0" borderId="0" xfId="163" applyFont="1"/>
    <xf numFmtId="43" fontId="46" fillId="48" borderId="0" xfId="165" applyFont="1" applyFill="1" applyAlignment="1">
      <alignment horizontal="right"/>
    </xf>
    <xf numFmtId="0" fontId="0" fillId="48" borderId="0" xfId="163" applyFont="1" applyFill="1"/>
    <xf numFmtId="0" fontId="46" fillId="48" borderId="0" xfId="163" applyFont="1" applyFill="1"/>
    <xf numFmtId="43" fontId="46" fillId="9" borderId="0" xfId="165" applyFont="1" applyFill="1" applyAlignment="1">
      <alignment horizontal="right"/>
    </xf>
    <xf numFmtId="43" fontId="46" fillId="0" borderId="0" xfId="165" applyNumberFormat="1" applyFont="1"/>
    <xf numFmtId="179" fontId="30" fillId="0" borderId="0" xfId="167" applyNumberFormat="1" applyFont="1" applyFill="1" applyAlignment="1">
      <alignment vertical="center"/>
    </xf>
    <xf numFmtId="182" fontId="1" fillId="46" borderId="0" xfId="165" applyNumberFormat="1" applyFont="1" applyFill="1" applyAlignment="1">
      <alignment horizontal="right"/>
    </xf>
    <xf numFmtId="0" fontId="0" fillId="3" borderId="0" xfId="0" applyFont="1" applyFill="1"/>
    <xf numFmtId="0" fontId="0" fillId="3" borderId="0" xfId="0" applyFont="1" applyFill="1" applyBorder="1"/>
    <xf numFmtId="0" fontId="40" fillId="3" borderId="0" xfId="0" applyFont="1" applyFill="1" applyBorder="1"/>
    <xf numFmtId="182" fontId="30" fillId="5" borderId="0" xfId="165" applyNumberFormat="1" applyFont="1" applyFill="1" applyAlignment="1">
      <alignment vertical="center"/>
    </xf>
    <xf numFmtId="182" fontId="50" fillId="23" borderId="0" xfId="165" applyNumberFormat="1" applyFont="1" applyFill="1" applyAlignment="1">
      <alignment vertical="center"/>
    </xf>
    <xf numFmtId="182" fontId="30" fillId="26" borderId="0" xfId="165" applyNumberFormat="1" applyFont="1" applyFill="1" applyAlignment="1">
      <alignment vertical="center"/>
    </xf>
    <xf numFmtId="182" fontId="30" fillId="0" borderId="0" xfId="165" applyNumberFormat="1" applyFont="1" applyAlignment="1">
      <alignment vertical="center"/>
    </xf>
    <xf numFmtId="0" fontId="78" fillId="5" borderId="0" xfId="0" applyFont="1" applyFill="1" applyAlignment="1">
      <alignment vertical="center"/>
    </xf>
    <xf numFmtId="9" fontId="51" fillId="23" borderId="0" xfId="167" applyFont="1" applyFill="1" applyAlignment="1">
      <alignment horizontal="left" vertical="center"/>
    </xf>
    <xf numFmtId="182" fontId="51" fillId="23" borderId="0" xfId="165" applyNumberFormat="1" applyFont="1" applyFill="1" applyAlignment="1">
      <alignment horizontal="left" vertical="center"/>
    </xf>
    <xf numFmtId="9" fontId="51" fillId="23" borderId="0" xfId="167" applyFont="1" applyFill="1" applyAlignment="1">
      <alignment horizontal="center" vertical="center"/>
    </xf>
    <xf numFmtId="182" fontId="79" fillId="23" borderId="0" xfId="165" applyNumberFormat="1" applyFont="1" applyFill="1" applyAlignment="1">
      <alignment horizontal="center" vertical="center"/>
    </xf>
    <xf numFmtId="0" fontId="75" fillId="0" borderId="0" xfId="0" applyFont="1" applyFill="1" applyAlignment="1">
      <alignment vertical="center"/>
    </xf>
    <xf numFmtId="0" fontId="75" fillId="5" borderId="0" xfId="0" applyFont="1" applyFill="1" applyAlignment="1">
      <alignment horizontal="right" vertical="center"/>
    </xf>
    <xf numFmtId="179" fontId="75" fillId="5" borderId="0" xfId="167" applyNumberFormat="1" applyFont="1" applyFill="1" applyAlignment="1">
      <alignment vertical="center"/>
    </xf>
    <xf numFmtId="37" fontId="46" fillId="0" borderId="0" xfId="163" applyNumberFormat="1" applyFont="1"/>
    <xf numFmtId="182" fontId="40" fillId="48" borderId="0" xfId="165" applyNumberFormat="1" applyFont="1" applyFill="1" applyAlignment="1">
      <alignment horizontal="right"/>
    </xf>
    <xf numFmtId="43" fontId="40" fillId="48" borderId="0" xfId="165" applyFont="1" applyFill="1" applyAlignment="1">
      <alignment horizontal="right"/>
    </xf>
    <xf numFmtId="182" fontId="46" fillId="48" borderId="0" xfId="165" applyNumberFormat="1" applyFont="1" applyFill="1"/>
    <xf numFmtId="183" fontId="40" fillId="48" borderId="0" xfId="165" applyNumberFormat="1" applyFont="1" applyFill="1" applyAlignment="1">
      <alignment horizontal="right"/>
    </xf>
    <xf numFmtId="182" fontId="40" fillId="48" borderId="0" xfId="165" applyNumberFormat="1" applyFont="1" applyFill="1"/>
    <xf numFmtId="182" fontId="1" fillId="0" borderId="0" xfId="0" applyNumberFormat="1" applyFont="1" applyAlignment="1">
      <alignment horizontal="right"/>
    </xf>
    <xf numFmtId="43" fontId="1" fillId="0" borderId="0" xfId="165" applyNumberFormat="1" applyFont="1" applyAlignment="1">
      <alignment horizontal="right"/>
    </xf>
    <xf numFmtId="182" fontId="50" fillId="5" borderId="18" xfId="165" applyNumberFormat="1" applyFont="1" applyFill="1" applyBorder="1" applyAlignment="1">
      <alignment vertical="center"/>
    </xf>
    <xf numFmtId="181" fontId="50" fillId="5" borderId="18" xfId="0" applyNumberFormat="1" applyFont="1" applyFill="1" applyBorder="1" applyAlignment="1">
      <alignment vertical="center"/>
    </xf>
    <xf numFmtId="9" fontId="1" fillId="9" borderId="0" xfId="167" applyFont="1" applyFill="1" applyAlignment="1">
      <alignment horizontal="right"/>
    </xf>
    <xf numFmtId="188" fontId="46" fillId="0" borderId="0" xfId="163" applyNumberFormat="1" applyFont="1"/>
    <xf numFmtId="188" fontId="46" fillId="9" borderId="0" xfId="163" applyNumberFormat="1" applyFont="1" applyFill="1"/>
    <xf numFmtId="179" fontId="46" fillId="9" borderId="0" xfId="167" applyNumberFormat="1" applyFont="1" applyFill="1"/>
    <xf numFmtId="43" fontId="0" fillId="0" borderId="0" xfId="163" applyNumberFormat="1" applyFont="1"/>
    <xf numFmtId="0" fontId="1" fillId="9" borderId="0" xfId="0" applyFont="1" applyFill="1"/>
    <xf numFmtId="9" fontId="0" fillId="9" borderId="0" xfId="167" applyNumberFormat="1" applyFont="1" applyFill="1" applyBorder="1"/>
    <xf numFmtId="9" fontId="0" fillId="9" borderId="0" xfId="167" applyNumberFormat="1" applyFont="1" applyFill="1"/>
    <xf numFmtId="0" fontId="46" fillId="0" borderId="0" xfId="167" applyNumberFormat="1" applyFont="1"/>
    <xf numFmtId="9" fontId="0" fillId="0" borderId="0" xfId="167" applyFont="1" applyAlignment="1">
      <alignment horizontal="right"/>
    </xf>
    <xf numFmtId="9" fontId="0" fillId="0" borderId="0" xfId="167" applyFont="1" applyBorder="1" applyAlignment="1">
      <alignment horizontal="right"/>
    </xf>
    <xf numFmtId="179" fontId="46" fillId="48" borderId="0" xfId="167" applyNumberFormat="1" applyFont="1" applyFill="1" applyBorder="1"/>
    <xf numFmtId="189" fontId="1" fillId="4" borderId="0" xfId="167" applyNumberFormat="1" applyFont="1" applyFill="1" applyAlignment="1">
      <alignment horizontal="right" vertical="center"/>
    </xf>
    <xf numFmtId="10" fontId="1" fillId="4" borderId="0" xfId="167" applyNumberFormat="1" applyFont="1" applyFill="1" applyAlignment="1">
      <alignment horizontal="right" vertical="center"/>
    </xf>
    <xf numFmtId="172" fontId="46" fillId="0" borderId="0" xfId="163" applyNumberFormat="1" applyFont="1"/>
    <xf numFmtId="0" fontId="46" fillId="46" borderId="0" xfId="163" applyFont="1" applyFill="1"/>
    <xf numFmtId="9" fontId="0" fillId="0" borderId="26" xfId="0" applyNumberFormat="1" applyFont="1" applyBorder="1"/>
    <xf numFmtId="0" fontId="0" fillId="0" borderId="26" xfId="0" applyFont="1" applyFill="1" applyBorder="1"/>
    <xf numFmtId="0" fontId="0" fillId="26" borderId="30" xfId="0" applyFill="1" applyBorder="1"/>
    <xf numFmtId="0" fontId="0" fillId="26" borderId="0" xfId="0" applyFill="1" applyBorder="1"/>
    <xf numFmtId="181" fontId="0" fillId="26" borderId="0" xfId="0" applyNumberFormat="1" applyFill="1" applyBorder="1"/>
    <xf numFmtId="2" fontId="0" fillId="26" borderId="0" xfId="0" applyNumberFormat="1" applyFont="1" applyFill="1" applyBorder="1"/>
    <xf numFmtId="9" fontId="0" fillId="26" borderId="0" xfId="0" applyNumberFormat="1" applyFill="1" applyBorder="1"/>
    <xf numFmtId="0" fontId="0" fillId="26" borderId="0" xfId="0" applyFont="1" applyFill="1" applyBorder="1"/>
    <xf numFmtId="182" fontId="0" fillId="26" borderId="19" xfId="165" applyNumberFormat="1" applyFont="1" applyFill="1" applyBorder="1"/>
    <xf numFmtId="0" fontId="0" fillId="26" borderId="31" xfId="0" applyFill="1" applyBorder="1"/>
    <xf numFmtId="0" fontId="0" fillId="26" borderId="26" xfId="0" applyFill="1" applyBorder="1"/>
    <xf numFmtId="181" fontId="0" fillId="26" borderId="26" xfId="0" applyNumberFormat="1" applyFill="1" applyBorder="1"/>
    <xf numFmtId="2" fontId="0" fillId="26" borderId="26" xfId="0" applyNumberFormat="1" applyFont="1" applyFill="1" applyBorder="1"/>
    <xf numFmtId="9" fontId="0" fillId="26" borderId="26" xfId="0" applyNumberFormat="1" applyFill="1" applyBorder="1"/>
    <xf numFmtId="0" fontId="0" fillId="26" borderId="26" xfId="0" applyFont="1" applyFill="1" applyBorder="1"/>
    <xf numFmtId="182" fontId="0" fillId="26" borderId="32" xfId="165" applyNumberFormat="1" applyFont="1" applyFill="1" applyBorder="1"/>
    <xf numFmtId="0" fontId="0" fillId="9" borderId="0" xfId="163" applyFont="1" applyFill="1"/>
    <xf numFmtId="0" fontId="37" fillId="25" borderId="1" xfId="163" applyFont="1" applyFill="1" applyBorder="1" applyAlignment="1">
      <alignment horizontal="center"/>
    </xf>
    <xf numFmtId="0" fontId="37" fillId="25" borderId="3" xfId="163" applyFont="1" applyFill="1" applyBorder="1" applyAlignment="1">
      <alignment horizontal="center"/>
    </xf>
    <xf numFmtId="0" fontId="40" fillId="41" borderId="1" xfId="163" applyFont="1" applyFill="1" applyBorder="1" applyAlignment="1">
      <alignment horizontal="center"/>
    </xf>
    <xf numFmtId="0" fontId="40" fillId="41" borderId="3" xfId="163" applyFont="1" applyFill="1" applyBorder="1" applyAlignment="1">
      <alignment horizontal="center"/>
    </xf>
    <xf numFmtId="0" fontId="40" fillId="25" borderId="1" xfId="163" applyFont="1" applyFill="1" applyBorder="1" applyAlignment="1">
      <alignment horizontal="center"/>
    </xf>
    <xf numFmtId="0" fontId="40" fillId="25" borderId="3" xfId="163" applyFont="1" applyFill="1" applyBorder="1" applyAlignment="1">
      <alignment horizontal="center"/>
    </xf>
    <xf numFmtId="0" fontId="0" fillId="9" borderId="0" xfId="0" applyFill="1"/>
    <xf numFmtId="0" fontId="80" fillId="0" borderId="0" xfId="0" applyFont="1"/>
    <xf numFmtId="0" fontId="81" fillId="0" borderId="0" xfId="0" applyFont="1" applyAlignment="1">
      <alignment horizontal="left" vertical="center"/>
    </xf>
    <xf numFmtId="0" fontId="81" fillId="0" borderId="0" xfId="0" applyFont="1" applyAlignment="1">
      <alignment horizontal="centerContinuous" vertical="center"/>
    </xf>
    <xf numFmtId="0" fontId="81" fillId="0" borderId="0" xfId="0" applyFont="1" applyAlignment="1">
      <alignment horizontal="right" vertical="center"/>
    </xf>
    <xf numFmtId="0" fontId="82" fillId="0" borderId="0" xfId="165" applyNumberFormat="1" applyFont="1" applyFill="1" applyBorder="1" applyAlignment="1">
      <alignment horizontal="left"/>
    </xf>
    <xf numFmtId="0" fontId="81" fillId="5" borderId="0" xfId="0" applyFont="1" applyFill="1" applyAlignment="1">
      <alignment vertical="center"/>
    </xf>
    <xf numFmtId="182" fontId="82" fillId="5" borderId="0" xfId="165" applyNumberFormat="1" applyFont="1" applyFill="1" applyAlignment="1">
      <alignment horizontal="right" vertical="center"/>
    </xf>
    <xf numFmtId="43" fontId="81" fillId="5" borderId="0" xfId="165" applyFont="1" applyFill="1" applyAlignment="1">
      <alignment horizontal="right" vertical="center"/>
    </xf>
    <xf numFmtId="0" fontId="81" fillId="0" borderId="0" xfId="174" applyNumberFormat="1" applyFont="1" applyFill="1" applyBorder="1" applyAlignment="1">
      <alignment horizontal="left"/>
    </xf>
    <xf numFmtId="0" fontId="81" fillId="0" borderId="0" xfId="0" applyFont="1" applyAlignment="1">
      <alignment vertical="center"/>
    </xf>
    <xf numFmtId="182" fontId="81" fillId="5" borderId="0" xfId="165" applyNumberFormat="1" applyFont="1" applyFill="1" applyAlignment="1">
      <alignment vertical="center"/>
    </xf>
    <xf numFmtId="0" fontId="81" fillId="0" borderId="46" xfId="174" applyNumberFormat="1" applyFont="1" applyFill="1" applyBorder="1" applyAlignment="1">
      <alignment horizontal="left"/>
    </xf>
    <xf numFmtId="0" fontId="81" fillId="5" borderId="46" xfId="0" applyFont="1" applyFill="1" applyBorder="1" applyAlignment="1">
      <alignment vertical="center"/>
    </xf>
    <xf numFmtId="182" fontId="81" fillId="5" borderId="46" xfId="165" applyNumberFormat="1" applyFont="1" applyFill="1" applyBorder="1" applyAlignment="1">
      <alignment vertical="center"/>
    </xf>
    <xf numFmtId="0" fontId="81" fillId="0" borderId="47" xfId="174" applyNumberFormat="1" applyFont="1" applyFill="1" applyBorder="1" applyAlignment="1">
      <alignment horizontal="left"/>
    </xf>
    <xf numFmtId="0" fontId="81" fillId="5" borderId="47" xfId="0" applyFont="1" applyFill="1" applyBorder="1" applyAlignment="1">
      <alignment vertical="center"/>
    </xf>
    <xf numFmtId="182" fontId="81" fillId="5" borderId="47" xfId="165" applyNumberFormat="1" applyFont="1" applyFill="1" applyBorder="1" applyAlignment="1">
      <alignment vertical="center"/>
    </xf>
    <xf numFmtId="0" fontId="81" fillId="0" borderId="0" xfId="165" applyNumberFormat="1" applyFont="1" applyFill="1" applyBorder="1" applyAlignment="1">
      <alignment horizontal="left"/>
    </xf>
    <xf numFmtId="179" fontId="81" fillId="5" borderId="0" xfId="167" applyNumberFormat="1" applyFont="1" applyFill="1" applyAlignment="1">
      <alignment vertical="center"/>
    </xf>
    <xf numFmtId="0" fontId="81" fillId="5" borderId="0" xfId="0" applyFont="1" applyFill="1" applyBorder="1" applyAlignment="1">
      <alignment vertical="center"/>
    </xf>
    <xf numFmtId="182" fontId="81" fillId="5" borderId="0" xfId="165" applyNumberFormat="1" applyFont="1" applyFill="1" applyBorder="1" applyAlignment="1">
      <alignment vertical="center"/>
    </xf>
    <xf numFmtId="0" fontId="81" fillId="0" borderId="48" xfId="174" applyNumberFormat="1" applyFont="1" applyFill="1" applyBorder="1" applyAlignment="1">
      <alignment horizontal="left"/>
    </xf>
    <xf numFmtId="0" fontId="81" fillId="5" borderId="48" xfId="0" applyFont="1" applyFill="1" applyBorder="1" applyAlignment="1">
      <alignment vertical="center"/>
    </xf>
    <xf numFmtId="182" fontId="81" fillId="5" borderId="48" xfId="165" applyNumberFormat="1" applyFont="1" applyFill="1" applyBorder="1" applyAlignment="1">
      <alignment vertical="center"/>
    </xf>
    <xf numFmtId="179" fontId="50" fillId="9" borderId="0" xfId="167" applyNumberFormat="1" applyFont="1" applyFill="1" applyAlignment="1">
      <alignment vertical="center"/>
    </xf>
    <xf numFmtId="10" fontId="46" fillId="0" borderId="0" xfId="163" applyNumberFormat="1" applyFont="1"/>
    <xf numFmtId="179" fontId="46" fillId="0" borderId="0" xfId="163" applyNumberFormat="1" applyFont="1"/>
    <xf numFmtId="190" fontId="46" fillId="0" borderId="0" xfId="163" applyNumberFormat="1" applyFont="1"/>
    <xf numFmtId="10" fontId="0" fillId="9" borderId="0" xfId="163" applyNumberFormat="1" applyFont="1" applyFill="1"/>
    <xf numFmtId="0" fontId="0" fillId="5" borderId="0" xfId="0" applyFill="1" applyBorder="1" applyAlignment="1">
      <alignment horizontal="center" vertical="center" wrapText="1"/>
    </xf>
    <xf numFmtId="0" fontId="30" fillId="5" borderId="0" xfId="0" applyFont="1" applyFill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66" fillId="37" borderId="39" xfId="0" applyFont="1" applyFill="1" applyBorder="1" applyAlignment="1">
      <alignment horizontal="center" vertical="center" wrapText="1" readingOrder="1"/>
    </xf>
    <xf numFmtId="0" fontId="66" fillId="37" borderId="40" xfId="0" applyFont="1" applyFill="1" applyBorder="1" applyAlignment="1">
      <alignment horizontal="center" vertical="center" wrapText="1" readingOrder="1"/>
    </xf>
    <xf numFmtId="0" fontId="66" fillId="37" borderId="41" xfId="0" applyFont="1" applyFill="1" applyBorder="1" applyAlignment="1">
      <alignment horizontal="center" vertical="center" wrapText="1" readingOrder="1"/>
    </xf>
  </cellXfs>
  <cellStyles count="176">
    <cellStyle name="0" xfId="2"/>
    <cellStyle name="000" xfId="3"/>
    <cellStyle name="000 2" xfId="4"/>
    <cellStyle name="3_D" xfId="5"/>
    <cellStyle name="3_D 2" xfId="6"/>
    <cellStyle name="3_D_BTS_DTK" xfId="7"/>
    <cellStyle name="3_D_BTS_DTK 2" xfId="8"/>
    <cellStyle name="3_D_Tool" xfId="9"/>
    <cellStyle name="3_D_Tool 2" xfId="10"/>
    <cellStyle name="3_DNoColor" xfId="11"/>
    <cellStyle name="3_DNoColor 2" xfId="12"/>
    <cellStyle name="3_DNoColor_BTS_DTK" xfId="13"/>
    <cellStyle name="3_DNoColor_BTS_DTK 2" xfId="14"/>
    <cellStyle name="CellLock" xfId="15"/>
    <cellStyle name="CellLock 2" xfId="16"/>
    <cellStyle name="CellUnlock" xfId="17"/>
    <cellStyle name="CellUnlock 2" xfId="18"/>
    <cellStyle name="Column_Title" xfId="19"/>
    <cellStyle name="Comma" xfId="165" builtinId="3"/>
    <cellStyle name="Comma  - Style1" xfId="20"/>
    <cellStyle name="Comma  - Style2" xfId="21"/>
    <cellStyle name="Comma  - Style3" xfId="22"/>
    <cellStyle name="Comma  - Style4" xfId="23"/>
    <cellStyle name="Comma  - Style5" xfId="24"/>
    <cellStyle name="Comma  - Style6" xfId="25"/>
    <cellStyle name="Comma  - Style7" xfId="26"/>
    <cellStyle name="Comma  - Style8" xfId="27"/>
    <cellStyle name="Comma [0]" xfId="166" builtinId="6"/>
    <cellStyle name="Comma [0] 2" xfId="28"/>
    <cellStyle name="Comma [0] 2 2" xfId="142"/>
    <cellStyle name="Comma [0] 3" xfId="29"/>
    <cellStyle name="Comma [0] 3 2" xfId="30"/>
    <cellStyle name="Comma [0] 3 2 2" xfId="143"/>
    <cellStyle name="Comma [0] 3 3" xfId="144"/>
    <cellStyle name="Comma [0] 4" xfId="172"/>
    <cellStyle name="Comma [0] Centered" xfId="31"/>
    <cellStyle name="Comma [0] Centered 2" xfId="32"/>
    <cellStyle name="Comma 0" xfId="33"/>
    <cellStyle name="Comma 000" xfId="34"/>
    <cellStyle name="Comma 000,0" xfId="35"/>
    <cellStyle name="Comma 000,0 2" xfId="36"/>
    <cellStyle name="Comma 000,000" xfId="37"/>
    <cellStyle name="Comma 000,000 2" xfId="38"/>
    <cellStyle name="Comma 000_Toyota_Dealer_Sim.2004Jul28" xfId="39"/>
    <cellStyle name="Comma 1" xfId="40"/>
    <cellStyle name="Comma 10" xfId="175"/>
    <cellStyle name="Comma 2" xfId="41"/>
    <cellStyle name="Comma 2 2" xfId="145"/>
    <cellStyle name="Comma 3" xfId="42"/>
    <cellStyle name="Comma 3 2" xfId="43"/>
    <cellStyle name="Comma 3 2 2" xfId="146"/>
    <cellStyle name="Comma 3 3" xfId="147"/>
    <cellStyle name="Comma 4" xfId="44"/>
    <cellStyle name="Comma 4 2" xfId="45"/>
    <cellStyle name="Comma 4 2 2" xfId="148"/>
    <cellStyle name="Comma 4 3" xfId="149"/>
    <cellStyle name="Comma 5" xfId="46"/>
    <cellStyle name="Comma 5 2" xfId="47"/>
    <cellStyle name="Comma 5 2 2" xfId="150"/>
    <cellStyle name="Comma 5 3" xfId="151"/>
    <cellStyle name="Comma 6" xfId="48"/>
    <cellStyle name="Comma 6 2" xfId="49"/>
    <cellStyle name="Comma 6 2 2" xfId="152"/>
    <cellStyle name="Comma 6 3" xfId="153"/>
    <cellStyle name="Comma 7" xfId="50"/>
    <cellStyle name="Comma 7 2" xfId="154"/>
    <cellStyle name="Comma 8" xfId="51"/>
    <cellStyle name="Comma 8 2" xfId="155"/>
    <cellStyle name="Comma 9" xfId="171"/>
    <cellStyle name="Comma Centered" xfId="52"/>
    <cellStyle name="Comma Centered 2" xfId="53"/>
    <cellStyle name="Comma Centered 2 2" xfId="156"/>
    <cellStyle name="Comma Centered 3" xfId="157"/>
    <cellStyle name="Comma, Centered" xfId="54"/>
    <cellStyle name="Comma, No Dec" xfId="55"/>
    <cellStyle name="Comma, No Dec 2" xfId="56"/>
    <cellStyle name="Comma, No Dec No 0" xfId="57"/>
    <cellStyle name="Comma, Pos" xfId="58"/>
    <cellStyle name="Comma, Pos 2" xfId="59"/>
    <cellStyle name="Comma, Pos, No Dec" xfId="60"/>
    <cellStyle name="Comma, Pos, No Dec, No 0" xfId="61"/>
    <cellStyle name="Comma, Pos, No Dec, No 0 2" xfId="62"/>
    <cellStyle name="Comma, Pos, No Dec_BarclaysFeedbacks" xfId="63"/>
    <cellStyle name="Comma0" xfId="64"/>
    <cellStyle name="Comma0 - Style4" xfId="65"/>
    <cellStyle name="Comma000" xfId="66"/>
    <cellStyle name="Comma1 - Style1" xfId="67"/>
    <cellStyle name="ContentsHyperlink" xfId="68"/>
    <cellStyle name="Curren - Style2" xfId="69"/>
    <cellStyle name="Curren - Style5" xfId="70"/>
    <cellStyle name="Currency [0] (000)" xfId="71"/>
    <cellStyle name="Currency 2" xfId="72"/>
    <cellStyle name="Currency 2 2" xfId="73"/>
    <cellStyle name="Currency, No Dec" xfId="74"/>
    <cellStyle name="Currency, No Dec 2" xfId="75"/>
    <cellStyle name="Currency, Pos, 2 Dec" xfId="76"/>
    <cellStyle name="Currency, Pos, 2 Dec 2" xfId="77"/>
    <cellStyle name="Currency, Pos, No Dec" xfId="78"/>
    <cellStyle name="Currency, Pos, No Dec 2" xfId="79"/>
    <cellStyle name="Currency0" xfId="80"/>
    <cellStyle name="Date" xfId="81"/>
    <cellStyle name="DateTTM" xfId="82"/>
    <cellStyle name="DateTTM 2" xfId="83"/>
    <cellStyle name="Decision" xfId="84"/>
    <cellStyle name="Euro" xfId="85"/>
    <cellStyle name="Euro 2" xfId="86"/>
    <cellStyle name="Feedback000" xfId="87"/>
    <cellStyle name="Feedback000 2" xfId="88"/>
    <cellStyle name="Feedback000,000" xfId="89"/>
    <cellStyle name="Feedback000,000 2" xfId="90"/>
    <cellStyle name="Feedback000_Autodesk_SW_BAFeedbacks" xfId="91"/>
    <cellStyle name="Fixed" xfId="92"/>
    <cellStyle name="Fixed3 - Style3" xfId="93"/>
    <cellStyle name="Fraction (1)" xfId="94"/>
    <cellStyle name="Grey" xfId="95"/>
    <cellStyle name="Grey 2" xfId="96"/>
    <cellStyle name="Hyperlink" xfId="162" builtinId="8"/>
    <cellStyle name="Input [yellow]" xfId="97"/>
    <cellStyle name="Input [yellow] 2" xfId="98"/>
    <cellStyle name="InputBox" xfId="99"/>
    <cellStyle name="InputBox 2" xfId="100"/>
    <cellStyle name="no dec" xfId="101"/>
    <cellStyle name="Normal" xfId="0" builtinId="0" customBuiltin="1"/>
    <cellStyle name="Normal - Style1" xfId="102"/>
    <cellStyle name="Normal 10" xfId="160"/>
    <cellStyle name="Normal 11" xfId="163"/>
    <cellStyle name="Normal 11 4" xfId="170"/>
    <cellStyle name="Normal 15" xfId="161"/>
    <cellStyle name="Normal 15 12" xfId="164"/>
    <cellStyle name="Normal 2" xfId="1"/>
    <cellStyle name="Normal 2 2" xfId="103"/>
    <cellStyle name="Normal 2 3" xfId="158"/>
    <cellStyle name="Normal 2 4" xfId="168"/>
    <cellStyle name="Normal 20" xfId="169"/>
    <cellStyle name="Normal 3" xfId="104"/>
    <cellStyle name="Normal 38" xfId="173"/>
    <cellStyle name="Normal 4" xfId="105"/>
    <cellStyle name="Normal 4 2" xfId="106"/>
    <cellStyle name="Normal 5" xfId="107"/>
    <cellStyle name="Normal 5 2" xfId="108"/>
    <cellStyle name="Normal 6" xfId="109"/>
    <cellStyle name="Normal 6 2" xfId="110"/>
    <cellStyle name="Normal 68" xfId="174"/>
    <cellStyle name="Normal 7" xfId="111"/>
    <cellStyle name="Normal 8" xfId="112"/>
    <cellStyle name="Normal 9" xfId="140"/>
    <cellStyle name="Normal 9 2" xfId="141"/>
    <cellStyle name="Number [0]" xfId="113"/>
    <cellStyle name="Percen - Style2" xfId="114"/>
    <cellStyle name="Percen - Style3" xfId="115"/>
    <cellStyle name="Percent" xfId="167" builtinId="5"/>
    <cellStyle name="Percent (1)" xfId="116"/>
    <cellStyle name="Percent (2)" xfId="117"/>
    <cellStyle name="Percent [2]" xfId="118"/>
    <cellStyle name="Percent 0" xfId="119"/>
    <cellStyle name="Percent 0 2" xfId="120"/>
    <cellStyle name="Percent 00" xfId="121"/>
    <cellStyle name="Percent 00 2" xfId="122"/>
    <cellStyle name="Percent 00 2 2" xfId="123"/>
    <cellStyle name="Percent 00 3" xfId="124"/>
    <cellStyle name="Percent 2" xfId="125"/>
    <cellStyle name="Percent 3" xfId="126"/>
    <cellStyle name="Percent 3 2" xfId="127"/>
    <cellStyle name="Percent 4" xfId="128"/>
    <cellStyle name="Percent 4 2" xfId="129"/>
    <cellStyle name="Percent 5" xfId="130"/>
    <cellStyle name="Percent 5 2" xfId="131"/>
    <cellStyle name="Percent 6" xfId="132"/>
    <cellStyle name="Percent 6 2" xfId="133"/>
    <cellStyle name="Percent 7" xfId="134"/>
    <cellStyle name="Percent 8" xfId="135"/>
    <cellStyle name="Percent 9" xfId="159"/>
    <cellStyle name="Percent, Pos" xfId="136"/>
    <cellStyle name="Percent, Pos 2" xfId="137"/>
    <cellStyle name="Percent, Pos, No 0" xfId="138"/>
    <cellStyle name="Percent, Pos, No 0 2" xfId="139"/>
  </cellStyles>
  <dxfs count="117">
    <dxf>
      <font>
        <color theme="0" tint="-0.14996795556505021"/>
      </font>
      <fill>
        <patternFill>
          <bgColor theme="0" tint="-0.14996795556505021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DOO Allocation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471700533368712E-2"/>
          <c:y val="0.18297958330429934"/>
          <c:w val="0.50508066422019315"/>
          <c:h val="0.7059315779844226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B3-42A0-9FC2-5FFDC780B36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B3-42A0-9FC2-5FFDC780B36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B3-42A0-9FC2-5FFDC780B36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CB3-42A0-9FC2-5FFDC780B36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CB3-42A0-9FC2-5FFDC780B36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CB3-42A0-9FC2-5FFDC780B36B}"/>
              </c:ext>
            </c:extLst>
          </c:dPt>
          <c:cat>
            <c:strRef>
              <c:f>tlProd1DOO!$C$20:$C$25</c:f>
              <c:strCache>
                <c:ptCount val="6"/>
                <c:pt idx="0">
                  <c:v>Non-Discretionary</c:v>
                </c:pt>
                <c:pt idx="1">
                  <c:v>Recruitment</c:v>
                </c:pt>
                <c:pt idx="2">
                  <c:v>People Development</c:v>
                </c:pt>
                <c:pt idx="3">
                  <c:v>Operations</c:v>
                </c:pt>
                <c:pt idx="4">
                  <c:v>Clinical</c:v>
                </c:pt>
                <c:pt idx="5">
                  <c:v>Referrals</c:v>
                </c:pt>
              </c:strCache>
            </c:strRef>
          </c:cat>
          <c:val>
            <c:numRef>
              <c:f>tlProd1DOO!$I$20:$I$25</c:f>
              <c:numCache>
                <c:formatCode>0.0%</c:formatCode>
                <c:ptCount val="6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B3-42A0-9FC2-5FFDC780B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918600174978133"/>
          <c:y val="0.17768053329616984"/>
          <c:w val="0.3794057742782152"/>
          <c:h val="0.75742271154158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DOO Allocation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471700533368712E-2"/>
          <c:y val="0.18297958330429934"/>
          <c:w val="0.50508066422019315"/>
          <c:h val="0.7059315779844226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B7-41E4-9FFB-66C2E632B3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B7-41E4-9FFB-66C2E632B3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B7-41E4-9FFB-66C2E632B3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B7-41E4-9FFB-66C2E632B3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2B7-41E4-9FFB-66C2E632B32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2B7-41E4-9FFB-66C2E632B328}"/>
              </c:ext>
            </c:extLst>
          </c:dPt>
          <c:cat>
            <c:strRef>
              <c:f>tlProd1DOO!$C$20:$C$25</c:f>
              <c:strCache>
                <c:ptCount val="6"/>
                <c:pt idx="0">
                  <c:v>Non-Discretionary</c:v>
                </c:pt>
                <c:pt idx="1">
                  <c:v>Recruitment</c:v>
                </c:pt>
                <c:pt idx="2">
                  <c:v>People Development</c:v>
                </c:pt>
                <c:pt idx="3">
                  <c:v>Operations</c:v>
                </c:pt>
                <c:pt idx="4">
                  <c:v>Clinical</c:v>
                </c:pt>
                <c:pt idx="5">
                  <c:v>Referrals</c:v>
                </c:pt>
              </c:strCache>
            </c:strRef>
          </c:cat>
          <c:val>
            <c:numRef>
              <c:f>tlProd1DOO!$S$20:$S$25</c:f>
              <c:numCache>
                <c:formatCode>0.0%</c:formatCode>
                <c:ptCount val="6"/>
                <c:pt idx="0">
                  <c:v>0.74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B7-41E4-9FFB-66C2E632B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918600174978133"/>
          <c:y val="0.17768053329616984"/>
          <c:w val="0.3794057742782152"/>
          <c:h val="0.75742271154158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Monthly Admits vs Recerts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tlProd1Fcst!$C$11</c:f>
              <c:strCache>
                <c:ptCount val="1"/>
                <c:pt idx="0">
                  <c:v>Medicare Admits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(tlProd1Fcst!$N$11,tlProd1Fcst!$P$11)</c:f>
              <c:numCache>
                <c:formatCode>0</c:formatCode>
                <c:ptCount val="2"/>
                <c:pt idx="0">
                  <c:v>121</c:v>
                </c:pt>
                <c:pt idx="1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8-4D69-A6C9-7C17B8A4957B}"/>
            </c:ext>
          </c:extLst>
        </c:ser>
        <c:ser>
          <c:idx val="1"/>
          <c:order val="1"/>
          <c:tx>
            <c:strRef>
              <c:f>tlProd1Fcst!$C$12</c:f>
              <c:strCache>
                <c:ptCount val="1"/>
                <c:pt idx="0">
                  <c:v>PPS Admits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(tlProd1Fcst!$N$12,tlProd1Fcst!$P$12)</c:f>
              <c:numCache>
                <c:formatCode>0</c:formatCode>
                <c:ptCount val="2"/>
                <c:pt idx="0">
                  <c:v>21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98-4D69-A6C9-7C17B8A4957B}"/>
            </c:ext>
          </c:extLst>
        </c:ser>
        <c:ser>
          <c:idx val="2"/>
          <c:order val="2"/>
          <c:tx>
            <c:strRef>
              <c:f>tlProd1Fcst!$C$13</c:f>
              <c:strCache>
                <c:ptCount val="1"/>
                <c:pt idx="0">
                  <c:v>Other Admits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(tlProd1Fcst!$N$13,tlProd1Fcst!$P$13)</c:f>
              <c:numCache>
                <c:formatCode>0</c:formatCode>
                <c:ptCount val="2"/>
                <c:pt idx="0">
                  <c:v>67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98-4D69-A6C9-7C17B8A4957B}"/>
            </c:ext>
          </c:extLst>
        </c:ser>
        <c:ser>
          <c:idx val="3"/>
          <c:order val="3"/>
          <c:tx>
            <c:strRef>
              <c:f>tlProd1Fcst!$C$14</c:f>
              <c:strCache>
                <c:ptCount val="1"/>
                <c:pt idx="0">
                  <c:v>Medicare Recerts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(tlProd1Fcst!$N$14,tlProd1Fcst!$P$14)</c:f>
              <c:numCache>
                <c:formatCode>0</c:formatCode>
                <c:ptCount val="2"/>
                <c:pt idx="0">
                  <c:v>30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98-4D69-A6C9-7C17B8A4957B}"/>
            </c:ext>
          </c:extLst>
        </c:ser>
        <c:ser>
          <c:idx val="4"/>
          <c:order val="4"/>
          <c:tx>
            <c:strRef>
              <c:f>tlProd1Fcst!$C$15</c:f>
              <c:strCache>
                <c:ptCount val="1"/>
                <c:pt idx="0">
                  <c:v>PPS Recerts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(tlProd1Fcst!$N$15,tlProd1Fcst!$P$15)</c:f>
              <c:numCache>
                <c:formatCode>0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98-4D69-A6C9-7C17B8A4957B}"/>
            </c:ext>
          </c:extLst>
        </c:ser>
        <c:ser>
          <c:idx val="5"/>
          <c:order val="5"/>
          <c:tx>
            <c:strRef>
              <c:f>tlProd1Fcst!$C$16</c:f>
              <c:strCache>
                <c:ptCount val="1"/>
                <c:pt idx="0">
                  <c:v>Other Recerts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(tlProd1Fcst!$N$16,tlProd1Fcst!$P$16)</c:f>
              <c:numCache>
                <c:formatCode>0</c:formatCode>
                <c:ptCount val="2"/>
                <c:pt idx="0">
                  <c:v>17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98-4D69-A6C9-7C17B8A49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7676376"/>
        <c:axId val="457676768"/>
      </c:barChart>
      <c:catAx>
        <c:axId val="45767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57676768"/>
        <c:crosses val="autoZero"/>
        <c:auto val="1"/>
        <c:lblAlgn val="ctr"/>
        <c:lblOffset val="100"/>
        <c:noMultiLvlLbl val="0"/>
      </c:catAx>
      <c:valAx>
        <c:axId val="4576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5767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Staff Utilzation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tlProd1Fcst!$J$20:$J$22</c:f>
              <c:strCache>
                <c:ptCount val="3"/>
                <c:pt idx="0">
                  <c:v>Skilled Nursing</c:v>
                </c:pt>
                <c:pt idx="1">
                  <c:v>Occupational Therapy</c:v>
                </c:pt>
                <c:pt idx="2">
                  <c:v>Physical Therapy</c:v>
                </c:pt>
              </c:strCache>
            </c:strRef>
          </c:cat>
          <c:val>
            <c:numRef>
              <c:f>tlProd1Fcst!$L$20:$L$22</c:f>
              <c:numCache>
                <c:formatCode>0.0%</c:formatCode>
                <c:ptCount val="3"/>
                <c:pt idx="0">
                  <c:v>-0.12595755214253779</c:v>
                </c:pt>
                <c:pt idx="1">
                  <c:v>-0.14833286138097668</c:v>
                </c:pt>
                <c:pt idx="2">
                  <c:v>-0.15269748550721718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22-4FD2-B73E-2DE67BBEE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380264"/>
        <c:axId val="462380656"/>
      </c:barChart>
      <c:catAx>
        <c:axId val="46238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2380656"/>
        <c:crosses val="autoZero"/>
        <c:auto val="1"/>
        <c:lblAlgn val="ctr"/>
        <c:lblOffset val="100"/>
        <c:noMultiLvlLbl val="0"/>
      </c:catAx>
      <c:valAx>
        <c:axId val="462380656"/>
        <c:scaling>
          <c:orientation val="minMax"/>
          <c:max val="1.100000000000000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238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tlProd1Staff!$W$23</c:f>
          <c:strCache>
            <c:ptCount val="1"/>
            <c:pt idx="0">
              <c:v>Avg Allocated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157969932657496"/>
          <c:y val="0.1751361733651878"/>
          <c:w val="0.42907269618820582"/>
          <c:h val="0.752315341260923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54-4AD5-BE02-17052395320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54-4AD5-BE02-17052395320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54-4AD5-BE02-1705239532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tlProd1Staff!$W$33:$W$35</c:f>
              <c:strCache>
                <c:ptCount val="3"/>
                <c:pt idx="0">
                  <c:v>RN</c:v>
                </c:pt>
                <c:pt idx="1">
                  <c:v>LPN</c:v>
                </c:pt>
                <c:pt idx="2">
                  <c:v>Below Licence</c:v>
                </c:pt>
              </c:strCache>
            </c:strRef>
          </c:cat>
          <c:val>
            <c:numRef>
              <c:f>tlProd1Staff!$Y$33:$Y$35</c:f>
              <c:numCache>
                <c:formatCode>0%</c:formatCode>
                <c:ptCount val="3"/>
                <c:pt idx="0">
                  <c:v>0.53194496796079904</c:v>
                </c:pt>
                <c:pt idx="1">
                  <c:v>0.4680550320392009</c:v>
                </c:pt>
                <c:pt idx="2">
                  <c:v>6.1944967960799124E-2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54-4AD5-BE02-170523953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53367526306904"/>
          <c:y val="0.29332891243697973"/>
          <c:w val="0.15833529983064046"/>
          <c:h val="0.4207013913438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tlProd1Staff!$W$23</c:f>
          <c:strCache>
            <c:ptCount val="1"/>
            <c:pt idx="0">
              <c:v>Avg Allocated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157969932657496"/>
          <c:y val="0.1751361733651878"/>
          <c:w val="0.42907269618820582"/>
          <c:h val="0.752315341260923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67A-4E6C-A5E5-1C0F86F8239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67A-4E6C-A5E5-1C0F86F8239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67A-4E6C-A5E5-1C0F86F823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tlProd1Staff!$AZ$33:$AZ$35</c:f>
              <c:strCache>
                <c:ptCount val="3"/>
                <c:pt idx="0">
                  <c:v>RN</c:v>
                </c:pt>
                <c:pt idx="1">
                  <c:v>LPN</c:v>
                </c:pt>
                <c:pt idx="2">
                  <c:v>Below Licence</c:v>
                </c:pt>
              </c:strCache>
            </c:strRef>
          </c:cat>
          <c:val>
            <c:numRef>
              <c:f>tlProd1Staff!$BB$33:$BB$35</c:f>
              <c:numCache>
                <c:formatCode>0%</c:formatCode>
                <c:ptCount val="3"/>
                <c:pt idx="0">
                  <c:v>0.53194496796079904</c:v>
                </c:pt>
                <c:pt idx="1">
                  <c:v>0.4680550320392009</c:v>
                </c:pt>
                <c:pt idx="2">
                  <c:v>6.1944967960799124E-2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7A-4E6C-A5E5-1C0F86F82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53367526306904"/>
          <c:y val="0.29332891243697973"/>
          <c:w val="0.15833529983064046"/>
          <c:h val="0.4207013913438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DOO Allocation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471700533368712E-2"/>
          <c:y val="0.18297958330429934"/>
          <c:w val="0.50508066422019315"/>
          <c:h val="0.7059315779844226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8F-4498-8BA4-A03C51A981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8F-4498-8BA4-A03C51A981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8F-4498-8BA4-A03C51A981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58F-4498-8BA4-A03C51A981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58F-4498-8BA4-A03C51A981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58F-4498-8BA4-A03C51A98126}"/>
              </c:ext>
            </c:extLst>
          </c:dPt>
          <c:cat>
            <c:strRef>
              <c:f>tlProd2DOO!$C$20:$C$25</c:f>
              <c:strCache>
                <c:ptCount val="6"/>
                <c:pt idx="0">
                  <c:v>Non-Discretionary</c:v>
                </c:pt>
                <c:pt idx="1">
                  <c:v>Recruitment</c:v>
                </c:pt>
                <c:pt idx="2">
                  <c:v>People Development</c:v>
                </c:pt>
                <c:pt idx="3">
                  <c:v>Operations</c:v>
                </c:pt>
                <c:pt idx="4">
                  <c:v>Clinical</c:v>
                </c:pt>
                <c:pt idx="5">
                  <c:v>Referrals</c:v>
                </c:pt>
              </c:strCache>
            </c:strRef>
          </c:cat>
          <c:val>
            <c:numRef>
              <c:f>tlProd2DOO!$I$20:$I$25</c:f>
              <c:numCache>
                <c:formatCode>0.0%</c:formatCode>
                <c:ptCount val="6"/>
                <c:pt idx="0">
                  <c:v>0.8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8F-4498-8BA4-A03C51A98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918600174978133"/>
          <c:y val="0.17768053329616984"/>
          <c:w val="0.3794057742782152"/>
          <c:h val="0.75742271154158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00"/>
              <a:t>DOO Allocation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9471700533368712E-2"/>
          <c:y val="0.18297958330429934"/>
          <c:w val="0.50508066422019315"/>
          <c:h val="0.7059315779844226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7-4A16-8ED1-C680169F90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7-4A16-8ED1-C680169F90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7-4A16-8ED1-C680169F90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7-4A16-8ED1-C680169F90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E7-4A16-8ED1-C680169F90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E7-4A16-8ED1-C680169F90D8}"/>
              </c:ext>
            </c:extLst>
          </c:dPt>
          <c:cat>
            <c:strRef>
              <c:f>tlProd2DOO!$M$20:$M$25</c:f>
              <c:strCache>
                <c:ptCount val="6"/>
                <c:pt idx="0">
                  <c:v>Non-Discretionary</c:v>
                </c:pt>
                <c:pt idx="1">
                  <c:v>Recruitment</c:v>
                </c:pt>
                <c:pt idx="2">
                  <c:v>People Development</c:v>
                </c:pt>
                <c:pt idx="3">
                  <c:v>Operations</c:v>
                </c:pt>
                <c:pt idx="4">
                  <c:v>Clinical</c:v>
                </c:pt>
                <c:pt idx="5">
                  <c:v>Referrals</c:v>
                </c:pt>
              </c:strCache>
            </c:strRef>
          </c:cat>
          <c:val>
            <c:numRef>
              <c:f>tlProd2DOO!$S$20:$S$25</c:f>
              <c:numCache>
                <c:formatCode>0.0%</c:formatCode>
                <c:ptCount val="6"/>
                <c:pt idx="0">
                  <c:v>0.748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E7-4A16-8ED1-C680169F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918600174978133"/>
          <c:y val="0.17768053329616984"/>
          <c:w val="0.3794057742782152"/>
          <c:h val="0.75742271154158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Monthly Admits vs Recerts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tlProd2Fcst!$C$11</c:f>
              <c:strCache>
                <c:ptCount val="1"/>
                <c:pt idx="0">
                  <c:v>Medicare Admits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(tlProd2Fcst!$N$11,tlProd2Fcst!$P$11)</c:f>
              <c:numCache>
                <c:formatCode>0</c:formatCode>
                <c:ptCount val="2"/>
                <c:pt idx="0">
                  <c:v>134</c:v>
                </c:pt>
                <c:pt idx="1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A0-484D-9BF0-EE2DCC272796}"/>
            </c:ext>
          </c:extLst>
        </c:ser>
        <c:ser>
          <c:idx val="1"/>
          <c:order val="1"/>
          <c:tx>
            <c:strRef>
              <c:f>tlProd2Fcst!$C$12</c:f>
              <c:strCache>
                <c:ptCount val="1"/>
                <c:pt idx="0">
                  <c:v>PPS Admits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(tlProd2Fcst!$N$12,tlProd2Fcst!$P$12)</c:f>
              <c:numCache>
                <c:formatCode>0</c:formatCode>
                <c:ptCount val="2"/>
                <c:pt idx="0">
                  <c:v>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A0-484D-9BF0-EE2DCC272796}"/>
            </c:ext>
          </c:extLst>
        </c:ser>
        <c:ser>
          <c:idx val="2"/>
          <c:order val="2"/>
          <c:tx>
            <c:strRef>
              <c:f>tlProd2Fcst!$C$13</c:f>
              <c:strCache>
                <c:ptCount val="1"/>
                <c:pt idx="0">
                  <c:v>Other Admits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(tlProd2Fcst!$N$13,tlProd2Fcst!$P$13)</c:f>
              <c:numCache>
                <c:formatCode>0</c:formatCode>
                <c:ptCount val="2"/>
                <c:pt idx="0">
                  <c:v>4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A0-484D-9BF0-EE2DCC272796}"/>
            </c:ext>
          </c:extLst>
        </c:ser>
        <c:ser>
          <c:idx val="3"/>
          <c:order val="3"/>
          <c:tx>
            <c:strRef>
              <c:f>tlProd2Fcst!$C$14</c:f>
              <c:strCache>
                <c:ptCount val="1"/>
                <c:pt idx="0">
                  <c:v>Medicare Recerts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(tlProd2Fcst!$N$14,tlProd2Fcst!$P$14)</c:f>
              <c:numCache>
                <c:formatCode>0</c:formatCode>
                <c:ptCount val="2"/>
                <c:pt idx="0">
                  <c:v>40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A0-484D-9BF0-EE2DCC272796}"/>
            </c:ext>
          </c:extLst>
        </c:ser>
        <c:ser>
          <c:idx val="4"/>
          <c:order val="4"/>
          <c:tx>
            <c:strRef>
              <c:f>tlProd2Fcst!$C$15</c:f>
              <c:strCache>
                <c:ptCount val="1"/>
                <c:pt idx="0">
                  <c:v>PPS Recerts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(tlProd2Fcst!$N$15,tlProd2Fcst!$P$15)</c:f>
              <c:numCache>
                <c:formatCode>0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A0-484D-9BF0-EE2DCC272796}"/>
            </c:ext>
          </c:extLst>
        </c:ser>
        <c:ser>
          <c:idx val="5"/>
          <c:order val="5"/>
          <c:tx>
            <c:strRef>
              <c:f>tlProd2Fcst!$C$16</c:f>
              <c:strCache>
                <c:ptCount val="1"/>
                <c:pt idx="0">
                  <c:v>Other Recerts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(tlProd1Fcst!$N$10,tlProd1Fcst!$P$10)</c:f>
              <c:strCache>
                <c:ptCount val="2"/>
                <c:pt idx="0">
                  <c:v>Forecast</c:v>
                </c:pt>
                <c:pt idx="1">
                  <c:v>Budget</c:v>
                </c:pt>
              </c:strCache>
            </c:strRef>
          </c:cat>
          <c:val>
            <c:numRef>
              <c:f>(tlProd2Fcst!$N$16,tlProd2Fcst!$P$16)</c:f>
              <c:numCache>
                <c:formatCode>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A0-484D-9BF0-EE2DCC272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2381048"/>
        <c:axId val="462378696"/>
      </c:barChart>
      <c:catAx>
        <c:axId val="46238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2378696"/>
        <c:crosses val="autoZero"/>
        <c:auto val="1"/>
        <c:lblAlgn val="ctr"/>
        <c:lblOffset val="100"/>
        <c:noMultiLvlLbl val="0"/>
      </c:catAx>
      <c:valAx>
        <c:axId val="46237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238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Staff Utilzation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tlProd2Fcst!$J$20:$J$22</c:f>
              <c:strCache>
                <c:ptCount val="3"/>
                <c:pt idx="0">
                  <c:v>Skilled Nursing</c:v>
                </c:pt>
                <c:pt idx="1">
                  <c:v>Occupational Therapy</c:v>
                </c:pt>
                <c:pt idx="2">
                  <c:v>Physical Therapy</c:v>
                </c:pt>
              </c:strCache>
            </c:strRef>
          </c:cat>
          <c:val>
            <c:numRef>
              <c:f>tlProd2Fcst!$L$20:$L$22</c:f>
              <c:numCache>
                <c:formatCode>0.0%</c:formatCode>
                <c:ptCount val="3"/>
                <c:pt idx="0">
                  <c:v>-5.0864981930618391E-3</c:v>
                </c:pt>
                <c:pt idx="1">
                  <c:v>-8.3959264550022006E-3</c:v>
                </c:pt>
                <c:pt idx="2">
                  <c:v>-5.2042529378847346E-2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F1-4BC4-A61C-D1D30182E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102104"/>
        <c:axId val="464102496"/>
      </c:barChart>
      <c:catAx>
        <c:axId val="46410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4102496"/>
        <c:crosses val="autoZero"/>
        <c:auto val="1"/>
        <c:lblAlgn val="ctr"/>
        <c:lblOffset val="100"/>
        <c:noMultiLvlLbl val="0"/>
      </c:catAx>
      <c:valAx>
        <c:axId val="46410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6410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tlProd1Staff!$W$23</c:f>
          <c:strCache>
            <c:ptCount val="1"/>
            <c:pt idx="0">
              <c:v>Avg Allocated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157969932657496"/>
          <c:y val="0.1751361733651878"/>
          <c:w val="0.42907269618820582"/>
          <c:h val="0.752315341260923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DD-40B5-B931-6E42577635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DD-40B5-B931-6E42577635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DD-40B5-B931-6E42577635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tlProd2Staff!$W$34:$W$36</c:f>
              <c:strCache>
                <c:ptCount val="3"/>
                <c:pt idx="0">
                  <c:v>RN</c:v>
                </c:pt>
                <c:pt idx="1">
                  <c:v>LPN</c:v>
                </c:pt>
                <c:pt idx="2">
                  <c:v>Below</c:v>
                </c:pt>
              </c:strCache>
            </c:strRef>
          </c:cat>
          <c:val>
            <c:numRef>
              <c:f>tlProd2Staff!$Y$34:$Y$36</c:f>
              <c:numCache>
                <c:formatCode>0%</c:formatCode>
                <c:ptCount val="3"/>
                <c:pt idx="0">
                  <c:v>0.62389180403298916</c:v>
                </c:pt>
                <c:pt idx="1">
                  <c:v>0.37610819596701062</c:v>
                </c:pt>
                <c:pt idx="2">
                  <c:v>7.3891804032989394E-2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D-40B5-B931-6E425776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353367526306904"/>
          <c:y val="0.29332891243697973"/>
          <c:w val="0.15833529983064046"/>
          <c:h val="0.4207013913438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Market Share of Patients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168027014915818E-2"/>
          <c:y val="0.14895696861421737"/>
          <c:w val="0.62913666655865552"/>
          <c:h val="0.72000705794128661"/>
        </c:manualLayout>
      </c:layout>
      <c:lineChart>
        <c:grouping val="standard"/>
        <c:varyColors val="0"/>
        <c:ser>
          <c:idx val="0"/>
          <c:order val="0"/>
          <c:tx>
            <c:strRef>
              <c:f>AutoCompetitors!$B$10</c:f>
              <c:strCache>
                <c:ptCount val="1"/>
                <c:pt idx="0">
                  <c:v>Riverside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4925">
                <a:solidFill>
                  <a:schemeClr val="accent1"/>
                </a:solidFill>
              </a:ln>
              <a:effectLst/>
            </c:spPr>
          </c:marker>
          <c:cat>
            <c:strRef>
              <c:f>AutoCompetitors!$C$9:$E$9</c:f>
              <c:strCache>
                <c:ptCount val="3"/>
                <c:pt idx="0">
                  <c:v>R-2</c:v>
                </c:pt>
                <c:pt idx="1">
                  <c:v>R-1</c:v>
                </c:pt>
                <c:pt idx="2">
                  <c:v>R0</c:v>
                </c:pt>
              </c:strCache>
            </c:strRef>
          </c:cat>
          <c:val>
            <c:numRef>
              <c:f>AutoCompetitors!$C$10:$E$10</c:f>
              <c:numCache>
                <c:formatCode>0%</c:formatCode>
                <c:ptCount val="3"/>
                <c:pt idx="0">
                  <c:v>0.42</c:v>
                </c:pt>
                <c:pt idx="1">
                  <c:v>0.44</c:v>
                </c:pt>
                <c:pt idx="2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0-4994-8116-04663E5625F8}"/>
            </c:ext>
          </c:extLst>
        </c:ser>
        <c:ser>
          <c:idx val="1"/>
          <c:order val="1"/>
          <c:tx>
            <c:strRef>
              <c:f>AutoCompetitors!$B$12</c:f>
              <c:strCache>
                <c:ptCount val="1"/>
                <c:pt idx="0">
                  <c:v>Pleasantville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AutoCompetitors!$C$9:$E$9</c:f>
              <c:strCache>
                <c:ptCount val="3"/>
                <c:pt idx="0">
                  <c:v>R-2</c:v>
                </c:pt>
                <c:pt idx="1">
                  <c:v>R-1</c:v>
                </c:pt>
                <c:pt idx="2">
                  <c:v>R0</c:v>
                </c:pt>
              </c:strCache>
            </c:strRef>
          </c:cat>
          <c:val>
            <c:numRef>
              <c:f>AutoCompetitors!$C$12:$E$12</c:f>
              <c:numCache>
                <c:formatCode>0%</c:formatCode>
                <c:ptCount val="3"/>
                <c:pt idx="0">
                  <c:v>0.19</c:v>
                </c:pt>
                <c:pt idx="1">
                  <c:v>0.17</c:v>
                </c:pt>
                <c:pt idx="2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0-4994-8116-04663E562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4456"/>
        <c:axId val="464104064"/>
      </c:lineChart>
      <c:catAx>
        <c:axId val="464104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04064"/>
        <c:crosses val="autoZero"/>
        <c:auto val="1"/>
        <c:lblAlgn val="ctr"/>
        <c:lblOffset val="100"/>
        <c:noMultiLvlLbl val="0"/>
      </c:catAx>
      <c:valAx>
        <c:axId val="464104064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04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05253646572867"/>
          <c:y val="0.2886085089166226"/>
          <c:w val="0.24568030847995848"/>
          <c:h val="0.45291921843102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Market Share of Patients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168027014915818E-2"/>
          <c:y val="0.14895696861421737"/>
          <c:w val="0.62913666655865552"/>
          <c:h val="0.72000705794128661"/>
        </c:manualLayout>
      </c:layout>
      <c:lineChart>
        <c:grouping val="standard"/>
        <c:varyColors val="0"/>
        <c:ser>
          <c:idx val="0"/>
          <c:order val="0"/>
          <c:tx>
            <c:strRef>
              <c:f>AutoCompetitors!$B$29</c:f>
              <c:strCache>
                <c:ptCount val="1"/>
                <c:pt idx="0">
                  <c:v>Riverside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4925">
                <a:solidFill>
                  <a:schemeClr val="accent1"/>
                </a:solidFill>
              </a:ln>
              <a:effectLst/>
            </c:spPr>
          </c:marker>
          <c:cat>
            <c:strRef>
              <c:f>AutoCompetitors!$C$28:$E$28</c:f>
              <c:strCache>
                <c:ptCount val="3"/>
                <c:pt idx="0">
                  <c:v>R-2</c:v>
                </c:pt>
                <c:pt idx="1">
                  <c:v>R-1</c:v>
                </c:pt>
                <c:pt idx="2">
                  <c:v>R0</c:v>
                </c:pt>
              </c:strCache>
            </c:strRef>
          </c:cat>
          <c:val>
            <c:numRef>
              <c:f>AutoCompetitors!$C$29:$E$29</c:f>
              <c:numCache>
                <c:formatCode>0%</c:formatCode>
                <c:ptCount val="3"/>
                <c:pt idx="0">
                  <c:v>0.22</c:v>
                </c:pt>
                <c:pt idx="1">
                  <c:v>0.21</c:v>
                </c:pt>
                <c:pt idx="2">
                  <c:v>0.19999999999999996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03-4B1C-9DE9-D73CF4DBC74B}"/>
            </c:ext>
          </c:extLst>
        </c:ser>
        <c:ser>
          <c:idx val="1"/>
          <c:order val="1"/>
          <c:tx>
            <c:strRef>
              <c:f>AutoCompetitors!$B$31</c:f>
              <c:strCache>
                <c:ptCount val="1"/>
                <c:pt idx="0">
                  <c:v>Pleasantville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AutoCompetitors!$C$28:$E$28</c:f>
              <c:strCache>
                <c:ptCount val="3"/>
                <c:pt idx="0">
                  <c:v>R-2</c:v>
                </c:pt>
                <c:pt idx="1">
                  <c:v>R-1</c:v>
                </c:pt>
                <c:pt idx="2">
                  <c:v>R0</c:v>
                </c:pt>
              </c:strCache>
            </c:strRef>
          </c:cat>
          <c:val>
            <c:numRef>
              <c:f>AutoCompetitors!$C$31:$E$31</c:f>
              <c:numCache>
                <c:formatCode>0%</c:formatCode>
                <c:ptCount val="3"/>
                <c:pt idx="0">
                  <c:v>0.45</c:v>
                </c:pt>
                <c:pt idx="1">
                  <c:v>0.46</c:v>
                </c:pt>
                <c:pt idx="2">
                  <c:v>0.49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03-4B1C-9DE9-D73CF4DB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5240"/>
        <c:axId val="504950032"/>
      </c:lineChart>
      <c:catAx>
        <c:axId val="46410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0032"/>
        <c:crosses val="autoZero"/>
        <c:auto val="1"/>
        <c:lblAlgn val="ctr"/>
        <c:lblOffset val="100"/>
        <c:noMultiLvlLbl val="0"/>
      </c:catAx>
      <c:valAx>
        <c:axId val="504950032"/>
        <c:scaling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10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491267295291796"/>
          <c:y val="0.32022892971711869"/>
          <c:w val="0.24568030847995848"/>
          <c:h val="0.45291921843102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7.jpeg"/><Relationship Id="rId4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9.jpe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2.jpeg"/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3.jpeg"/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jpeg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1647825</xdr:colOff>
      <xdr:row>5</xdr:row>
      <xdr:rowOff>142875</xdr:rowOff>
    </xdr:from>
    <xdr:to>
      <xdr:col>8</xdr:col>
      <xdr:colOff>447292</xdr:colOff>
      <xdr:row>7</xdr:row>
      <xdr:rowOff>104744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82225" y="1047750"/>
          <a:ext cx="3066667" cy="24761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28575</xdr:colOff>
      <xdr:row>19</xdr:row>
      <xdr:rowOff>38099</xdr:rowOff>
    </xdr:from>
    <xdr:to>
      <xdr:col>2</xdr:col>
      <xdr:colOff>190500</xdr:colOff>
      <xdr:row>33</xdr:row>
      <xdr:rowOff>88752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6775" y="3228974"/>
          <a:ext cx="1419225" cy="20509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68036</xdr:colOff>
      <xdr:row>1</xdr:row>
      <xdr:rowOff>20910</xdr:rowOff>
    </xdr:from>
    <xdr:ext cx="2036990" cy="55287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586" y="97110"/>
          <a:ext cx="2036990" cy="552876"/>
        </a:xfrm>
        <a:prstGeom prst="rect">
          <a:avLst/>
        </a:prstGeom>
      </xdr:spPr>
    </xdr:pic>
    <xdr:clientData/>
  </xdr:oneCellAnchor>
  <xdr:twoCellAnchor editAs="oneCell">
    <xdr:from>
      <xdr:col>14</xdr:col>
      <xdr:colOff>262956</xdr:colOff>
      <xdr:row>1</xdr:row>
      <xdr:rowOff>57150</xdr:rowOff>
    </xdr:from>
    <xdr:to>
      <xdr:col>17</xdr:col>
      <xdr:colOff>833876</xdr:colOff>
      <xdr:row>2</xdr:row>
      <xdr:rowOff>38100</xdr:rowOff>
    </xdr:to>
    <xdr:pic>
      <xdr:nvPicPr>
        <xdr:cNvPr id="4" name="Picture 3" descr="Image result for amedisys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5616006" y="133350"/>
          <a:ext cx="1399595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6</xdr:row>
      <xdr:rowOff>123826</xdr:rowOff>
    </xdr:from>
    <xdr:to>
      <xdr:col>10</xdr:col>
      <xdr:colOff>295274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619125</xdr:colOff>
      <xdr:row>6</xdr:row>
      <xdr:rowOff>123826</xdr:rowOff>
    </xdr:from>
    <xdr:to>
      <xdr:col>20</xdr:col>
      <xdr:colOff>295274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76200</xdr:colOff>
      <xdr:row>28</xdr:row>
      <xdr:rowOff>66675</xdr:rowOff>
    </xdr:from>
    <xdr:ext cx="645928" cy="2286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400050" y="4743450"/>
          <a:ext cx="645928" cy="228600"/>
        </a:xfrm>
        <a:prstGeom prst="rect">
          <a:avLst/>
        </a:prstGeom>
      </xdr:spPr>
    </xdr:pic>
    <xdr:clientData/>
  </xdr:oneCellAnchor>
  <xdr:oneCellAnchor>
    <xdr:from>
      <xdr:col>12</xdr:col>
      <xdr:colOff>123825</xdr:colOff>
      <xdr:row>28</xdr:row>
      <xdr:rowOff>76200</xdr:rowOff>
    </xdr:from>
    <xdr:ext cx="645928" cy="22860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7581900" y="4752975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8</xdr:col>
      <xdr:colOff>47625</xdr:colOff>
      <xdr:row>0</xdr:row>
      <xdr:rowOff>28575</xdr:rowOff>
    </xdr:from>
    <xdr:to>
      <xdr:col>9</xdr:col>
      <xdr:colOff>71875</xdr:colOff>
      <xdr:row>1</xdr:row>
      <xdr:rowOff>309274</xdr:rowOff>
    </xdr:to>
    <xdr:pic>
      <xdr:nvPicPr>
        <xdr:cNvPr id="6" name="Picture 5" descr="Image result for amedisys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5562600" y="2857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38100</xdr:rowOff>
    </xdr:from>
    <xdr:to>
      <xdr:col>21</xdr:col>
      <xdr:colOff>109975</xdr:colOff>
      <xdr:row>1</xdr:row>
      <xdr:rowOff>318799</xdr:rowOff>
    </xdr:to>
    <xdr:pic>
      <xdr:nvPicPr>
        <xdr:cNvPr id="7" name="Picture 6" descr="Image result for amedisys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3630275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28575</xdr:colOff>
      <xdr:row>31</xdr:row>
      <xdr:rowOff>85725</xdr:rowOff>
    </xdr:from>
    <xdr:ext cx="645928" cy="228600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1704975" y="424815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40</xdr:col>
      <xdr:colOff>0</xdr:colOff>
      <xdr:row>35</xdr:row>
      <xdr:rowOff>0</xdr:rowOff>
    </xdr:from>
    <xdr:to>
      <xdr:col>40</xdr:col>
      <xdr:colOff>304800</xdr:colOff>
      <xdr:row>36</xdr:row>
      <xdr:rowOff>114300</xdr:rowOff>
    </xdr:to>
    <xdr:sp macro="" textlink="">
      <xdr:nvSpPr>
        <xdr:cNvPr id="3073" name="AutoShape 1" descr="Image result for mckinsey">
          <a:extLst>
            <a:ext uri="{FF2B5EF4-FFF2-40B4-BE49-F238E27FC236}">
              <a16:creationId xmlns:a16="http://schemas.microsoft.com/office/drawing/2014/main" id="{00000000-0008-0000-07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9029700" y="40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40</xdr:col>
      <xdr:colOff>0</xdr:colOff>
      <xdr:row>35</xdr:row>
      <xdr:rowOff>0</xdr:rowOff>
    </xdr:from>
    <xdr:to>
      <xdr:col>40</xdr:col>
      <xdr:colOff>304800</xdr:colOff>
      <xdr:row>36</xdr:row>
      <xdr:rowOff>114300</xdr:rowOff>
    </xdr:to>
    <xdr:sp macro="" textlink="">
      <xdr:nvSpPr>
        <xdr:cNvPr id="3074" name="AutoShape 2" descr="Image result for mckinsey">
          <a:extLst>
            <a:ext uri="{FF2B5EF4-FFF2-40B4-BE49-F238E27FC236}">
              <a16:creationId xmlns:a16="http://schemas.microsoft.com/office/drawing/2014/main" id="{00000000-0008-0000-07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9029700" y="40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40</xdr:col>
      <xdr:colOff>0</xdr:colOff>
      <xdr:row>35</xdr:row>
      <xdr:rowOff>0</xdr:rowOff>
    </xdr:from>
    <xdr:to>
      <xdr:col>40</xdr:col>
      <xdr:colOff>304800</xdr:colOff>
      <xdr:row>36</xdr:row>
      <xdr:rowOff>114300</xdr:rowOff>
    </xdr:to>
    <xdr:sp macro="" textlink="">
      <xdr:nvSpPr>
        <xdr:cNvPr id="3075" name="AutoShape 3" descr="Image result for mckinsey">
          <a:extLst>
            <a:ext uri="{FF2B5EF4-FFF2-40B4-BE49-F238E27FC236}">
              <a16:creationId xmlns:a16="http://schemas.microsoft.com/office/drawing/2014/main" id="{00000000-0008-0000-07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9029700" y="40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40</xdr:col>
      <xdr:colOff>0</xdr:colOff>
      <xdr:row>31</xdr:row>
      <xdr:rowOff>85725</xdr:rowOff>
    </xdr:from>
    <xdr:ext cx="645928" cy="22860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52425" y="4391025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14</xdr:col>
      <xdr:colOff>276225</xdr:colOff>
      <xdr:row>0</xdr:row>
      <xdr:rowOff>28575</xdr:rowOff>
    </xdr:from>
    <xdr:to>
      <xdr:col>15</xdr:col>
      <xdr:colOff>567175</xdr:colOff>
      <xdr:row>1</xdr:row>
      <xdr:rowOff>309274</xdr:rowOff>
    </xdr:to>
    <xdr:pic>
      <xdr:nvPicPr>
        <xdr:cNvPr id="12" name="Picture 11" descr="Image result for amedisys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8458200" y="2857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28575</xdr:colOff>
      <xdr:row>31</xdr:row>
      <xdr:rowOff>85725</xdr:rowOff>
    </xdr:from>
    <xdr:ext cx="645928" cy="228600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52425" y="3486150"/>
          <a:ext cx="645928" cy="228600"/>
        </a:xfrm>
        <a:prstGeom prst="rect">
          <a:avLst/>
        </a:prstGeom>
      </xdr:spPr>
    </xdr:pic>
    <xdr:clientData/>
  </xdr:oneCellAnchor>
  <xdr:oneCellAnchor>
    <xdr:from>
      <xdr:col>30</xdr:col>
      <xdr:colOff>190500</xdr:colOff>
      <xdr:row>0</xdr:row>
      <xdr:rowOff>19050</xdr:rowOff>
    </xdr:from>
    <xdr:ext cx="738625" cy="356899"/>
    <xdr:pic>
      <xdr:nvPicPr>
        <xdr:cNvPr id="14" name="Picture 13" descr="Image result for amedisys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7916525" y="1905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180975</xdr:colOff>
      <xdr:row>20</xdr:row>
      <xdr:rowOff>9525</xdr:rowOff>
    </xdr:from>
    <xdr:to>
      <xdr:col>7</xdr:col>
      <xdr:colOff>152400</xdr:colOff>
      <xdr:row>30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9525</xdr:colOff>
      <xdr:row>22</xdr:row>
      <xdr:rowOff>100011</xdr:rowOff>
    </xdr:from>
    <xdr:to>
      <xdr:col>14</xdr:col>
      <xdr:colOff>152400</xdr:colOff>
      <xdr:row>30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133350</xdr:colOff>
      <xdr:row>0</xdr:row>
      <xdr:rowOff>38100</xdr:rowOff>
    </xdr:from>
    <xdr:to>
      <xdr:col>30</xdr:col>
      <xdr:colOff>90925</xdr:colOff>
      <xdr:row>1</xdr:row>
      <xdr:rowOff>318799</xdr:rowOff>
    </xdr:to>
    <xdr:pic>
      <xdr:nvPicPr>
        <xdr:cNvPr id="2" name="Picture 1" descr="Image result for amedisys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3163550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57</xdr:col>
      <xdr:colOff>133350</xdr:colOff>
      <xdr:row>0</xdr:row>
      <xdr:rowOff>38100</xdr:rowOff>
    </xdr:from>
    <xdr:ext cx="738625" cy="356899"/>
    <xdr:pic>
      <xdr:nvPicPr>
        <xdr:cNvPr id="3" name="Picture 2" descr="Image result for amedisys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3163550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47625</xdr:colOff>
      <xdr:row>29</xdr:row>
      <xdr:rowOff>76200</xdr:rowOff>
    </xdr:from>
    <xdr:ext cx="645928" cy="2286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71475" y="3762375"/>
          <a:ext cx="645928" cy="228600"/>
        </a:xfrm>
        <a:prstGeom prst="rect">
          <a:avLst/>
        </a:prstGeom>
      </xdr:spPr>
    </xdr:pic>
    <xdr:clientData/>
  </xdr:oneCellAnchor>
  <xdr:oneCellAnchor>
    <xdr:from>
      <xdr:col>31</xdr:col>
      <xdr:colOff>66675</xdr:colOff>
      <xdr:row>29</xdr:row>
      <xdr:rowOff>47625</xdr:rowOff>
    </xdr:from>
    <xdr:ext cx="645928" cy="22860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14725650" y="3733800"/>
          <a:ext cx="645928" cy="228600"/>
        </a:xfrm>
        <a:prstGeom prst="rect">
          <a:avLst/>
        </a:prstGeom>
      </xdr:spPr>
    </xdr:pic>
    <xdr:clientData/>
  </xdr:oneCellAnchor>
  <xdr:twoCellAnchor>
    <xdr:from>
      <xdr:col>5</xdr:col>
      <xdr:colOff>380999</xdr:colOff>
      <xdr:row>21</xdr:row>
      <xdr:rowOff>66675</xdr:rowOff>
    </xdr:from>
    <xdr:to>
      <xdr:col>11</xdr:col>
      <xdr:colOff>123824</xdr:colOff>
      <xdr:row>28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609600</xdr:colOff>
      <xdr:row>21</xdr:row>
      <xdr:rowOff>57150</xdr:rowOff>
    </xdr:from>
    <xdr:to>
      <xdr:col>42</xdr:col>
      <xdr:colOff>76200</xdr:colOff>
      <xdr:row>28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704850</xdr:colOff>
      <xdr:row>6</xdr:row>
      <xdr:rowOff>161925</xdr:rowOff>
    </xdr:from>
    <xdr:to>
      <xdr:col>10</xdr:col>
      <xdr:colOff>380999</xdr:colOff>
      <xdr:row>18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866775</xdr:colOff>
      <xdr:row>6</xdr:row>
      <xdr:rowOff>123825</xdr:rowOff>
    </xdr:from>
    <xdr:to>
      <xdr:col>21</xdr:col>
      <xdr:colOff>95249</xdr:colOff>
      <xdr:row>17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152400</xdr:colOff>
      <xdr:row>28</xdr:row>
      <xdr:rowOff>85725</xdr:rowOff>
    </xdr:from>
    <xdr:ext cx="645928" cy="2286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14325" y="4581525"/>
          <a:ext cx="645928" cy="228600"/>
        </a:xfrm>
        <a:prstGeom prst="rect">
          <a:avLst/>
        </a:prstGeom>
      </xdr:spPr>
    </xdr:pic>
    <xdr:clientData/>
  </xdr:oneCellAnchor>
  <xdr:oneCellAnchor>
    <xdr:from>
      <xdr:col>12</xdr:col>
      <xdr:colOff>38100</xdr:colOff>
      <xdr:row>28</xdr:row>
      <xdr:rowOff>95250</xdr:rowOff>
    </xdr:from>
    <xdr:ext cx="645928" cy="22860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7496175" y="459105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8</xdr:col>
      <xdr:colOff>628650</xdr:colOff>
      <xdr:row>0</xdr:row>
      <xdr:rowOff>38100</xdr:rowOff>
    </xdr:from>
    <xdr:to>
      <xdr:col>10</xdr:col>
      <xdr:colOff>205225</xdr:colOff>
      <xdr:row>1</xdr:row>
      <xdr:rowOff>318799</xdr:rowOff>
    </xdr:to>
    <xdr:pic>
      <xdr:nvPicPr>
        <xdr:cNvPr id="6" name="Picture 5" descr="Image result for amedisy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6143625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400050</xdr:colOff>
      <xdr:row>0</xdr:row>
      <xdr:rowOff>47625</xdr:rowOff>
    </xdr:from>
    <xdr:to>
      <xdr:col>22</xdr:col>
      <xdr:colOff>176650</xdr:colOff>
      <xdr:row>1</xdr:row>
      <xdr:rowOff>328324</xdr:rowOff>
    </xdr:to>
    <xdr:pic>
      <xdr:nvPicPr>
        <xdr:cNvPr id="7" name="Picture 6" descr="Image result for amedisy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4211300" y="4762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30</xdr:row>
      <xdr:rowOff>85725</xdr:rowOff>
    </xdr:from>
    <xdr:ext cx="645928" cy="2286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342900" y="3295650"/>
          <a:ext cx="645928" cy="228600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30</xdr:row>
      <xdr:rowOff>85725</xdr:rowOff>
    </xdr:from>
    <xdr:ext cx="645928" cy="22860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8724900" y="329565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15</xdr:col>
      <xdr:colOff>47625</xdr:colOff>
      <xdr:row>0</xdr:row>
      <xdr:rowOff>19050</xdr:rowOff>
    </xdr:from>
    <xdr:to>
      <xdr:col>16</xdr:col>
      <xdr:colOff>71875</xdr:colOff>
      <xdr:row>1</xdr:row>
      <xdr:rowOff>299749</xdr:rowOff>
    </xdr:to>
    <xdr:pic>
      <xdr:nvPicPr>
        <xdr:cNvPr id="6" name="Picture 5" descr="Image result for amedisys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8534400" y="1905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30</xdr:col>
      <xdr:colOff>323850</xdr:colOff>
      <xdr:row>0</xdr:row>
      <xdr:rowOff>0</xdr:rowOff>
    </xdr:from>
    <xdr:ext cx="738625" cy="356899"/>
    <xdr:pic>
      <xdr:nvPicPr>
        <xdr:cNvPr id="7" name="Picture 6" descr="Image result for amedisy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7907000" y="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0</xdr:colOff>
      <xdr:row>17</xdr:row>
      <xdr:rowOff>171450</xdr:rowOff>
    </xdr:from>
    <xdr:to>
      <xdr:col>7</xdr:col>
      <xdr:colOff>609600</xdr:colOff>
      <xdr:row>29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676275</xdr:colOff>
      <xdr:row>22</xdr:row>
      <xdr:rowOff>104776</xdr:rowOff>
    </xdr:from>
    <xdr:to>
      <xdr:col>15</xdr:col>
      <xdr:colOff>219075</xdr:colOff>
      <xdr:row>29</xdr:row>
      <xdr:rowOff>109539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123825</xdr:colOff>
      <xdr:row>30</xdr:row>
      <xdr:rowOff>76200</xdr:rowOff>
    </xdr:from>
    <xdr:ext cx="645928" cy="2286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447675" y="3762375"/>
          <a:ext cx="645928" cy="2286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30</xdr:row>
      <xdr:rowOff>85725</xdr:rowOff>
    </xdr:from>
    <xdr:ext cx="645928" cy="22860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14982825" y="377190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28</xdr:col>
      <xdr:colOff>247650</xdr:colOff>
      <xdr:row>0</xdr:row>
      <xdr:rowOff>38100</xdr:rowOff>
    </xdr:from>
    <xdr:to>
      <xdr:col>29</xdr:col>
      <xdr:colOff>367150</xdr:colOff>
      <xdr:row>1</xdr:row>
      <xdr:rowOff>318799</xdr:rowOff>
    </xdr:to>
    <xdr:pic>
      <xdr:nvPicPr>
        <xdr:cNvPr id="4" name="Picture 3" descr="Image result for amedisys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3277850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57</xdr:col>
      <xdr:colOff>123825</xdr:colOff>
      <xdr:row>0</xdr:row>
      <xdr:rowOff>28575</xdr:rowOff>
    </xdr:from>
    <xdr:to>
      <xdr:col>58</xdr:col>
      <xdr:colOff>243325</xdr:colOff>
      <xdr:row>1</xdr:row>
      <xdr:rowOff>309274</xdr:rowOff>
    </xdr:to>
    <xdr:pic>
      <xdr:nvPicPr>
        <xdr:cNvPr id="5" name="Picture 4" descr="Image result for amedisys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27489150" y="2857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590550</xdr:colOff>
      <xdr:row>21</xdr:row>
      <xdr:rowOff>57150</xdr:rowOff>
    </xdr:from>
    <xdr:to>
      <xdr:col>12</xdr:col>
      <xdr:colOff>676275</xdr:colOff>
      <xdr:row>30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22</xdr:row>
      <xdr:rowOff>85725</xdr:rowOff>
    </xdr:from>
    <xdr:ext cx="645928" cy="22860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85725" y="4200525"/>
          <a:ext cx="645928" cy="228600"/>
        </a:xfrm>
        <a:prstGeom prst="rect">
          <a:avLst/>
        </a:prstGeom>
      </xdr:spPr>
    </xdr:pic>
    <xdr:clientData/>
  </xdr:oneCellAnchor>
  <xdr:oneCellAnchor>
    <xdr:from>
      <xdr:col>14</xdr:col>
      <xdr:colOff>142875</xdr:colOff>
      <xdr:row>22</xdr:row>
      <xdr:rowOff>85725</xdr:rowOff>
    </xdr:from>
    <xdr:ext cx="645928" cy="22860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8391525" y="285750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10</xdr:col>
      <xdr:colOff>200025</xdr:colOff>
      <xdr:row>0</xdr:row>
      <xdr:rowOff>38100</xdr:rowOff>
    </xdr:from>
    <xdr:to>
      <xdr:col>10</xdr:col>
      <xdr:colOff>938650</xdr:colOff>
      <xdr:row>1</xdr:row>
      <xdr:rowOff>318799</xdr:rowOff>
    </xdr:to>
    <xdr:pic>
      <xdr:nvPicPr>
        <xdr:cNvPr id="4" name="Picture 3" descr="Image result for amedisys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6086475" y="38100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161925</xdr:colOff>
      <xdr:row>0</xdr:row>
      <xdr:rowOff>47625</xdr:rowOff>
    </xdr:from>
    <xdr:to>
      <xdr:col>22</xdr:col>
      <xdr:colOff>900550</xdr:colOff>
      <xdr:row>1</xdr:row>
      <xdr:rowOff>328324</xdr:rowOff>
    </xdr:to>
    <xdr:pic>
      <xdr:nvPicPr>
        <xdr:cNvPr id="6" name="Picture 5" descr="Image result for amedisys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13973175" y="4762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39</xdr:row>
      <xdr:rowOff>85725</xdr:rowOff>
    </xdr:from>
    <xdr:ext cx="645928" cy="2286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7828" b="32390"/>
        <a:stretch/>
      </xdr:blipFill>
      <xdr:spPr>
        <a:xfrm>
          <a:off x="276225" y="3524250"/>
          <a:ext cx="645928" cy="228600"/>
        </a:xfrm>
        <a:prstGeom prst="rect">
          <a:avLst/>
        </a:prstGeom>
      </xdr:spPr>
    </xdr:pic>
    <xdr:clientData/>
  </xdr:oneCellAnchor>
  <xdr:twoCellAnchor editAs="oneCell">
    <xdr:from>
      <xdr:col>13</xdr:col>
      <xdr:colOff>38100</xdr:colOff>
      <xdr:row>0</xdr:row>
      <xdr:rowOff>28575</xdr:rowOff>
    </xdr:from>
    <xdr:to>
      <xdr:col>15</xdr:col>
      <xdr:colOff>52825</xdr:colOff>
      <xdr:row>1</xdr:row>
      <xdr:rowOff>309274</xdr:rowOff>
    </xdr:to>
    <xdr:pic>
      <xdr:nvPicPr>
        <xdr:cNvPr id="4" name="Picture 3" descr="Image result for amedisys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94" t="19284" r="10462" b="21968"/>
        <a:stretch/>
      </xdr:blipFill>
      <xdr:spPr bwMode="auto">
        <a:xfrm>
          <a:off x="5810250" y="28575"/>
          <a:ext cx="738625" cy="3568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2</xdr:row>
      <xdr:rowOff>133350</xdr:rowOff>
    </xdr:from>
    <xdr:to>
      <xdr:col>14</xdr:col>
      <xdr:colOff>38100</xdr:colOff>
      <xdr:row>19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21</xdr:row>
      <xdr:rowOff>66675</xdr:rowOff>
    </xdr:from>
    <xdr:to>
      <xdr:col>14</xdr:col>
      <xdr:colOff>28575</xdr:colOff>
      <xdr:row>38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3</xdr:col>
          <xdr:colOff>1250950</xdr:colOff>
          <xdr:row>17</xdr:row>
          <xdr:rowOff>95250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Size for Number of Teams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eme1">
  <a:themeElements>
    <a:clrScheme name="BTS Colors Final 9-9-15">
      <a:dk1>
        <a:srgbClr val="000000"/>
      </a:dk1>
      <a:lt1>
        <a:srgbClr val="FFFFFF"/>
      </a:lt1>
      <a:dk2>
        <a:srgbClr val="28324B"/>
      </a:dk2>
      <a:lt2>
        <a:srgbClr val="CFCFCF"/>
      </a:lt2>
      <a:accent1>
        <a:srgbClr val="28324B"/>
      </a:accent1>
      <a:accent2>
        <a:srgbClr val="FB054B"/>
      </a:accent2>
      <a:accent3>
        <a:srgbClr val="CDCDCD"/>
      </a:accent3>
      <a:accent4>
        <a:srgbClr val="0AB9F3"/>
      </a:accent4>
      <a:accent5>
        <a:srgbClr val="006EB9"/>
      </a:accent5>
      <a:accent6>
        <a:srgbClr val="FFC300"/>
      </a:accent6>
      <a:hlink>
        <a:srgbClr val="00B9FF"/>
      </a:hlink>
      <a:folHlink>
        <a:srgbClr val="006EB9"/>
      </a:folHlink>
    </a:clrScheme>
    <a:fontScheme name="BTS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 w="6350">
          <a:solidFill>
            <a:srgbClr val="28324B"/>
          </a:solidFill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rgbClr val="28324B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  <a:ln>
          <a:solidFill>
            <a:srgbClr val="28324B"/>
          </a:solidFill>
        </a:ln>
      </a:spPr>
      <a:bodyPr wrap="square" rtlCol="0">
        <a:spAutoFit/>
      </a:bodyPr>
      <a:lstStyle>
        <a:defPPr>
          <a:defRPr sz="1200" dirty="0"/>
        </a:defPPr>
      </a:lstStyle>
    </a:txDef>
  </a:objectDefaults>
  <a:extraClrSchemeLst/>
  <a:extLst>
    <a:ext uri="{05A4C25C-085E-4340-85A3-A5531E510DB2}">
      <thm15:themeFamily xmlns:thm15="http://schemas.microsoft.com/office/thememl/2012/main" name="Theme1" id="{2C4D523F-9E93-4452-95EC-51FBAE8A54F9}" vid="{4F29DFF7-7508-4639-9F64-2BE615DAE33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eveloperSupport@bts.com" TargetMode="External"/><Relationship Id="rId2" Type="http://schemas.openxmlformats.org/officeDocument/2006/relationships/hyperlink" Target="mailto:ModuleFactory@bts.com" TargetMode="External"/><Relationship Id="rId1" Type="http://schemas.openxmlformats.org/officeDocument/2006/relationships/hyperlink" Target="https://bts.box.com/s/tld8dyjxygi4ctr492i8pgwwngqmbjnd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oduleFactory@bts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oduleFactory@bts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oduleFactory@bts.co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mailto:ModuleFactory@bts.com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hyperlink" Target="mailto:ModuleFactory@bts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oduleFactory@bts.com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oduleFactory@bts.com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P61"/>
  <sheetViews>
    <sheetView workbookViewId="0"/>
  </sheetViews>
  <sheetFormatPr defaultColWidth="9.33203125" defaultRowHeight="10"/>
  <cols>
    <col min="1" max="1" width="13.6640625" style="63" customWidth="1"/>
    <col min="2" max="2" width="22" style="63" customWidth="1"/>
    <col min="3" max="3" width="30.109375" style="63" customWidth="1"/>
    <col min="4" max="4" width="29" style="63" customWidth="1"/>
    <col min="5" max="5" width="46.6640625" style="63" customWidth="1"/>
    <col min="6" max="16384" width="9.33203125" style="63"/>
  </cols>
  <sheetData>
    <row r="1" spans="1:16" s="61" customFormat="1">
      <c r="A1" s="61" t="s">
        <v>108</v>
      </c>
    </row>
    <row r="3" spans="1:16" s="70" customFormat="1">
      <c r="A3" s="69" t="s">
        <v>145</v>
      </c>
      <c r="G3" s="71"/>
      <c r="H3" s="71"/>
      <c r="I3" s="71"/>
      <c r="J3" s="71"/>
      <c r="K3" s="71"/>
      <c r="L3" s="71"/>
      <c r="M3" s="71"/>
      <c r="N3" s="71"/>
      <c r="O3" s="71"/>
      <c r="P3" s="71"/>
    </row>
    <row r="5" spans="1:16">
      <c r="B5" s="158" t="s">
        <v>146</v>
      </c>
    </row>
    <row r="6" spans="1:16" ht="9" customHeight="1"/>
    <row r="7" spans="1:16" ht="10.5">
      <c r="B7" s="158" t="s">
        <v>403</v>
      </c>
    </row>
    <row r="10" spans="1:16" s="70" customFormat="1">
      <c r="A10" s="69" t="s">
        <v>113</v>
      </c>
      <c r="G10" s="71"/>
      <c r="H10" s="71"/>
      <c r="I10" s="71"/>
      <c r="J10" s="71"/>
      <c r="K10" s="71"/>
      <c r="L10" s="71"/>
      <c r="M10" s="71"/>
      <c r="N10" s="71"/>
      <c r="O10" s="71"/>
      <c r="P10" s="71"/>
    </row>
    <row r="12" spans="1:16" ht="10.5">
      <c r="A12" s="63" t="s">
        <v>404</v>
      </c>
    </row>
    <row r="14" spans="1:16">
      <c r="B14" s="72"/>
      <c r="C14" s="73" t="s">
        <v>110</v>
      </c>
    </row>
    <row r="15" spans="1:16">
      <c r="B15" s="74"/>
      <c r="C15" s="73" t="s">
        <v>107</v>
      </c>
    </row>
    <row r="16" spans="1:16">
      <c r="B16" s="75"/>
      <c r="C16" s="73" t="s">
        <v>112</v>
      </c>
    </row>
    <row r="17" spans="1:16">
      <c r="B17" s="76"/>
      <c r="C17" s="73" t="s">
        <v>111</v>
      </c>
    </row>
    <row r="19" spans="1:16">
      <c r="A19" s="63" t="s">
        <v>148</v>
      </c>
    </row>
    <row r="32" spans="1:16" s="70" customFormat="1">
      <c r="A32" s="69" t="s">
        <v>115</v>
      </c>
      <c r="G32" s="71"/>
      <c r="H32" s="71"/>
      <c r="I32" s="71"/>
      <c r="J32" s="71"/>
      <c r="K32" s="71"/>
      <c r="L32" s="71"/>
      <c r="M32" s="71"/>
      <c r="N32" s="71"/>
      <c r="O32" s="71"/>
      <c r="P32" s="71"/>
    </row>
    <row r="34" spans="1:16" ht="10.5">
      <c r="A34" s="159"/>
      <c r="B34" s="160" t="s">
        <v>117</v>
      </c>
      <c r="C34" s="160" t="s">
        <v>106</v>
      </c>
      <c r="D34" s="160" t="s">
        <v>118</v>
      </c>
      <c r="E34" s="160" t="s">
        <v>119</v>
      </c>
    </row>
    <row r="35" spans="1:16" ht="104.25" customHeight="1">
      <c r="A35" s="159"/>
      <c r="B35" s="161" t="s">
        <v>120</v>
      </c>
      <c r="C35" s="162" t="s">
        <v>130</v>
      </c>
      <c r="D35" s="162" t="s">
        <v>121</v>
      </c>
      <c r="E35" s="163" t="s">
        <v>116</v>
      </c>
    </row>
    <row r="36" spans="1:16" ht="104.25" customHeight="1">
      <c r="A36" s="159"/>
      <c r="B36" s="164" t="s">
        <v>122</v>
      </c>
      <c r="C36" s="165" t="s">
        <v>124</v>
      </c>
      <c r="D36" s="165" t="s">
        <v>125</v>
      </c>
      <c r="E36" s="166" t="s">
        <v>123</v>
      </c>
    </row>
    <row r="37" spans="1:16" ht="104.25" customHeight="1">
      <c r="B37" s="161" t="s">
        <v>126</v>
      </c>
      <c r="C37" s="162" t="s">
        <v>128</v>
      </c>
      <c r="D37" s="162" t="s">
        <v>129</v>
      </c>
      <c r="E37" s="163" t="s">
        <v>127</v>
      </c>
    </row>
    <row r="38" spans="1:16">
      <c r="A38" s="159"/>
    </row>
    <row r="39" spans="1:16" s="70" customFormat="1">
      <c r="A39" s="69" t="s">
        <v>109</v>
      </c>
      <c r="G39" s="71"/>
      <c r="H39" s="71"/>
      <c r="I39" s="71"/>
      <c r="J39" s="71"/>
      <c r="K39" s="71"/>
      <c r="L39" s="71"/>
      <c r="M39" s="71"/>
      <c r="N39" s="71"/>
      <c r="O39" s="71"/>
      <c r="P39" s="71"/>
    </row>
    <row r="41" spans="1:16">
      <c r="A41" s="63" t="str">
        <f>"Modules Used: "&amp;simulation_Type</f>
        <v>Modules Used: WiB</v>
      </c>
    </row>
    <row r="42" spans="1:16">
      <c r="B42" s="63" t="s">
        <v>387</v>
      </c>
    </row>
    <row r="43" spans="1:16">
      <c r="B43" s="63" t="s">
        <v>388</v>
      </c>
    </row>
    <row r="44" spans="1:16">
      <c r="B44" s="63" t="s">
        <v>389</v>
      </c>
    </row>
    <row r="45" spans="1:16">
      <c r="B45" s="63" t="s">
        <v>390</v>
      </c>
    </row>
    <row r="46" spans="1:16">
      <c r="B46" s="63" t="s">
        <v>391</v>
      </c>
    </row>
    <row r="47" spans="1:16">
      <c r="B47" s="63" t="s">
        <v>235</v>
      </c>
    </row>
    <row r="48" spans="1:16">
      <c r="B48" s="63" t="s">
        <v>392</v>
      </c>
    </row>
    <row r="49" spans="1:3">
      <c r="B49" s="167" t="s">
        <v>393</v>
      </c>
      <c r="C49" s="168" t="s">
        <v>397</v>
      </c>
    </row>
    <row r="50" spans="1:3">
      <c r="B50" s="63" t="s">
        <v>394</v>
      </c>
    </row>
    <row r="51" spans="1:3">
      <c r="B51" s="63" t="s">
        <v>395</v>
      </c>
    </row>
    <row r="52" spans="1:3">
      <c r="B52" s="63" t="s">
        <v>373</v>
      </c>
    </row>
    <row r="53" spans="1:3">
      <c r="B53" s="63" t="s">
        <v>396</v>
      </c>
    </row>
    <row r="54" spans="1:3">
      <c r="B54" s="63" t="s">
        <v>380</v>
      </c>
    </row>
    <row r="55" spans="1:3">
      <c r="B55" s="63" t="s">
        <v>334</v>
      </c>
    </row>
    <row r="57" spans="1:3">
      <c r="A57" s="63" t="str">
        <f>"Additional Modules Recommended: "&amp;simulation_Type</f>
        <v>Additional Modules Recommended: WiB</v>
      </c>
    </row>
    <row r="58" spans="1:3">
      <c r="B58" s="63" t="s">
        <v>398</v>
      </c>
    </row>
    <row r="59" spans="1:3">
      <c r="B59" s="63" t="s">
        <v>401</v>
      </c>
    </row>
    <row r="60" spans="1:3">
      <c r="B60" s="63" t="s">
        <v>399</v>
      </c>
    </row>
    <row r="61" spans="1:3">
      <c r="B61" s="63" t="s">
        <v>400</v>
      </c>
    </row>
  </sheetData>
  <hyperlinks>
    <hyperlink ref="E35" r:id="rId1"/>
    <hyperlink ref="E36" r:id="rId2"/>
    <hyperlink ref="E37" r:id="rId3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P10"/>
  <sheetViews>
    <sheetView workbookViewId="0"/>
  </sheetViews>
  <sheetFormatPr defaultColWidth="9.33203125" defaultRowHeight="10"/>
  <cols>
    <col min="1" max="1" width="13.6640625" style="63" customWidth="1"/>
    <col min="2" max="3" width="9.33203125" style="63"/>
    <col min="4" max="4" width="9.33203125" style="63" customWidth="1"/>
    <col min="5" max="16384" width="9.33203125" style="63"/>
  </cols>
  <sheetData>
    <row r="1" spans="1:16" s="61" customFormat="1">
      <c r="A1" s="61" t="s">
        <v>73</v>
      </c>
    </row>
    <row r="3" spans="1:16" s="70" customFormat="1">
      <c r="A3" s="69" t="s">
        <v>113</v>
      </c>
      <c r="G3" s="71"/>
      <c r="H3" s="71"/>
      <c r="I3" s="71"/>
      <c r="J3" s="71"/>
      <c r="K3" s="71"/>
      <c r="L3" s="71"/>
      <c r="M3" s="71"/>
      <c r="N3" s="71"/>
      <c r="O3" s="71"/>
      <c r="P3" s="71"/>
    </row>
    <row r="5" spans="1:16">
      <c r="B5" s="72"/>
      <c r="C5" s="73" t="s">
        <v>110</v>
      </c>
    </row>
    <row r="6" spans="1:16">
      <c r="B6" s="74"/>
      <c r="C6" s="73" t="s">
        <v>107</v>
      </c>
    </row>
    <row r="7" spans="1:16">
      <c r="B7" s="75"/>
      <c r="C7" s="73" t="s">
        <v>112</v>
      </c>
    </row>
    <row r="8" spans="1:16">
      <c r="B8" s="76"/>
      <c r="C8" s="73" t="s">
        <v>111</v>
      </c>
    </row>
    <row r="10" spans="1:16" s="70" customFormat="1">
      <c r="A10" s="69" t="s">
        <v>114</v>
      </c>
      <c r="G10" s="71"/>
      <c r="H10" s="71"/>
      <c r="I10" s="71"/>
      <c r="J10" s="71"/>
      <c r="K10" s="71"/>
      <c r="L10" s="71"/>
      <c r="M10" s="71"/>
      <c r="N10" s="71"/>
      <c r="O10" s="71"/>
      <c r="P10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69"/>
  <sheetViews>
    <sheetView zoomScaleNormal="100" workbookViewId="0"/>
  </sheetViews>
  <sheetFormatPr defaultColWidth="9" defaultRowHeight="10"/>
  <cols>
    <col min="1" max="1" width="13.6640625" style="95" customWidth="1"/>
    <col min="2" max="3" width="2.6640625" style="95" customWidth="1"/>
    <col min="4" max="5" width="11.109375" style="95" customWidth="1"/>
    <col min="6" max="6" width="22.6640625" style="95" customWidth="1"/>
    <col min="7" max="7" width="21.6640625" style="95" customWidth="1"/>
    <col min="8" max="10" width="11.109375" style="95" customWidth="1"/>
    <col min="11" max="11" width="17" style="95" customWidth="1"/>
    <col min="12" max="12" width="18.6640625" style="95" customWidth="1"/>
    <col min="13" max="13" width="9" style="95"/>
    <col min="14" max="14" width="7.44140625" style="95" customWidth="1"/>
    <col min="15" max="15" width="13.109375" style="95" customWidth="1"/>
    <col min="16" max="16384" width="9" style="95"/>
  </cols>
  <sheetData>
    <row r="1" spans="1:17" s="78" customFormat="1" ht="10.5">
      <c r="A1" s="77" t="s">
        <v>139</v>
      </c>
    </row>
    <row r="2" spans="1:17" s="79" customFormat="1">
      <c r="C2" s="80"/>
      <c r="D2" s="80"/>
      <c r="E2" s="80"/>
      <c r="F2" s="80"/>
      <c r="G2" s="80"/>
      <c r="I2" s="80"/>
      <c r="J2" s="80"/>
      <c r="K2" s="80"/>
      <c r="L2" s="80"/>
      <c r="M2" s="80"/>
      <c r="N2" s="80"/>
      <c r="O2" s="80"/>
    </row>
    <row r="3" spans="1:17" s="79" customFormat="1">
      <c r="B3" s="79" t="s">
        <v>138</v>
      </c>
      <c r="E3" s="81" t="s">
        <v>123</v>
      </c>
      <c r="G3" s="82"/>
      <c r="I3" s="82"/>
      <c r="J3" s="82"/>
      <c r="K3" s="82"/>
      <c r="L3" s="82"/>
      <c r="M3" s="82"/>
      <c r="N3" s="82"/>
      <c r="O3" s="82"/>
    </row>
    <row r="4" spans="1:17" s="83" customFormat="1"/>
    <row r="5" spans="1:17" s="85" customFormat="1">
      <c r="A5" s="84"/>
      <c r="C5" s="85" t="s">
        <v>137</v>
      </c>
      <c r="G5" s="86"/>
      <c r="H5" s="86"/>
      <c r="I5" s="86"/>
      <c r="J5" s="86"/>
      <c r="K5" s="86"/>
      <c r="L5" s="86"/>
      <c r="M5" s="86"/>
      <c r="N5" s="86"/>
      <c r="O5" s="86"/>
      <c r="P5" s="86"/>
    </row>
    <row r="6" spans="1:17" s="83" customFormat="1"/>
    <row r="7" spans="1:17" s="83" customFormat="1" ht="10.5">
      <c r="E7" s="87" t="s">
        <v>136</v>
      </c>
      <c r="F7" s="87"/>
      <c r="H7" s="88" t="s">
        <v>135</v>
      </c>
    </row>
    <row r="8" spans="1:17" s="83" customFormat="1">
      <c r="E8" s="89"/>
      <c r="F8" s="90" t="s">
        <v>110</v>
      </c>
      <c r="H8" s="91"/>
      <c r="I8" s="90" t="s">
        <v>111</v>
      </c>
    </row>
    <row r="9" spans="1:17" s="83" customFormat="1">
      <c r="E9" s="92"/>
      <c r="F9" s="90" t="s">
        <v>107</v>
      </c>
    </row>
    <row r="10" spans="1:17" s="83" customFormat="1">
      <c r="E10" s="93"/>
      <c r="F10" s="90" t="s">
        <v>112</v>
      </c>
    </row>
    <row r="11" spans="1:17" s="94" customFormat="1" ht="10.5">
      <c r="B11" s="95"/>
      <c r="E11" s="96"/>
      <c r="F11" s="96"/>
      <c r="G11" s="97"/>
      <c r="H11" s="97"/>
      <c r="I11" s="97"/>
      <c r="J11" s="97"/>
      <c r="K11" s="97"/>
      <c r="L11" s="97"/>
      <c r="M11" s="97"/>
      <c r="N11" s="97"/>
      <c r="O11" s="97"/>
      <c r="P11" s="97"/>
    </row>
    <row r="12" spans="1:17" s="85" customFormat="1" ht="20.149999999999999" customHeight="1">
      <c r="B12" s="98" t="s">
        <v>134</v>
      </c>
      <c r="D12" s="98"/>
      <c r="E12" s="99"/>
      <c r="F12" s="99"/>
      <c r="G12" s="98"/>
      <c r="H12" s="99"/>
      <c r="I12" s="99"/>
      <c r="J12" s="98"/>
      <c r="K12" s="99"/>
      <c r="L12" s="99"/>
      <c r="M12" s="98"/>
      <c r="N12" s="99"/>
      <c r="P12" s="98"/>
      <c r="Q12" s="99"/>
    </row>
    <row r="13" spans="1:17" s="83" customFormat="1"/>
    <row r="14" spans="1:17" s="85" customFormat="1">
      <c r="A14" s="84"/>
      <c r="B14" s="85" t="s">
        <v>133</v>
      </c>
      <c r="G14" s="86"/>
      <c r="H14" s="86"/>
      <c r="I14" s="86"/>
      <c r="J14" s="86"/>
      <c r="K14" s="86"/>
      <c r="L14" s="86"/>
      <c r="M14" s="86"/>
      <c r="N14" s="86"/>
      <c r="O14" s="86"/>
      <c r="P14" s="86"/>
    </row>
    <row r="15" spans="1:17" ht="10.5" thickBot="1"/>
    <row r="16" spans="1:17">
      <c r="B16" s="95" t="s">
        <v>90</v>
      </c>
      <c r="E16" s="100" t="s">
        <v>91</v>
      </c>
      <c r="F16" s="95" t="s">
        <v>92</v>
      </c>
    </row>
    <row r="17" spans="1:16" ht="10.5" thickBot="1">
      <c r="B17" s="95" t="s">
        <v>8</v>
      </c>
      <c r="E17" s="101" t="b">
        <v>1</v>
      </c>
      <c r="F17" s="95" t="s">
        <v>93</v>
      </c>
    </row>
    <row r="19" spans="1:16" s="85" customFormat="1">
      <c r="A19" s="84"/>
      <c r="B19" s="85" t="s">
        <v>94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</row>
    <row r="20" spans="1:16" ht="10.5" thickBot="1"/>
    <row r="21" spans="1:16">
      <c r="B21" s="95" t="s">
        <v>15</v>
      </c>
      <c r="E21" s="102" t="s">
        <v>16</v>
      </c>
      <c r="F21" s="103" t="s">
        <v>17</v>
      </c>
      <c r="G21" s="103" t="s">
        <v>47</v>
      </c>
      <c r="H21" s="103" t="s">
        <v>48</v>
      </c>
      <c r="I21" s="103" t="s">
        <v>49</v>
      </c>
      <c r="J21" s="103" t="s">
        <v>95</v>
      </c>
      <c r="K21" s="103" t="s">
        <v>18</v>
      </c>
      <c r="L21" s="104" t="s">
        <v>19</v>
      </c>
    </row>
    <row r="22" spans="1:16">
      <c r="E22" s="105">
        <v>1</v>
      </c>
      <c r="F22" s="106" t="s">
        <v>74</v>
      </c>
      <c r="G22" s="107"/>
      <c r="H22" s="106"/>
      <c r="I22" s="106"/>
      <c r="J22" s="106"/>
      <c r="K22" s="108" t="str">
        <f t="shared" ref="K22:K36" si="0">IF(E22=1,IF(G22="","",cnstSingleQuote&amp;G22&amp;cnstSingleQuote),cnstSingleQuote&amp;G22&amp;IF(ISBLANK(H22),"",cnstDoubleQuote&amp;H22&amp;cnstDoubleQuote)&amp;IF(ISBLANK(I22),"",cnstComma&amp;cnstDoubleQuote&amp;I22&amp;cnstDoubleQuote)&amp;IF(ISBLANK(J22),"",cnstComma&amp;cnstDoubleQuote&amp;J22&amp;cnstDoubleQuote)&amp;cnstSingleQuote)</f>
        <v/>
      </c>
      <c r="L22" s="109"/>
    </row>
    <row r="23" spans="1:16">
      <c r="E23" s="105">
        <v>2</v>
      </c>
      <c r="F23" s="106" t="s">
        <v>76</v>
      </c>
      <c r="G23" s="107" t="s">
        <v>20</v>
      </c>
      <c r="H23" s="106"/>
      <c r="I23" s="106"/>
      <c r="J23" s="106"/>
      <c r="K23" s="108" t="str">
        <f t="shared" si="0"/>
        <v>'SimReset'</v>
      </c>
      <c r="L23" s="109"/>
    </row>
    <row r="24" spans="1:16">
      <c r="E24" s="105">
        <v>2</v>
      </c>
      <c r="F24" s="106" t="s">
        <v>75</v>
      </c>
      <c r="G24" s="107" t="s">
        <v>68</v>
      </c>
      <c r="H24" s="106"/>
      <c r="I24" s="106"/>
      <c r="J24" s="106"/>
      <c r="K24" s="108" t="str">
        <f t="shared" si="0"/>
        <v>'SimNewRound'</v>
      </c>
      <c r="L24" s="109"/>
    </row>
    <row r="25" spans="1:16">
      <c r="E25" s="105">
        <v>2</v>
      </c>
      <c r="F25" s="106" t="s">
        <v>335</v>
      </c>
      <c r="G25" s="107" t="s">
        <v>337</v>
      </c>
      <c r="H25" s="106">
        <f>tlTeamNumber</f>
        <v>1</v>
      </c>
      <c r="I25" s="106">
        <f>xxRound</f>
        <v>1</v>
      </c>
      <c r="J25" s="106"/>
      <c r="K25" s="108" t="str">
        <f t="shared" ref="K25:K26" si="1">IF(E25=1,IF(G25="","",cnstSingleQuote&amp;G25&amp;cnstSingleQuote),cnstSingleQuote&amp;G25&amp;IF(ISBLANK(H25),"",cnstDoubleQuote&amp;H25&amp;cnstDoubleQuote)&amp;IF(ISBLANK(I25),"",cnstComma&amp;cnstDoubleQuote&amp;I25&amp;cnstDoubleQuote)&amp;IF(ISBLANK(J25),"",cnstComma&amp;cnstDoubleQuote&amp;J25&amp;cnstDoubleQuote)&amp;cnstSingleQuote)</f>
        <v>'DecExportDecisions"1","1"'</v>
      </c>
      <c r="L25" s="109"/>
    </row>
    <row r="26" spans="1:16">
      <c r="E26" s="105">
        <v>2</v>
      </c>
      <c r="F26" s="106" t="s">
        <v>336</v>
      </c>
      <c r="G26" s="107" t="s">
        <v>338</v>
      </c>
      <c r="H26" s="106"/>
      <c r="I26" s="106"/>
      <c r="J26" s="106"/>
      <c r="K26" s="108" t="str">
        <f t="shared" si="1"/>
        <v>'DecImportDecisions'</v>
      </c>
      <c r="L26" s="109"/>
    </row>
    <row r="27" spans="1:16">
      <c r="E27" s="105">
        <v>2</v>
      </c>
      <c r="F27" s="106" t="s">
        <v>339</v>
      </c>
      <c r="G27" s="107" t="s">
        <v>340</v>
      </c>
      <c r="H27" s="106"/>
      <c r="I27" s="106"/>
      <c r="J27" s="106"/>
      <c r="K27" s="108" t="str">
        <f t="shared" ref="K27:K29" si="2">IF(E27=1,IF(G27="","",cnstSingleQuote&amp;G27&amp;cnstSingleQuote),cnstSingleQuote&amp;G27&amp;IF(ISBLANK(H27),"",cnstDoubleQuote&amp;H27&amp;cnstDoubleQuote)&amp;IF(ISBLANK(I27),"",cnstComma&amp;cnstDoubleQuote&amp;I27&amp;cnstDoubleQuote)&amp;IF(ISBLANK(J27),"",cnstComma&amp;cnstDoubleQuote&amp;J27&amp;cnstDoubleQuote)&amp;cnstSingleQuote)</f>
        <v>'FBUpdateFeedbackFile'</v>
      </c>
      <c r="L27" s="109"/>
    </row>
    <row r="28" spans="1:16">
      <c r="E28" s="105">
        <v>1</v>
      </c>
      <c r="F28" s="106" t="s">
        <v>381</v>
      </c>
      <c r="G28" s="107"/>
      <c r="H28" s="106"/>
      <c r="I28" s="106"/>
      <c r="J28" s="106"/>
      <c r="K28" s="108" t="str">
        <f t="shared" si="2"/>
        <v/>
      </c>
      <c r="L28" s="109"/>
    </row>
    <row r="29" spans="1:16">
      <c r="E29" s="105">
        <v>2</v>
      </c>
      <c r="F29" s="106" t="s">
        <v>382</v>
      </c>
      <c r="G29" s="107" t="s">
        <v>379</v>
      </c>
      <c r="H29" s="106"/>
      <c r="I29" s="106"/>
      <c r="J29" s="106"/>
      <c r="K29" s="108" t="str">
        <f t="shared" si="2"/>
        <v>'PrintAnnualReportsAll'</v>
      </c>
      <c r="L29" s="109"/>
    </row>
    <row r="30" spans="1:16">
      <c r="E30" s="105">
        <v>2</v>
      </c>
      <c r="F30" s="106" t="s">
        <v>383</v>
      </c>
      <c r="G30" s="107" t="s">
        <v>378</v>
      </c>
      <c r="H30" s="106"/>
      <c r="I30" s="106"/>
      <c r="J30" s="106"/>
      <c r="K30" s="108" t="str">
        <f t="shared" ref="K30:K33" si="3">IF(E30=1,IF(G30="","",cnstSingleQuote&amp;G30&amp;cnstSingleQuote),cnstSingleQuote&amp;G30&amp;IF(ISBLANK(H30),"",cnstDoubleQuote&amp;H30&amp;cnstDoubleQuote)&amp;IF(ISBLANK(I30),"",cnstComma&amp;cnstDoubleQuote&amp;I30&amp;cnstDoubleQuote)&amp;IF(ISBLANK(J30),"",cnstComma&amp;cnstDoubleQuote&amp;J30&amp;cnstDoubleQuote)&amp;cnstSingleQuote)</f>
        <v>'PrintAnnualReportsTeam'</v>
      </c>
      <c r="L30" s="109"/>
    </row>
    <row r="31" spans="1:16">
      <c r="E31" s="105">
        <v>2</v>
      </c>
      <c r="F31" s="106" t="s">
        <v>384</v>
      </c>
      <c r="G31" s="107" t="s">
        <v>377</v>
      </c>
      <c r="H31" s="106"/>
      <c r="I31" s="106"/>
      <c r="J31" s="106"/>
      <c r="K31" s="108" t="str">
        <f t="shared" si="3"/>
        <v>'PrintCompetitorReport'</v>
      </c>
      <c r="L31" s="109"/>
    </row>
    <row r="32" spans="1:16">
      <c r="E32" s="105">
        <v>2</v>
      </c>
      <c r="F32" s="106" t="s">
        <v>385</v>
      </c>
      <c r="G32" s="107" t="s">
        <v>375</v>
      </c>
      <c r="H32" s="106"/>
      <c r="I32" s="106"/>
      <c r="J32" s="106"/>
      <c r="K32" s="108" t="str">
        <f t="shared" si="3"/>
        <v>'PrintAnalysisReport'</v>
      </c>
      <c r="L32" s="109"/>
    </row>
    <row r="33" spans="2:17">
      <c r="E33" s="105">
        <v>2</v>
      </c>
      <c r="F33" s="106" t="s">
        <v>386</v>
      </c>
      <c r="G33" s="107" t="s">
        <v>376</v>
      </c>
      <c r="H33" s="106"/>
      <c r="I33" s="106"/>
      <c r="J33" s="106"/>
      <c r="K33" s="108" t="str">
        <f t="shared" si="3"/>
        <v>'PrintMktAnalysisReport'</v>
      </c>
      <c r="L33" s="109"/>
    </row>
    <row r="34" spans="2:17">
      <c r="E34" s="105">
        <v>1</v>
      </c>
      <c r="F34" s="106" t="s">
        <v>142</v>
      </c>
      <c r="G34" s="107"/>
      <c r="H34" s="106"/>
      <c r="I34" s="106"/>
      <c r="J34" s="106"/>
      <c r="K34" s="108" t="str">
        <f t="shared" si="0"/>
        <v/>
      </c>
      <c r="L34" s="109"/>
    </row>
    <row r="35" spans="2:17">
      <c r="E35" s="105">
        <v>2</v>
      </c>
      <c r="F35" s="106" t="s">
        <v>455</v>
      </c>
      <c r="G35" s="107" t="s">
        <v>143</v>
      </c>
      <c r="H35" s="106" t="s">
        <v>57</v>
      </c>
      <c r="I35" s="106"/>
      <c r="J35" s="106"/>
      <c r="K35" s="108" t="str">
        <f t="shared" si="0"/>
        <v>'HoodGoToScreen"tlIntro"'</v>
      </c>
      <c r="L35" s="109"/>
    </row>
    <row r="36" spans="2:17" ht="10.5" thickBot="1">
      <c r="E36" s="110">
        <v>1</v>
      </c>
      <c r="F36" s="111" t="s">
        <v>78</v>
      </c>
      <c r="G36" s="112" t="s">
        <v>79</v>
      </c>
      <c r="H36" s="111"/>
      <c r="I36" s="113"/>
      <c r="J36" s="111"/>
      <c r="K36" s="114" t="str">
        <f t="shared" si="0"/>
        <v>'MasterReset'</v>
      </c>
      <c r="L36" s="115"/>
    </row>
    <row r="37" spans="2:17">
      <c r="E37" s="95" t="s">
        <v>21</v>
      </c>
      <c r="F37" s="95" t="s">
        <v>22</v>
      </c>
      <c r="J37" s="116"/>
      <c r="K37" s="95" t="s">
        <v>23</v>
      </c>
      <c r="L37" s="95" t="s">
        <v>24</v>
      </c>
    </row>
    <row r="38" spans="2:17">
      <c r="E38" s="117"/>
    </row>
    <row r="39" spans="2:17" s="85" customFormat="1" ht="20.149999999999999" customHeight="1">
      <c r="B39" s="98" t="s">
        <v>132</v>
      </c>
      <c r="D39" s="98"/>
      <c r="E39" s="99"/>
      <c r="F39" s="99"/>
      <c r="G39" s="98"/>
      <c r="H39" s="99"/>
      <c r="I39" s="99"/>
      <c r="J39" s="98"/>
      <c r="K39" s="99"/>
      <c r="L39" s="99"/>
      <c r="M39" s="98"/>
      <c r="N39" s="99"/>
      <c r="P39" s="98"/>
      <c r="Q39" s="99"/>
    </row>
    <row r="40" spans="2:17">
      <c r="J40" s="116"/>
      <c r="K40" s="116"/>
    </row>
    <row r="41" spans="2:17" ht="10.5" thickBot="1">
      <c r="B41" s="95" t="s">
        <v>96</v>
      </c>
    </row>
    <row r="42" spans="2:17">
      <c r="C42" s="95" t="s">
        <v>9</v>
      </c>
      <c r="E42" s="118">
        <f>COUNTIF(vbaPopupMenu1ListLevel,1)</f>
        <v>4</v>
      </c>
      <c r="F42" s="95" t="s">
        <v>10</v>
      </c>
    </row>
    <row r="43" spans="2:17">
      <c r="C43" s="95" t="s">
        <v>11</v>
      </c>
      <c r="E43" s="119">
        <f>COUNTIF(vbaPopupMenu1ListLevel,2)</f>
        <v>11</v>
      </c>
      <c r="F43" s="95" t="s">
        <v>12</v>
      </c>
    </row>
    <row r="44" spans="2:17" ht="10.5" thickBot="1">
      <c r="C44" s="95" t="s">
        <v>13</v>
      </c>
      <c r="E44" s="120">
        <f>SUM(E42:E43)</f>
        <v>15</v>
      </c>
      <c r="F44" s="95" t="s">
        <v>14</v>
      </c>
    </row>
    <row r="45" spans="2:17">
      <c r="E45" s="117"/>
    </row>
    <row r="46" spans="2:17" s="85" customFormat="1" ht="20.149999999999999" customHeight="1">
      <c r="B46" s="98" t="s">
        <v>131</v>
      </c>
      <c r="D46" s="98"/>
      <c r="E46" s="99"/>
      <c r="F46" s="99"/>
      <c r="G46" s="98"/>
      <c r="H46" s="99"/>
      <c r="I46" s="99"/>
      <c r="J46" s="98"/>
      <c r="K46" s="99"/>
      <c r="L46" s="99"/>
      <c r="M46" s="98"/>
      <c r="N46" s="99"/>
      <c r="P46" s="98"/>
      <c r="Q46" s="99"/>
    </row>
    <row r="47" spans="2:17" ht="10.5" thickBot="1"/>
    <row r="48" spans="2:17" ht="16.5" customHeight="1">
      <c r="B48" s="95" t="s">
        <v>97</v>
      </c>
      <c r="E48" s="121" t="s">
        <v>25</v>
      </c>
      <c r="F48" s="122" t="s">
        <v>26</v>
      </c>
    </row>
    <row r="49" spans="5:6">
      <c r="E49" s="123">
        <v>1</v>
      </c>
      <c r="F49" s="124" t="s">
        <v>27</v>
      </c>
    </row>
    <row r="50" spans="5:6">
      <c r="E50" s="123">
        <v>3</v>
      </c>
      <c r="F50" s="124" t="s">
        <v>28</v>
      </c>
    </row>
    <row r="51" spans="5:6">
      <c r="E51" s="123">
        <v>4</v>
      </c>
      <c r="F51" s="124" t="s">
        <v>29</v>
      </c>
    </row>
    <row r="52" spans="5:6">
      <c r="E52" s="123">
        <v>21</v>
      </c>
      <c r="F52" s="124" t="s">
        <v>30</v>
      </c>
    </row>
    <row r="53" spans="5:6">
      <c r="E53" s="123">
        <v>22</v>
      </c>
      <c r="F53" s="124" t="s">
        <v>31</v>
      </c>
    </row>
    <row r="54" spans="5:6">
      <c r="E54" s="123">
        <v>23</v>
      </c>
      <c r="F54" s="124" t="s">
        <v>32</v>
      </c>
    </row>
    <row r="55" spans="5:6">
      <c r="E55" s="123">
        <v>37</v>
      </c>
      <c r="F55" s="124" t="s">
        <v>33</v>
      </c>
    </row>
    <row r="56" spans="5:6">
      <c r="E56" s="123">
        <v>67</v>
      </c>
      <c r="F56" s="124" t="s">
        <v>34</v>
      </c>
    </row>
    <row r="57" spans="5:6">
      <c r="E57" s="123">
        <v>141</v>
      </c>
      <c r="F57" s="124" t="s">
        <v>35</v>
      </c>
    </row>
    <row r="58" spans="5:6">
      <c r="E58" s="123">
        <v>330</v>
      </c>
      <c r="F58" s="124" t="s">
        <v>36</v>
      </c>
    </row>
    <row r="59" spans="5:6">
      <c r="E59" s="123">
        <v>358</v>
      </c>
      <c r="F59" s="124" t="s">
        <v>37</v>
      </c>
    </row>
    <row r="60" spans="5:6">
      <c r="E60" s="123">
        <v>373</v>
      </c>
      <c r="F60" s="124" t="s">
        <v>38</v>
      </c>
    </row>
    <row r="61" spans="5:6">
      <c r="E61" s="123">
        <v>374</v>
      </c>
      <c r="F61" s="124" t="s">
        <v>39</v>
      </c>
    </row>
    <row r="62" spans="5:6">
      <c r="E62" s="123">
        <v>375</v>
      </c>
      <c r="F62" s="124" t="s">
        <v>40</v>
      </c>
    </row>
    <row r="63" spans="5:6">
      <c r="E63" s="123" t="s">
        <v>41</v>
      </c>
      <c r="F63" s="124" t="s">
        <v>42</v>
      </c>
    </row>
    <row r="64" spans="5:6" ht="10.5" thickBot="1">
      <c r="E64" s="125" t="s">
        <v>43</v>
      </c>
      <c r="F64" s="126" t="s">
        <v>44</v>
      </c>
    </row>
    <row r="66" spans="2:6" ht="10.5" thickBot="1">
      <c r="B66" s="95" t="s">
        <v>98</v>
      </c>
    </row>
    <row r="67" spans="2:6">
      <c r="C67" s="95" t="s">
        <v>99</v>
      </c>
      <c r="E67" s="127" t="s">
        <v>100</v>
      </c>
      <c r="F67" s="128" t="s">
        <v>45</v>
      </c>
    </row>
    <row r="68" spans="2:6">
      <c r="C68" s="95" t="s">
        <v>101</v>
      </c>
      <c r="E68" s="129" t="s">
        <v>102</v>
      </c>
      <c r="F68" s="128" t="s">
        <v>46</v>
      </c>
    </row>
    <row r="69" spans="2:6" ht="10.5" thickBot="1">
      <c r="C69" s="95" t="s">
        <v>103</v>
      </c>
      <c r="E69" s="130" t="s">
        <v>104</v>
      </c>
      <c r="F69" s="128" t="s">
        <v>105</v>
      </c>
    </row>
  </sheetData>
  <conditionalFormatting sqref="K22:K24 K34:K36">
    <cfRule type="expression" dxfId="116" priority="14">
      <formula>$E22=1</formula>
    </cfRule>
  </conditionalFormatting>
  <conditionalFormatting sqref="K25:K26">
    <cfRule type="expression" dxfId="115" priority="13">
      <formula>$E25=1</formula>
    </cfRule>
  </conditionalFormatting>
  <conditionalFormatting sqref="K27">
    <cfRule type="expression" dxfId="114" priority="12">
      <formula>$E27=1</formula>
    </cfRule>
  </conditionalFormatting>
  <conditionalFormatting sqref="K28:K29">
    <cfRule type="expression" dxfId="113" priority="11">
      <formula>$E28=1</formula>
    </cfRule>
  </conditionalFormatting>
  <conditionalFormatting sqref="K30:K33">
    <cfRule type="expression" dxfId="112" priority="10">
      <formula>$E30=1</formula>
    </cfRule>
  </conditionalFormatting>
  <dataValidations disablePrompts="1" count="1">
    <dataValidation type="list" allowBlank="1" showInputMessage="1" showErrorMessage="1" sqref="E17">
      <formula1>"TRUE,FALSE"</formula1>
    </dataValidation>
  </dataValidations>
  <hyperlinks>
    <hyperlink ref="E3" r:id="rId1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L110"/>
  <sheetViews>
    <sheetView workbookViewId="0"/>
  </sheetViews>
  <sheetFormatPr defaultColWidth="9.33203125" defaultRowHeight="10"/>
  <cols>
    <col min="1" max="3" width="4.77734375" style="63" customWidth="1"/>
    <col min="4" max="4" width="21.109375" style="63" customWidth="1"/>
    <col min="5" max="5" width="9.33203125" style="63"/>
    <col min="6" max="6" width="18" style="63" bestFit="1" customWidth="1"/>
    <col min="7" max="10" width="9.33203125" style="63"/>
    <col min="11" max="11" width="12" style="63" customWidth="1"/>
    <col min="12" max="16384" width="9.33203125" style="63"/>
  </cols>
  <sheetData>
    <row r="1" spans="1:8" s="61" customFormat="1">
      <c r="A1" s="61" t="s">
        <v>69</v>
      </c>
    </row>
    <row r="3" spans="1:8" s="62" customFormat="1">
      <c r="A3" s="62" t="s">
        <v>86</v>
      </c>
    </row>
    <row r="5" spans="1:8">
      <c r="D5" s="287" t="s">
        <v>483</v>
      </c>
      <c r="E5" s="63" t="s">
        <v>0</v>
      </c>
      <c r="H5" s="63" t="s">
        <v>1</v>
      </c>
    </row>
    <row r="6" spans="1:8">
      <c r="D6" s="65"/>
    </row>
    <row r="7" spans="1:8">
      <c r="D7" s="287" t="s">
        <v>80</v>
      </c>
      <c r="E7" s="63" t="s">
        <v>64</v>
      </c>
      <c r="H7" s="63" t="s">
        <v>72</v>
      </c>
    </row>
    <row r="8" spans="1:8">
      <c r="D8" s="65"/>
    </row>
    <row r="9" spans="1:8">
      <c r="D9" s="287" t="s">
        <v>402</v>
      </c>
      <c r="E9" s="63" t="s">
        <v>140</v>
      </c>
      <c r="H9" s="63" t="s">
        <v>141</v>
      </c>
    </row>
    <row r="11" spans="1:8" s="62" customFormat="1">
      <c r="A11" s="62" t="s">
        <v>87</v>
      </c>
    </row>
    <row r="13" spans="1:8">
      <c r="D13" s="64">
        <v>3</v>
      </c>
      <c r="E13" s="63" t="s">
        <v>82</v>
      </c>
      <c r="H13" s="63" t="s">
        <v>81</v>
      </c>
    </row>
    <row r="15" spans="1:8" s="62" customFormat="1">
      <c r="A15" s="62" t="s">
        <v>85</v>
      </c>
    </row>
    <row r="17" spans="1:8">
      <c r="D17" s="66">
        <v>1</v>
      </c>
      <c r="E17" s="8" t="s">
        <v>6</v>
      </c>
      <c r="F17" s="8" t="s">
        <v>4756</v>
      </c>
    </row>
    <row r="19" spans="1:8">
      <c r="D19" s="66">
        <v>1</v>
      </c>
      <c r="E19" s="63" t="s">
        <v>58</v>
      </c>
    </row>
    <row r="21" spans="1:8">
      <c r="D21" s="66">
        <v>1</v>
      </c>
      <c r="E21" s="63" t="s">
        <v>59</v>
      </c>
    </row>
    <row r="23" spans="1:8" s="62" customFormat="1">
      <c r="A23" s="62" t="s">
        <v>84</v>
      </c>
    </row>
    <row r="25" spans="1:8">
      <c r="D25" s="64" t="s">
        <v>144</v>
      </c>
      <c r="E25" s="63" t="s">
        <v>65</v>
      </c>
      <c r="H25" s="63" t="s">
        <v>66</v>
      </c>
    </row>
    <row r="26" spans="1:8">
      <c r="D26" s="65"/>
      <c r="H26" s="63" t="s">
        <v>67</v>
      </c>
    </row>
    <row r="27" spans="1:8" ht="10.5">
      <c r="D27" s="64" t="s">
        <v>2</v>
      </c>
      <c r="E27" s="63" t="s">
        <v>83</v>
      </c>
      <c r="H27" s="67" t="s">
        <v>147</v>
      </c>
    </row>
    <row r="28" spans="1:8" ht="10.5">
      <c r="D28" s="65"/>
      <c r="H28" s="67" t="s">
        <v>147</v>
      </c>
    </row>
    <row r="29" spans="1:8">
      <c r="D29" s="64" t="s">
        <v>57</v>
      </c>
      <c r="E29" s="63" t="s">
        <v>55</v>
      </c>
      <c r="H29" s="63" t="s">
        <v>71</v>
      </c>
    </row>
    <row r="30" spans="1:8">
      <c r="D30" s="65"/>
    </row>
    <row r="31" spans="1:8">
      <c r="D31" s="64" t="s">
        <v>60</v>
      </c>
      <c r="E31" s="63" t="s">
        <v>61</v>
      </c>
    </row>
    <row r="32" spans="1:8">
      <c r="D32" s="65"/>
    </row>
    <row r="33" spans="1:8">
      <c r="D33" s="64" t="s">
        <v>62</v>
      </c>
      <c r="E33" s="63" t="s">
        <v>63</v>
      </c>
    </row>
    <row r="35" spans="1:8" s="62" customFormat="1">
      <c r="A35" s="62" t="s">
        <v>88</v>
      </c>
    </row>
    <row r="37" spans="1:8">
      <c r="D37" s="68" t="s">
        <v>5</v>
      </c>
      <c r="E37" s="63" t="s">
        <v>7</v>
      </c>
      <c r="H37" s="63" t="s">
        <v>51</v>
      </c>
    </row>
    <row r="39" spans="1:8">
      <c r="D39" s="68">
        <v>1</v>
      </c>
      <c r="E39" s="63" t="s">
        <v>50</v>
      </c>
      <c r="H39" s="63" t="s">
        <v>52</v>
      </c>
    </row>
    <row r="41" spans="1:8">
      <c r="D41" s="68">
        <f>xxRound</f>
        <v>1</v>
      </c>
      <c r="E41" s="63" t="s">
        <v>53</v>
      </c>
      <c r="H41" s="63" t="s">
        <v>54</v>
      </c>
    </row>
    <row r="43" spans="1:8">
      <c r="D43" s="68" t="str">
        <f>xxToolPrefix</f>
        <v>tl</v>
      </c>
      <c r="E43" s="63" t="s">
        <v>77</v>
      </c>
      <c r="H43" s="63" t="s">
        <v>3</v>
      </c>
    </row>
    <row r="44" spans="1:8">
      <c r="H44" s="63" t="s">
        <v>4</v>
      </c>
    </row>
    <row r="45" spans="1:8">
      <c r="H45" s="63" t="s">
        <v>89</v>
      </c>
    </row>
    <row r="46" spans="1:8" ht="10.5">
      <c r="H46" s="67" t="s">
        <v>147</v>
      </c>
    </row>
    <row r="47" spans="1:8">
      <c r="D47" s="68" t="str">
        <f>xxToolPrefix</f>
        <v>tl</v>
      </c>
      <c r="E47" s="63" t="s">
        <v>56</v>
      </c>
      <c r="H47" s="63" t="s">
        <v>70</v>
      </c>
    </row>
    <row r="48" spans="1:8">
      <c r="H48" s="63" t="s">
        <v>89</v>
      </c>
    </row>
    <row r="49" spans="1:12" ht="10.5">
      <c r="D49" s="287" t="s">
        <v>485</v>
      </c>
      <c r="E49" s="8" t="s">
        <v>454</v>
      </c>
      <c r="H49" s="67" t="s">
        <v>147</v>
      </c>
    </row>
    <row r="55" spans="1:12" s="62" customFormat="1">
      <c r="A55" s="62" t="s">
        <v>472</v>
      </c>
      <c r="D55" s="62" t="s">
        <v>475</v>
      </c>
      <c r="I55" s="62" t="s">
        <v>476</v>
      </c>
    </row>
    <row r="57" spans="1:12" ht="10.5">
      <c r="D57" s="67" t="str">
        <f>nmLOB1</f>
        <v>Riverside</v>
      </c>
      <c r="E57" s="8"/>
      <c r="F57" s="8"/>
      <c r="I57" s="67" t="str">
        <f>nmLOB1</f>
        <v>Riverside</v>
      </c>
      <c r="J57" s="8"/>
      <c r="K57" s="8"/>
    </row>
    <row r="58" spans="1:12">
      <c r="D58" s="331" t="s">
        <v>486</v>
      </c>
      <c r="E58" s="331"/>
      <c r="F58" s="344">
        <f>INDEX(cbalLOB1RevGrowth,xxIndexTeam)</f>
        <v>-2.8501956139906914E-3</v>
      </c>
      <c r="G58" s="297" t="s">
        <v>492</v>
      </c>
      <c r="I58" s="331" t="s">
        <v>486</v>
      </c>
      <c r="J58" s="331"/>
      <c r="K58" s="344">
        <f>INDEX(cbalR2LOB1RevGrowth,xxIndexTeam)</f>
        <v>1.6075389387199435E-2</v>
      </c>
      <c r="L58" s="297" t="s">
        <v>499</v>
      </c>
    </row>
    <row r="59" spans="1:12">
      <c r="D59" s="331" t="s">
        <v>487</v>
      </c>
      <c r="E59" s="331"/>
      <c r="F59" s="343">
        <f>INDEX(finPNLLOB1OpProfit,xxIndexTeam)</f>
        <v>1136322.8864500001</v>
      </c>
      <c r="G59" s="297" t="s">
        <v>493</v>
      </c>
      <c r="I59" s="331" t="s">
        <v>487</v>
      </c>
      <c r="J59" s="331"/>
      <c r="K59" s="343">
        <f>INDEX(finR2PNLLOB1OpProfit,xxIndexTeam)</f>
        <v>1737859.8357225806</v>
      </c>
      <c r="L59" s="297" t="s">
        <v>500</v>
      </c>
    </row>
    <row r="60" spans="1:12">
      <c r="D60" s="331" t="s">
        <v>4352</v>
      </c>
      <c r="E60" s="331"/>
      <c r="F60" s="344">
        <f>INDEX(cbalLOB1Stars,xxIndexTeam)</f>
        <v>0.78900000000000003</v>
      </c>
      <c r="G60" s="297" t="s">
        <v>494</v>
      </c>
      <c r="I60" s="331" t="s">
        <v>4352</v>
      </c>
      <c r="J60" s="331"/>
      <c r="K60" s="344">
        <f>INDEX(cbalR2LOB1Stars,xxIndexTeam)</f>
        <v>0.77497922131414743</v>
      </c>
      <c r="L60" s="297" t="s">
        <v>501</v>
      </c>
    </row>
    <row r="61" spans="1:12">
      <c r="D61" s="331" t="s">
        <v>489</v>
      </c>
      <c r="E61" s="331"/>
      <c r="F61" s="344">
        <f>INDEX(cbalLOB1ESAT,xxIndexTeam)</f>
        <v>0.75</v>
      </c>
      <c r="G61" s="297" t="s">
        <v>495</v>
      </c>
      <c r="I61" s="331" t="s">
        <v>489</v>
      </c>
      <c r="J61" s="331"/>
      <c r="K61" s="344">
        <f>INDEX(cbalR2LOB1ESAT,xxIndexTeam)</f>
        <v>0.71494805328536837</v>
      </c>
      <c r="L61" s="297" t="s">
        <v>502</v>
      </c>
    </row>
    <row r="62" spans="1:12">
      <c r="D62" s="331" t="s">
        <v>490</v>
      </c>
      <c r="E62" s="331"/>
      <c r="F62" s="344">
        <f>INDEX(cbalLOB1CSAT,xxIndexTeam)</f>
        <v>0.8599</v>
      </c>
      <c r="G62" s="297" t="s">
        <v>496</v>
      </c>
      <c r="I62" s="331" t="s">
        <v>490</v>
      </c>
      <c r="J62" s="331"/>
      <c r="K62" s="344">
        <f>INDEX(cbalR2LOB1CSAT,xxIndexTeam)</f>
        <v>0.84798233811702528</v>
      </c>
      <c r="L62" s="297" t="s">
        <v>503</v>
      </c>
    </row>
    <row r="63" spans="1:12">
      <c r="D63" s="331" t="s">
        <v>498</v>
      </c>
      <c r="E63" s="331"/>
      <c r="F63" s="344">
        <f>INDEX(cbalLOB1DOOUtilization,xxIndexTeam)</f>
        <v>0.8</v>
      </c>
      <c r="G63" s="297" t="s">
        <v>497</v>
      </c>
      <c r="I63" s="331" t="s">
        <v>491</v>
      </c>
      <c r="J63" s="331"/>
      <c r="K63" s="344">
        <f>INDEX(cbalR2LOB1DOOUtilization,xxIndexTeam)</f>
        <v>0.74</v>
      </c>
      <c r="L63" s="297" t="s">
        <v>504</v>
      </c>
    </row>
    <row r="64" spans="1:12">
      <c r="D64" s="331" t="s">
        <v>4716</v>
      </c>
      <c r="E64" s="331"/>
      <c r="F64" s="820">
        <f>INDEX(finPNLLOB1OpMargin,xxIndexTeam)</f>
        <v>0.15495074027271763</v>
      </c>
      <c r="G64" s="297" t="s">
        <v>8492</v>
      </c>
      <c r="I64" s="331" t="s">
        <v>4716</v>
      </c>
      <c r="J64" s="331"/>
      <c r="K64" s="820">
        <f>INDEX(finR2PNLLOB1OpMargin,xxIndexTeam)</f>
        <v>0.23322801470482743</v>
      </c>
      <c r="L64" s="297" t="s">
        <v>8493</v>
      </c>
    </row>
    <row r="65" spans="4:12">
      <c r="D65" s="331" t="str">
        <f>D58&amp; " " &amp; F58&amp; " " &amp; D59&amp; " " &amp; F59&amp; " " &amp; D60&amp; " " &amp; F60&amp; " " &amp; D61&amp; " " &amp; F61&amp; " " &amp; D62&amp; " " &amp; F62&amp; " " &amp; D63&amp; " " &amp; F63</f>
        <v>Revenue Growth -0.00285019561399069 NIFO 1136322.88645 Clinical Quality 0.789 Employee Engagement 0.75 Referral Satisfaction 0.8599 DOO Utilization 0.8</v>
      </c>
      <c r="E65" s="8"/>
      <c r="F65" s="8"/>
      <c r="I65" s="331" t="str">
        <f>I58&amp; " " &amp; K58&amp; " " &amp; I59&amp; " " &amp; K59&amp; " " &amp; I60&amp; " " &amp; K60&amp; " " &amp; I61&amp; " " &amp; K61&amp; " " &amp; I62&amp; " " &amp; K62&amp; " " &amp; I63&amp; " " &amp; K63</f>
        <v>Revenue Growth 0.0160753893871994 NIFO 1737859.83572258 Clinical Quality 0.774979221314147 Employee Engagement 0.714948053285368 Referral Satisfaction 0.847982338117025 DOO Utilzation 0.74</v>
      </c>
      <c r="J65" s="8"/>
      <c r="K65" s="8"/>
    </row>
    <row r="67" spans="4:12" ht="10.5">
      <c r="D67" s="67" t="str">
        <f>nmLOB2</f>
        <v>Pleasentville</v>
      </c>
      <c r="E67" s="8"/>
      <c r="F67" s="8"/>
      <c r="I67" s="67" t="str">
        <f>nmLOB2</f>
        <v>Pleasentville</v>
      </c>
      <c r="J67" s="8"/>
      <c r="K67" s="8"/>
    </row>
    <row r="68" spans="4:12">
      <c r="D68" s="331" t="s">
        <v>486</v>
      </c>
      <c r="E68" s="331"/>
      <c r="F68" s="344">
        <f>INDEX(cbalLOB2RevGrowth,xxIndexTeam)</f>
        <v>2.4752971230853182E-2</v>
      </c>
      <c r="G68" s="297" t="s">
        <v>505</v>
      </c>
      <c r="I68" s="331" t="s">
        <v>486</v>
      </c>
      <c r="J68" s="331"/>
      <c r="K68" s="344">
        <f>INDEX(cbalR2LOB2RevGrowth,xxIndexTeam)</f>
        <v>4.0316901988656673E-2</v>
      </c>
      <c r="L68" s="297" t="s">
        <v>511</v>
      </c>
    </row>
    <row r="69" spans="4:12">
      <c r="D69" s="331" t="s">
        <v>487</v>
      </c>
      <c r="E69" s="331"/>
      <c r="F69" s="343">
        <f>INDEX(finPNLLOB2OpProfit,xxIndexTeam)</f>
        <v>902312.16742663039</v>
      </c>
      <c r="G69" s="297" t="s">
        <v>506</v>
      </c>
      <c r="I69" s="331" t="s">
        <v>487</v>
      </c>
      <c r="J69" s="331"/>
      <c r="K69" s="343">
        <f>INDEX(finR2PNLLOB2OpProfit,xxIndexTeam)</f>
        <v>686458.24234997015</v>
      </c>
      <c r="L69" s="297" t="s">
        <v>512</v>
      </c>
    </row>
    <row r="70" spans="4:12">
      <c r="D70" s="331" t="s">
        <v>4352</v>
      </c>
      <c r="E70" s="331"/>
      <c r="F70" s="344">
        <f>INDEX(cbalLOB2Stars,xxIndexTeam)</f>
        <v>0.6429999999999999</v>
      </c>
      <c r="G70" s="297" t="s">
        <v>507</v>
      </c>
      <c r="I70" s="331" t="s">
        <v>4352</v>
      </c>
      <c r="J70" s="331"/>
      <c r="K70" s="344">
        <f>INDEX(cbalR2LOB2Stars,xxIndexTeam)</f>
        <v>0.64121040838303567</v>
      </c>
      <c r="L70" s="297" t="s">
        <v>513</v>
      </c>
    </row>
    <row r="71" spans="4:12">
      <c r="D71" s="331" t="s">
        <v>489</v>
      </c>
      <c r="E71" s="331"/>
      <c r="F71" s="344">
        <f>INDEX(cbalLOB2ESAT,xxIndexTeam)</f>
        <v>0.65</v>
      </c>
      <c r="G71" s="297" t="s">
        <v>508</v>
      </c>
      <c r="I71" s="331" t="s">
        <v>489</v>
      </c>
      <c r="J71" s="331"/>
      <c r="K71" s="344">
        <f>INDEX(cbalR2LOB2ESAT,xxIndexTeam)</f>
        <v>0.64552602095758949</v>
      </c>
      <c r="L71" s="297" t="s">
        <v>514</v>
      </c>
    </row>
    <row r="72" spans="4:12">
      <c r="D72" s="331" t="s">
        <v>490</v>
      </c>
      <c r="E72" s="331"/>
      <c r="F72" s="344">
        <f>INDEX(cbalLOB2CSAT,xxIndexTeam)</f>
        <v>0.63729999999999987</v>
      </c>
      <c r="G72" s="297" t="s">
        <v>509</v>
      </c>
      <c r="I72" s="331" t="s">
        <v>490</v>
      </c>
      <c r="J72" s="331"/>
      <c r="K72" s="344">
        <f>INDEX(cbalR2LOB2CSAT,xxIndexTeam)</f>
        <v>0.6357788471255803</v>
      </c>
      <c r="L72" s="297" t="s">
        <v>515</v>
      </c>
    </row>
    <row r="73" spans="4:12">
      <c r="D73" s="331" t="s">
        <v>491</v>
      </c>
      <c r="E73" s="331"/>
      <c r="F73" s="344">
        <f>INDEX(cbalLOB2DOOUtilization,xxIndexTeam)</f>
        <v>0.8</v>
      </c>
      <c r="G73" s="297" t="s">
        <v>510</v>
      </c>
      <c r="I73" s="331" t="s">
        <v>491</v>
      </c>
      <c r="J73" s="331"/>
      <c r="K73" s="344">
        <f>INDEX(cbalR2LOB2DOOUtilization,xxIndexTeam)</f>
        <v>0.748</v>
      </c>
      <c r="L73" s="297" t="s">
        <v>516</v>
      </c>
    </row>
    <row r="74" spans="4:12">
      <c r="D74" s="331" t="s">
        <v>4716</v>
      </c>
      <c r="E74" s="331"/>
      <c r="F74" s="820">
        <f>INDEX(finPNLLOB2OpMargin,xxIndexTeam)</f>
        <v>0.16520181655954788</v>
      </c>
      <c r="G74" s="297" t="s">
        <v>8494</v>
      </c>
      <c r="I74" s="331" t="s">
        <v>4716</v>
      </c>
      <c r="J74" s="331"/>
      <c r="K74" s="820">
        <f>INDEX(finR2PNLLOB2OpMargin,xxIndexTeam)</f>
        <v>0.12081099863183474</v>
      </c>
      <c r="L74" s="297" t="s">
        <v>8495</v>
      </c>
    </row>
    <row r="75" spans="4:12">
      <c r="D75" s="331" t="str">
        <f>D68&amp; " " &amp; F68&amp; " " &amp; D69&amp; " " &amp; F69&amp; " " &amp; D70&amp; " " &amp; F70&amp; " " &amp; D71&amp; " " &amp; F71&amp; " " &amp; D72&amp; " " &amp; F72&amp; " " &amp; D73&amp; " " &amp; F73</f>
        <v>Revenue Growth 0.0247529712308532 NIFO 902312.16742663 Clinical Quality 0.643 Employee Engagement 0.65 Referral Satisfaction 0.6373 DOO Utilzation 0.8</v>
      </c>
      <c r="E75" s="8"/>
      <c r="F75" s="8"/>
      <c r="I75" s="331" t="str">
        <f>I68&amp; " " &amp; K68&amp; " " &amp; I69&amp; " " &amp; K69&amp; " " &amp; I70&amp; " " &amp; K70&amp; " " &amp; I71&amp; " " &amp; K71&amp; " " &amp; I72&amp; " " &amp; K72&amp; " " &amp; I73&amp; " " &amp; K73</f>
        <v>Revenue Growth 0.0403169019886567 NIFO 686458.24234997 Clinical Quality 0.641210408383036 Employee Engagement 0.645526020957589 Referral Satisfaction 0.63577884712558 DOO Utilzation 0.748</v>
      </c>
      <c r="J75" s="8"/>
      <c r="K75" s="8"/>
    </row>
    <row r="77" spans="4:12" ht="10.5">
      <c r="D77" s="67" t="s">
        <v>13</v>
      </c>
      <c r="E77" s="8"/>
      <c r="F77" s="8"/>
      <c r="I77" s="67" t="s">
        <v>13</v>
      </c>
      <c r="J77" s="8"/>
      <c r="K77" s="8"/>
    </row>
    <row r="78" spans="4:12">
      <c r="D78" s="331" t="s">
        <v>486</v>
      </c>
      <c r="E78" s="331"/>
      <c r="F78" s="344">
        <f>INDEX(cbalRevGrowth,xxIndexTeam)</f>
        <v>8.7486130057792266E-3</v>
      </c>
      <c r="G78" s="297" t="s">
        <v>517</v>
      </c>
      <c r="I78" s="331" t="s">
        <v>486</v>
      </c>
      <c r="J78" s="331"/>
      <c r="K78" s="344">
        <f>INDEX(cbalR2RevGrowth,xxIndexTeam)</f>
        <v>2.6423246492234265E-2</v>
      </c>
      <c r="L78" s="297" t="s">
        <v>518</v>
      </c>
    </row>
    <row r="79" spans="4:12">
      <c r="D79" s="331" t="s">
        <v>487</v>
      </c>
      <c r="E79" s="331"/>
      <c r="F79" s="343">
        <f>INDEX(finPNLOpProfit,xxIndexTeam)</f>
        <v>2038635.0538766291</v>
      </c>
      <c r="G79" s="297" t="s">
        <v>519</v>
      </c>
      <c r="I79" s="331" t="s">
        <v>487</v>
      </c>
      <c r="J79" s="331"/>
      <c r="K79" s="343">
        <f>INDEX(finR2PNLOpProfit,xxIndexTeam)</f>
        <v>2424318.0780725498</v>
      </c>
      <c r="L79" s="297" t="s">
        <v>520</v>
      </c>
    </row>
    <row r="80" spans="4:12">
      <c r="D80" s="331" t="s">
        <v>4352</v>
      </c>
      <c r="E80" s="331"/>
      <c r="F80" s="344">
        <f>INDEX(cbalStars,xxIndexTeam)</f>
        <v>0.72786859688195993</v>
      </c>
      <c r="G80" s="297" t="s">
        <v>521</v>
      </c>
      <c r="I80" s="331" t="s">
        <v>4352</v>
      </c>
      <c r="J80" s="331"/>
      <c r="K80" s="344">
        <f>INDEX(cbalR2Stars,xxIndexTeam)</f>
        <v>0.7181057129963645</v>
      </c>
      <c r="L80" s="297" t="s">
        <v>522</v>
      </c>
    </row>
    <row r="81" spans="4:12">
      <c r="D81" s="331" t="s">
        <v>489</v>
      </c>
      <c r="E81" s="331"/>
      <c r="F81" s="344">
        <f>INDEX(cbalESAT,xxIndexTeam)</f>
        <v>0.7</v>
      </c>
      <c r="G81" s="297" t="s">
        <v>523</v>
      </c>
      <c r="I81" s="331" t="s">
        <v>489</v>
      </c>
      <c r="J81" s="331"/>
      <c r="K81" s="344">
        <f>INDEX(cbalR2ESAT,xxIndexTeam)</f>
        <v>0.68023703712147898</v>
      </c>
      <c r="L81" s="297" t="s">
        <v>524</v>
      </c>
    </row>
    <row r="82" spans="4:12">
      <c r="D82" s="331" t="s">
        <v>490</v>
      </c>
      <c r="E82" s="331"/>
      <c r="F82" s="344">
        <f>INDEX(cbalCSAT,xxIndexTeam)</f>
        <v>0.76669554565701548</v>
      </c>
      <c r="G82" s="297" t="s">
        <v>525</v>
      </c>
      <c r="I82" s="331" t="s">
        <v>490</v>
      </c>
      <c r="J82" s="331"/>
      <c r="K82" s="344">
        <f>INDEX(cbalR2CSAT,xxIndexTeam)</f>
        <v>0.75776133110113975</v>
      </c>
      <c r="L82" s="297" t="s">
        <v>526</v>
      </c>
    </row>
    <row r="83" spans="4:12">
      <c r="D83" s="331" t="s">
        <v>4716</v>
      </c>
      <c r="E83" s="331"/>
      <c r="F83" s="820">
        <f>INDEX(finPNLOpMargin,xxIndexTeam)</f>
        <v>0.15932656757082736</v>
      </c>
      <c r="G83" s="297" t="s">
        <v>8496</v>
      </c>
      <c r="I83" s="331" t="s">
        <v>4716</v>
      </c>
      <c r="J83" s="331"/>
      <c r="K83" s="820">
        <f>INDEX(finR2PNLOpMargin,xxIndexTeam)</f>
        <v>0.18459155705487709</v>
      </c>
      <c r="L83" s="297" t="s">
        <v>8497</v>
      </c>
    </row>
    <row r="84" spans="4:12">
      <c r="D84" s="331" t="str">
        <f>D78&amp; " " &amp; F78&amp; " " &amp; D79&amp; " " &amp; F79&amp; " " &amp; D80&amp; " " &amp; F80&amp; " " &amp; D81&amp; " " &amp; F81&amp; " " &amp; D82&amp; " " &amp; F82</f>
        <v>Revenue Growth 0.00874861300577923 NIFO 2038635.05387663 Clinical Quality 0.72786859688196 Employee Engagement 0.7 Referral Satisfaction 0.766695545657015</v>
      </c>
      <c r="E84" s="8"/>
      <c r="F84" s="8"/>
      <c r="I84" s="331" t="str">
        <f>I78&amp; " " &amp; K78&amp; " " &amp; I79&amp; " " &amp; K79&amp; " " &amp; I80&amp; " " &amp; K80&amp; " " &amp; I81&amp; " " &amp; K81&amp; " " &amp; I82&amp; " " &amp; K82</f>
        <v>Revenue Growth 0.0264232464922343 NIFO 2424318.07807255 Clinical Quality 0.718105712996364 Employee Engagement 0.680237037121479 Referral Satisfaction 0.75776133110114</v>
      </c>
      <c r="J84" s="8"/>
      <c r="K84" s="8"/>
    </row>
    <row r="86" spans="4:12" ht="10.5">
      <c r="D86" s="67" t="str">
        <f>nmLOB1</f>
        <v>Riverside</v>
      </c>
      <c r="E86" s="8"/>
      <c r="F86" s="8"/>
    </row>
    <row r="87" spans="4:12">
      <c r="D87" s="331" t="s">
        <v>486</v>
      </c>
      <c r="E87" s="331"/>
      <c r="F87" s="344">
        <f>INDEX(cbalLOB1RevGrowth,xxIndexTeam)</f>
        <v>-2.8501956139906914E-3</v>
      </c>
      <c r="G87" s="297" t="s">
        <v>8236</v>
      </c>
    </row>
    <row r="88" spans="4:12">
      <c r="D88" s="331" t="s">
        <v>487</v>
      </c>
      <c r="E88" s="331"/>
      <c r="F88" s="343">
        <f>INDEX(tlOutputfinLOB1OpProfit_R0,xxIndexTeam)</f>
        <v>992415</v>
      </c>
      <c r="G88" s="297" t="s">
        <v>8237</v>
      </c>
    </row>
    <row r="89" spans="4:12">
      <c r="D89" s="331" t="s">
        <v>4352</v>
      </c>
      <c r="E89" s="331"/>
      <c r="F89" s="344">
        <f>INDEX(obalLOB1Stars,xxIndexTeam)</f>
        <v>0.78</v>
      </c>
      <c r="G89" s="297" t="s">
        <v>8238</v>
      </c>
    </row>
    <row r="90" spans="4:12">
      <c r="D90" s="331" t="s">
        <v>489</v>
      </c>
      <c r="E90" s="331"/>
      <c r="F90" s="344">
        <f>INDEX(obalLOB1ESAT,xxIndexTeam)</f>
        <v>0.75</v>
      </c>
      <c r="G90" s="297" t="s">
        <v>8239</v>
      </c>
    </row>
    <row r="91" spans="4:12">
      <c r="D91" s="331" t="s">
        <v>490</v>
      </c>
      <c r="E91" s="331"/>
      <c r="F91" s="344">
        <f>INDEX(obalLOB1CSAT,xxIndexTeam)</f>
        <v>0.85</v>
      </c>
      <c r="G91" s="297" t="s">
        <v>8240</v>
      </c>
    </row>
    <row r="92" spans="4:12">
      <c r="D92" s="331" t="s">
        <v>498</v>
      </c>
      <c r="E92" s="331"/>
      <c r="F92" s="344">
        <f>INDEX(obalLOB1DOOUtilization,xxIndexTeam)</f>
        <v>0.9</v>
      </c>
      <c r="G92" s="297" t="s">
        <v>8241</v>
      </c>
    </row>
    <row r="93" spans="4:12">
      <c r="D93" s="331" t="s">
        <v>4716</v>
      </c>
      <c r="E93" s="331"/>
      <c r="F93" s="820">
        <f>INDEX(tlOutputfinLOB1OpMargin_R0,xxIndexTeam)</f>
        <v>0.13063286480492639</v>
      </c>
      <c r="G93" s="297" t="s">
        <v>8498</v>
      </c>
    </row>
    <row r="95" spans="4:12" ht="10.5">
      <c r="D95" s="67" t="str">
        <f>nmLOB2</f>
        <v>Pleasentville</v>
      </c>
      <c r="E95" s="8"/>
      <c r="F95" s="8"/>
    </row>
    <row r="96" spans="4:12">
      <c r="D96" s="331" t="s">
        <v>486</v>
      </c>
      <c r="E96" s="331"/>
      <c r="F96" s="344">
        <f>INDEX(cbalLOB2RevGrowth,xxIndexTeam)</f>
        <v>2.4752971230853182E-2</v>
      </c>
      <c r="G96" s="297" t="s">
        <v>8242</v>
      </c>
    </row>
    <row r="97" spans="4:7">
      <c r="D97" s="331" t="s">
        <v>487</v>
      </c>
      <c r="E97" s="331"/>
      <c r="F97" s="343">
        <f>INDEX(tlOutputfinLOB2OpProfit_R0,xxIndexTeam)</f>
        <v>923794</v>
      </c>
      <c r="G97" s="297" t="s">
        <v>8243</v>
      </c>
    </row>
    <row r="98" spans="4:7">
      <c r="D98" s="331" t="s">
        <v>4352</v>
      </c>
      <c r="E98" s="331"/>
      <c r="F98" s="344">
        <f>INDEX(obalLOB2Stars,xxIndexTeam)</f>
        <v>0.7</v>
      </c>
      <c r="G98" s="297" t="s">
        <v>8244</v>
      </c>
    </row>
    <row r="99" spans="4:7">
      <c r="D99" s="331" t="s">
        <v>489</v>
      </c>
      <c r="E99" s="331"/>
      <c r="F99" s="344">
        <f>INDEX(obalLOB2ESAT,xxIndexTeam)</f>
        <v>0.65</v>
      </c>
      <c r="G99" s="297" t="s">
        <v>8245</v>
      </c>
    </row>
    <row r="100" spans="4:7">
      <c r="D100" s="331" t="s">
        <v>490</v>
      </c>
      <c r="E100" s="331"/>
      <c r="F100" s="344">
        <f>INDEX(obalLOB2CSAT,xxIndexTeam)</f>
        <v>0.7</v>
      </c>
      <c r="G100" s="297" t="s">
        <v>8246</v>
      </c>
    </row>
    <row r="101" spans="4:7">
      <c r="D101" s="331" t="s">
        <v>491</v>
      </c>
      <c r="E101" s="331"/>
      <c r="F101" s="344">
        <f>INDEX(obalLOB2DOOUtilization,xxIndexTeam)</f>
        <v>0.95</v>
      </c>
      <c r="G101" s="297" t="s">
        <v>8247</v>
      </c>
    </row>
    <row r="102" spans="4:7">
      <c r="D102" s="331" t="s">
        <v>4716</v>
      </c>
      <c r="E102" s="331"/>
      <c r="F102" s="820">
        <f>INDEX(tlOutputfinLOB2OpMargin_R0,xxIndexTeam)</f>
        <v>0.17332145578960836</v>
      </c>
      <c r="G102" s="297" t="s">
        <v>8499</v>
      </c>
    </row>
    <row r="104" spans="4:7" ht="10.5">
      <c r="D104" s="67" t="s">
        <v>13</v>
      </c>
      <c r="E104" s="8"/>
      <c r="F104" s="8"/>
    </row>
    <row r="105" spans="4:7">
      <c r="D105" s="331" t="s">
        <v>486</v>
      </c>
      <c r="E105" s="331"/>
      <c r="F105" s="344">
        <f>INDEX(cbalRevGrowth,xxIndexTeam)</f>
        <v>8.7486130057792266E-3</v>
      </c>
      <c r="G105" s="297" t="s">
        <v>8248</v>
      </c>
    </row>
    <row r="106" spans="4:7">
      <c r="D106" s="331" t="s">
        <v>487</v>
      </c>
      <c r="E106" s="331"/>
      <c r="F106" s="343">
        <f>INDEX(tlOutputfinOpProfit_R0,xxIndexTeam)</f>
        <v>1916209</v>
      </c>
      <c r="G106" s="297" t="s">
        <v>8249</v>
      </c>
    </row>
    <row r="107" spans="4:7">
      <c r="D107" s="331" t="s">
        <v>4352</v>
      </c>
      <c r="E107" s="331"/>
      <c r="F107" s="344">
        <f>INDEX(obalStars,xxIndexTeam)</f>
        <v>0.72786859688195993</v>
      </c>
      <c r="G107" s="297" t="s">
        <v>8250</v>
      </c>
    </row>
    <row r="108" spans="4:7">
      <c r="D108" s="331" t="s">
        <v>489</v>
      </c>
      <c r="E108" s="331"/>
      <c r="F108" s="344">
        <f>INDEX(obalESAT,xxIndexTeam)</f>
        <v>0.7</v>
      </c>
      <c r="G108" s="297" t="s">
        <v>8251</v>
      </c>
    </row>
    <row r="109" spans="4:7">
      <c r="D109" s="331" t="s">
        <v>490</v>
      </c>
      <c r="E109" s="331"/>
      <c r="F109" s="344">
        <f>INDEX(obalCSAT,xxIndexTeam)</f>
        <v>0.84</v>
      </c>
      <c r="G109" s="297" t="s">
        <v>8252</v>
      </c>
    </row>
    <row r="110" spans="4:7">
      <c r="D110" s="331" t="s">
        <v>4716</v>
      </c>
      <c r="E110" s="331"/>
      <c r="F110" s="820">
        <f>INDEX(tlOutputfinOpMargin_R0,xxIndexTeam)</f>
        <v>0.14823394954592445</v>
      </c>
      <c r="G110" s="297" t="s">
        <v>8500</v>
      </c>
    </row>
  </sheetData>
  <conditionalFormatting sqref="D43">
    <cfRule type="expression" dxfId="111" priority="3" stopIfTrue="1">
      <formula>AND($D$9&lt;&gt;"BA1",$D$9&lt;&gt;"BA2")</formula>
    </cfRule>
  </conditionalFormatting>
  <conditionalFormatting sqref="D47">
    <cfRule type="expression" dxfId="110" priority="2">
      <formula>AND($D$9&lt;&gt;"BA1",$D$9&lt;&gt;"BA2")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P57"/>
  <sheetViews>
    <sheetView zoomScaleNormal="100" workbookViewId="0"/>
  </sheetViews>
  <sheetFormatPr defaultColWidth="9.33203125" defaultRowHeight="10"/>
  <cols>
    <col min="1" max="2" width="2.77734375" style="8" customWidth="1"/>
    <col min="3" max="3" width="17.6640625" style="8" customWidth="1"/>
    <col min="4" max="4" width="14" style="8" customWidth="1"/>
    <col min="5" max="8" width="14.77734375" style="8" customWidth="1"/>
    <col min="9" max="16384" width="9.33203125" style="8"/>
  </cols>
  <sheetData>
    <row r="1" spans="1:16" s="61" customFormat="1">
      <c r="A1" s="61" t="s">
        <v>373</v>
      </c>
    </row>
    <row r="2" spans="1:16" s="186" customFormat="1">
      <c r="C2" s="187"/>
      <c r="D2" s="187"/>
      <c r="E2" s="187"/>
      <c r="F2" s="187"/>
      <c r="G2" s="187"/>
      <c r="I2" s="187"/>
      <c r="J2" s="187"/>
      <c r="K2" s="187"/>
      <c r="L2" s="187"/>
      <c r="M2" s="187"/>
      <c r="N2" s="187"/>
      <c r="O2" s="187"/>
    </row>
    <row r="3" spans="1:16" s="186" customFormat="1">
      <c r="C3" s="186" t="s">
        <v>138</v>
      </c>
      <c r="E3" s="81" t="s">
        <v>123</v>
      </c>
      <c r="F3" s="81"/>
      <c r="G3" s="82"/>
      <c r="I3" s="82"/>
      <c r="J3" s="82"/>
      <c r="K3" s="82"/>
      <c r="L3" s="82"/>
      <c r="M3" s="82"/>
      <c r="N3" s="82"/>
      <c r="O3" s="82"/>
    </row>
    <row r="5" spans="1:16" s="70" customFormat="1">
      <c r="A5" s="69"/>
      <c r="C5" s="70" t="s">
        <v>137</v>
      </c>
      <c r="G5" s="71"/>
      <c r="H5" s="71"/>
      <c r="I5" s="71"/>
      <c r="J5" s="71"/>
      <c r="K5" s="71"/>
      <c r="L5" s="71"/>
      <c r="M5" s="71"/>
      <c r="N5" s="71"/>
      <c r="O5" s="71"/>
      <c r="P5" s="71"/>
    </row>
    <row r="7" spans="1:16" ht="10.5">
      <c r="D7" s="67" t="s">
        <v>136</v>
      </c>
      <c r="E7" s="67"/>
      <c r="F7" s="67"/>
      <c r="H7" s="140" t="s">
        <v>135</v>
      </c>
    </row>
    <row r="8" spans="1:16">
      <c r="D8" s="188"/>
      <c r="E8" s="73" t="s">
        <v>110</v>
      </c>
      <c r="H8" s="132"/>
      <c r="I8" s="73" t="s">
        <v>111</v>
      </c>
    </row>
    <row r="9" spans="1:16">
      <c r="D9" s="74"/>
      <c r="E9" s="73" t="s">
        <v>107</v>
      </c>
    </row>
    <row r="10" spans="1:16">
      <c r="D10" s="75"/>
      <c r="E10" s="73" t="s">
        <v>112</v>
      </c>
    </row>
    <row r="12" spans="1:16" s="70" customFormat="1">
      <c r="A12" s="69"/>
      <c r="C12" s="70" t="s">
        <v>133</v>
      </c>
      <c r="G12" s="71"/>
      <c r="H12" s="71"/>
      <c r="I12" s="71"/>
      <c r="J12" s="71"/>
      <c r="K12" s="71"/>
      <c r="L12" s="71"/>
      <c r="M12" s="71"/>
      <c r="N12" s="71"/>
      <c r="O12" s="71"/>
      <c r="P12" s="71"/>
    </row>
    <row r="13" spans="1:16" s="181" customFormat="1">
      <c r="B13" s="133"/>
    </row>
    <row r="14" spans="1:16" s="181" customFormat="1">
      <c r="B14" s="133"/>
      <c r="D14" s="181" t="s">
        <v>372</v>
      </c>
      <c r="E14" s="353">
        <v>1</v>
      </c>
      <c r="F14" s="133" t="s">
        <v>371</v>
      </c>
      <c r="H14" s="189"/>
    </row>
    <row r="16" spans="1:16" s="70" customFormat="1">
      <c r="A16" s="69"/>
      <c r="C16" s="70" t="s">
        <v>370</v>
      </c>
      <c r="G16" s="71"/>
      <c r="H16" s="71"/>
      <c r="I16" s="71"/>
      <c r="J16" s="71"/>
      <c r="K16" s="71"/>
      <c r="L16" s="71"/>
      <c r="M16" s="71"/>
      <c r="N16" s="71"/>
      <c r="O16" s="71"/>
      <c r="P16" s="71"/>
    </row>
    <row r="18" spans="2:7" ht="10.5">
      <c r="B18" s="67" t="s">
        <v>369</v>
      </c>
    </row>
    <row r="19" spans="2:7">
      <c r="D19" s="353">
        <v>1000000</v>
      </c>
      <c r="E19" s="332" t="s">
        <v>368</v>
      </c>
    </row>
    <row r="20" spans="2:7">
      <c r="E20" s="332"/>
    </row>
    <row r="21" spans="2:7">
      <c r="E21" s="332"/>
    </row>
    <row r="22" spans="2:7">
      <c r="E22" s="332"/>
    </row>
    <row r="23" spans="2:7" ht="10.5">
      <c r="B23" s="67" t="s">
        <v>367</v>
      </c>
      <c r="E23" s="8" t="s">
        <v>366</v>
      </c>
      <c r="F23" s="8" t="s">
        <v>365</v>
      </c>
      <c r="G23" s="8" t="s">
        <v>364</v>
      </c>
    </row>
    <row r="24" spans="2:7" ht="10.5">
      <c r="B24" s="67"/>
      <c r="C24" s="8" t="s">
        <v>363</v>
      </c>
      <c r="D24" s="132" t="str">
        <f>INDEX(E24:G24,glossaryLanguage)</f>
        <v>Client Name</v>
      </c>
      <c r="E24" s="188" t="s">
        <v>362</v>
      </c>
      <c r="F24" s="188"/>
      <c r="G24" s="188"/>
    </row>
    <row r="25" spans="2:7" ht="10.5">
      <c r="B25" s="67"/>
      <c r="C25" s="8" t="s">
        <v>361</v>
      </c>
      <c r="D25" s="132" t="str">
        <f>INDEX(E25:G25,glossaryLanguage)</f>
        <v>Business Simulation</v>
      </c>
      <c r="E25" s="188" t="s">
        <v>360</v>
      </c>
      <c r="F25" s="188"/>
      <c r="G25" s="188"/>
    </row>
    <row r="26" spans="2:7">
      <c r="C26" s="8" t="s">
        <v>359</v>
      </c>
      <c r="D26" s="132" t="str">
        <f>INDEX(E26:G26,glossaryLanguage)</f>
        <v>Team Name</v>
      </c>
      <c r="E26" s="188" t="s">
        <v>231</v>
      </c>
      <c r="F26" s="188"/>
      <c r="G26" s="188"/>
    </row>
    <row r="27" spans="2:7">
      <c r="C27" s="8" t="s">
        <v>358</v>
      </c>
      <c r="D27" s="132" t="str">
        <f>INDEX(E27:G27,glossaryLanguage)</f>
        <v>Team Number</v>
      </c>
      <c r="E27" s="188" t="s">
        <v>230</v>
      </c>
      <c r="F27" s="188"/>
      <c r="G27" s="188"/>
    </row>
    <row r="28" spans="2:7">
      <c r="C28" s="8" t="s">
        <v>357</v>
      </c>
      <c r="D28" s="132" t="str">
        <f>INDEX(E28:G28,glossaryLanguage)</f>
        <v>Round</v>
      </c>
      <c r="E28" s="188" t="s">
        <v>229</v>
      </c>
      <c r="F28" s="188"/>
      <c r="G28" s="188"/>
    </row>
    <row r="30" spans="2:7">
      <c r="C30" s="8" t="s">
        <v>356</v>
      </c>
      <c r="D30" s="132" t="str">
        <f>INDEX(E30:G30,glossaryLanguage)</f>
        <v>Mn</v>
      </c>
      <c r="E30" s="188" t="s">
        <v>355</v>
      </c>
      <c r="F30" s="188"/>
      <c r="G30" s="188"/>
    </row>
    <row r="32" spans="2:7">
      <c r="C32" s="8" t="s">
        <v>452</v>
      </c>
      <c r="D32" s="132" t="str">
        <f t="shared" ref="D32:D45" si="0">INDEX(E32:G32,glossaryLanguage)</f>
        <v>Riverside</v>
      </c>
      <c r="E32" s="188" t="s">
        <v>4670</v>
      </c>
      <c r="F32" s="188"/>
      <c r="G32" s="188"/>
    </row>
    <row r="33" spans="3:8">
      <c r="C33" s="8" t="s">
        <v>453</v>
      </c>
      <c r="D33" s="132" t="str">
        <f t="shared" si="0"/>
        <v>Pleasentville</v>
      </c>
      <c r="E33" s="188" t="s">
        <v>7840</v>
      </c>
      <c r="F33" s="188"/>
      <c r="G33" s="188"/>
    </row>
    <row r="34" spans="3:8">
      <c r="C34" s="8" t="s">
        <v>354</v>
      </c>
      <c r="D34" s="132" t="str">
        <f t="shared" si="0"/>
        <v>Admits</v>
      </c>
      <c r="E34" s="188" t="s">
        <v>590</v>
      </c>
      <c r="F34" s="188"/>
      <c r="G34" s="188"/>
    </row>
    <row r="35" spans="3:8">
      <c r="C35" s="8" t="s">
        <v>451</v>
      </c>
      <c r="D35" s="132" t="str">
        <f t="shared" si="0"/>
        <v>Recerts</v>
      </c>
      <c r="E35" s="188" t="s">
        <v>591</v>
      </c>
      <c r="F35" s="188"/>
      <c r="G35" s="188"/>
    </row>
    <row r="36" spans="3:8">
      <c r="C36" s="8" t="s">
        <v>617</v>
      </c>
      <c r="D36" s="132" t="str">
        <f t="shared" si="0"/>
        <v>Medicare</v>
      </c>
      <c r="E36" s="188" t="s">
        <v>620</v>
      </c>
      <c r="F36" s="188"/>
      <c r="G36" s="188"/>
      <c r="H36" s="8" t="s">
        <v>622</v>
      </c>
    </row>
    <row r="37" spans="3:8">
      <c r="C37" s="8" t="s">
        <v>618</v>
      </c>
      <c r="D37" s="132" t="str">
        <f t="shared" si="0"/>
        <v>PPS</v>
      </c>
      <c r="E37" s="188" t="s">
        <v>621</v>
      </c>
      <c r="F37" s="188"/>
      <c r="G37" s="188"/>
      <c r="H37" s="8" t="s">
        <v>623</v>
      </c>
    </row>
    <row r="38" spans="3:8">
      <c r="C38" s="8" t="s">
        <v>619</v>
      </c>
      <c r="D38" s="132" t="str">
        <f t="shared" si="0"/>
        <v>Other</v>
      </c>
      <c r="E38" s="188" t="s">
        <v>592</v>
      </c>
      <c r="F38" s="188"/>
      <c r="G38" s="188"/>
      <c r="H38" s="8" t="s">
        <v>624</v>
      </c>
    </row>
    <row r="39" spans="3:8">
      <c r="C39" s="8" t="s">
        <v>712</v>
      </c>
      <c r="D39" s="132" t="str">
        <f t="shared" si="0"/>
        <v>Skilled Nursing</v>
      </c>
      <c r="E39" s="188" t="s">
        <v>627</v>
      </c>
      <c r="F39" s="188"/>
      <c r="G39" s="188"/>
    </row>
    <row r="40" spans="3:8">
      <c r="C40" s="8" t="s">
        <v>713</v>
      </c>
      <c r="D40" s="132" t="str">
        <f t="shared" si="0"/>
        <v>Occupational Therapy</v>
      </c>
      <c r="E40" s="188" t="s">
        <v>628</v>
      </c>
      <c r="F40" s="188"/>
      <c r="G40" s="188"/>
    </row>
    <row r="41" spans="3:8">
      <c r="C41" s="8" t="s">
        <v>714</v>
      </c>
      <c r="D41" s="132" t="str">
        <f t="shared" si="0"/>
        <v>Physical Therapy</v>
      </c>
      <c r="E41" s="188" t="s">
        <v>629</v>
      </c>
      <c r="F41" s="188"/>
      <c r="G41" s="188"/>
    </row>
    <row r="42" spans="3:8">
      <c r="C42" s="8" t="s">
        <v>1575</v>
      </c>
      <c r="D42" s="132" t="str">
        <f t="shared" si="0"/>
        <v>RN</v>
      </c>
      <c r="E42" s="188" t="s">
        <v>550</v>
      </c>
      <c r="F42" s="188"/>
      <c r="G42" s="188"/>
    </row>
    <row r="43" spans="3:8">
      <c r="C43" s="8" t="s">
        <v>1576</v>
      </c>
      <c r="D43" s="132" t="str">
        <f t="shared" si="0"/>
        <v>LPN</v>
      </c>
      <c r="E43" s="188" t="s">
        <v>554</v>
      </c>
      <c r="F43" s="188"/>
      <c r="G43" s="188"/>
    </row>
    <row r="44" spans="3:8">
      <c r="C44" s="8" t="s">
        <v>1577</v>
      </c>
      <c r="D44" s="132" t="str">
        <f t="shared" si="0"/>
        <v>PT</v>
      </c>
      <c r="E44" s="188" t="s">
        <v>556</v>
      </c>
      <c r="F44" s="188"/>
      <c r="G44" s="188"/>
    </row>
    <row r="45" spans="3:8">
      <c r="C45" s="8" t="s">
        <v>1578</v>
      </c>
      <c r="D45" s="132" t="str">
        <f t="shared" si="0"/>
        <v>OT</v>
      </c>
      <c r="E45" s="188" t="s">
        <v>555</v>
      </c>
      <c r="F45" s="188"/>
      <c r="G45" s="188"/>
    </row>
    <row r="47" spans="3:8">
      <c r="C47" s="8" t="s">
        <v>353</v>
      </c>
      <c r="D47" s="132" t="str">
        <f>INDEX(E47:G47,glossaryLanguage)</f>
        <v>Forecast</v>
      </c>
      <c r="E47" s="188" t="s">
        <v>251</v>
      </c>
      <c r="F47" s="188"/>
      <c r="G47" s="188"/>
    </row>
    <row r="48" spans="3:8">
      <c r="C48" s="8" t="s">
        <v>352</v>
      </c>
      <c r="D48" s="132" t="str">
        <f>INDEX(E48:G48,glossaryLanguage)</f>
        <v>Price</v>
      </c>
      <c r="E48" s="188" t="s">
        <v>233</v>
      </c>
      <c r="F48" s="188"/>
      <c r="G48" s="188"/>
    </row>
    <row r="49" spans="3:7">
      <c r="C49" s="8" t="s">
        <v>351</v>
      </c>
      <c r="D49" s="132" t="str">
        <f>INDEX(E49:G49,glossaryLanguage)</f>
        <v>Marketing</v>
      </c>
      <c r="E49" s="188" t="s">
        <v>350</v>
      </c>
      <c r="F49" s="188"/>
      <c r="G49" s="188"/>
    </row>
    <row r="51" spans="3:7">
      <c r="C51" s="8" t="s">
        <v>349</v>
      </c>
      <c r="D51" s="132" t="str">
        <f>INDEX(E51:G51,glossaryLanguage)</f>
        <v>Strategic Initiatives</v>
      </c>
      <c r="E51" s="188" t="s">
        <v>170</v>
      </c>
      <c r="F51" s="188"/>
      <c r="G51" s="188"/>
    </row>
    <row r="54" spans="3:7">
      <c r="C54" s="8" t="s">
        <v>348</v>
      </c>
      <c r="D54" s="132" t="str">
        <f>INDEX(E54:G54,glossaryLanguage)</f>
        <v>Revenue</v>
      </c>
      <c r="E54" s="188" t="s">
        <v>347</v>
      </c>
      <c r="F54" s="188"/>
      <c r="G54" s="188"/>
    </row>
    <row r="55" spans="3:7">
      <c r="C55" s="8" t="s">
        <v>346</v>
      </c>
      <c r="D55" s="132" t="str">
        <f>INDEX(E55:G55,glossaryLanguage)</f>
        <v>COGS</v>
      </c>
      <c r="E55" s="188" t="s">
        <v>345</v>
      </c>
      <c r="F55" s="188"/>
      <c r="G55" s="188"/>
    </row>
    <row r="56" spans="3:7">
      <c r="C56" s="8" t="s">
        <v>344</v>
      </c>
      <c r="D56" s="132" t="str">
        <f>INDEX(E56:G56,glossaryLanguage)</f>
        <v>Gross Profit</v>
      </c>
      <c r="E56" s="188" t="s">
        <v>343</v>
      </c>
      <c r="F56" s="188"/>
      <c r="G56" s="188"/>
    </row>
    <row r="57" spans="3:7">
      <c r="C57" s="8" t="s">
        <v>342</v>
      </c>
      <c r="D57" s="132" t="str">
        <f>INDEX(E57:G57,glossaryLanguage)</f>
        <v>Gross Margin</v>
      </c>
      <c r="E57" s="188" t="s">
        <v>341</v>
      </c>
      <c r="F57" s="188"/>
      <c r="G57" s="188"/>
    </row>
  </sheetData>
  <hyperlinks>
    <hyperlink ref="E3" r:id="rId1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/>
  </sheetPr>
  <dimension ref="A1:U30"/>
  <sheetViews>
    <sheetView showGridLines="0" zoomScaleNormal="100" workbookViewId="0">
      <selection activeCell="C15" sqref="C15"/>
    </sheetView>
  </sheetViews>
  <sheetFormatPr defaultColWidth="9" defaultRowHeight="10"/>
  <cols>
    <col min="1" max="1" width="1.77734375" style="15" customWidth="1"/>
    <col min="2" max="2" width="1.77734375" style="9" customWidth="1"/>
    <col min="3" max="3" width="24.77734375" style="9" customWidth="1"/>
    <col min="4" max="4" width="1.77734375" style="9" customWidth="1"/>
    <col min="5" max="5" width="10.77734375" style="9" customWidth="1"/>
    <col min="6" max="6" width="1.77734375" style="9" customWidth="1"/>
    <col min="7" max="7" width="10.77734375" style="9" customWidth="1"/>
    <col min="8" max="8" width="1.77734375" style="9" customWidth="1"/>
    <col min="9" max="9" width="10.77734375" style="9" customWidth="1"/>
    <col min="10" max="10" width="1.77734375" style="9" customWidth="1"/>
    <col min="11" max="11" width="10.77734375" style="9" customWidth="1"/>
    <col min="12" max="12" width="1.77734375" style="9" customWidth="1"/>
    <col min="13" max="13" width="10.77734375" style="9" customWidth="1"/>
    <col min="14" max="14" width="1.77734375" style="9" customWidth="1"/>
    <col min="15" max="15" width="10.77734375" style="9" customWidth="1"/>
    <col min="16" max="17" width="1.77734375" style="9" customWidth="1"/>
    <col min="18" max="18" width="20.77734375" style="9" customWidth="1"/>
    <col min="19" max="16384" width="9" style="9"/>
  </cols>
  <sheetData>
    <row r="1" spans="1:21" s="16" customFormat="1" ht="6" customHeight="1">
      <c r="A1" s="15"/>
    </row>
    <row r="2" spans="1:21" s="25" customFormat="1" ht="54.75" customHeight="1">
      <c r="A2" s="15"/>
      <c r="O2" s="28"/>
      <c r="T2" s="27" t="s">
        <v>456</v>
      </c>
      <c r="U2" s="25" t="s">
        <v>232</v>
      </c>
    </row>
    <row r="3" spans="1:21" s="16" customFormat="1" ht="10" customHeight="1">
      <c r="A3" s="15"/>
    </row>
    <row r="4" spans="1:21" s="16" customFormat="1" ht="27" customHeight="1">
      <c r="A4" s="1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</row>
    <row r="5" spans="1:21" s="16" customFormat="1" ht="6" customHeight="1">
      <c r="A5" s="15"/>
      <c r="C5" s="26"/>
      <c r="F5" s="25"/>
      <c r="G5" s="25"/>
      <c r="H5" s="25"/>
      <c r="I5" s="25"/>
      <c r="J5" s="25"/>
      <c r="K5" s="25"/>
      <c r="L5" s="825"/>
      <c r="M5" s="825"/>
      <c r="N5" s="825"/>
      <c r="O5" s="25"/>
      <c r="P5" s="25"/>
    </row>
    <row r="6" spans="1:21" s="16" customFormat="1">
      <c r="A6" s="15"/>
      <c r="F6" s="25"/>
      <c r="G6" s="25"/>
      <c r="H6" s="25"/>
      <c r="I6" s="25"/>
      <c r="J6" s="25"/>
      <c r="K6" s="25"/>
      <c r="L6" s="825"/>
      <c r="M6" s="825"/>
      <c r="N6" s="825"/>
      <c r="O6" s="25"/>
      <c r="P6" s="25"/>
    </row>
    <row r="7" spans="1:21" s="16" customFormat="1" ht="45.75" customHeight="1" thickBot="1">
      <c r="A7" s="20"/>
      <c r="B7" s="18"/>
      <c r="C7" s="351" t="str">
        <f>xxProgramName</f>
        <v>Care Center Simulation Experience</v>
      </c>
      <c r="D7" s="24"/>
      <c r="E7" s="24"/>
      <c r="F7" s="24"/>
      <c r="G7" s="24"/>
      <c r="H7" s="19"/>
      <c r="I7" s="19"/>
      <c r="J7" s="19"/>
      <c r="K7" s="19"/>
      <c r="L7" s="825"/>
      <c r="M7" s="825"/>
      <c r="N7" s="825"/>
      <c r="O7" s="19"/>
      <c r="P7" s="19"/>
      <c r="Q7" s="18"/>
      <c r="R7" s="18"/>
    </row>
    <row r="8" spans="1:21" s="16" customFormat="1" ht="28.5" customHeight="1">
      <c r="A8" s="20"/>
      <c r="B8" s="18"/>
      <c r="C8" s="352" t="s">
        <v>409</v>
      </c>
      <c r="D8" s="18"/>
      <c r="E8" s="18"/>
      <c r="F8" s="19"/>
      <c r="G8" s="19"/>
      <c r="H8" s="19"/>
      <c r="I8" s="19"/>
      <c r="J8" s="19"/>
      <c r="K8" s="19"/>
      <c r="L8" s="825"/>
      <c r="M8" s="825"/>
      <c r="N8" s="825"/>
      <c r="O8" s="19"/>
      <c r="P8" s="19"/>
      <c r="Q8" s="18"/>
      <c r="R8" s="18"/>
    </row>
    <row r="9" spans="1:21" s="16" customFormat="1" ht="7.5" customHeight="1">
      <c r="A9" s="20"/>
      <c r="B9" s="18"/>
      <c r="D9" s="18"/>
      <c r="E9" s="18"/>
      <c r="F9" s="19"/>
      <c r="G9" s="19"/>
      <c r="H9" s="19"/>
      <c r="I9" s="19"/>
      <c r="J9" s="19"/>
      <c r="K9" s="19"/>
      <c r="L9" s="825"/>
      <c r="M9" s="825"/>
      <c r="N9" s="825"/>
      <c r="O9" s="19"/>
      <c r="P9" s="19"/>
      <c r="Q9" s="18"/>
      <c r="R9" s="18"/>
    </row>
    <row r="10" spans="1:21" s="16" customFormat="1" ht="7.5" customHeight="1">
      <c r="A10" s="20"/>
      <c r="B10" s="18"/>
      <c r="C10" s="18"/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8"/>
      <c r="R10" s="18"/>
    </row>
    <row r="11" spans="1:21" s="16" customFormat="1" ht="7.5" customHeight="1">
      <c r="A11" s="20"/>
      <c r="B11" s="18"/>
      <c r="D11" s="18"/>
      <c r="E11" s="18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8"/>
      <c r="R11" s="18"/>
    </row>
    <row r="12" spans="1:21" s="16" customFormat="1" ht="7.5" customHeight="1">
      <c r="A12" s="20"/>
      <c r="B12" s="18"/>
      <c r="D12" s="18"/>
      <c r="E12" s="1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8"/>
      <c r="R12" s="18"/>
    </row>
    <row r="13" spans="1:21" s="16" customFormat="1" ht="22" customHeight="1">
      <c r="A13" s="20"/>
      <c r="B13" s="18"/>
      <c r="C13" s="18"/>
      <c r="D13" s="18"/>
      <c r="E13" s="18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8"/>
      <c r="R13" s="18"/>
      <c r="T13" s="11"/>
    </row>
    <row r="14" spans="1:21" s="16" customFormat="1" ht="22" customHeight="1">
      <c r="A14" s="20"/>
      <c r="B14" s="18"/>
      <c r="C14" s="826" t="s">
        <v>231</v>
      </c>
      <c r="D14" s="826"/>
      <c r="E14" s="826"/>
      <c r="F14" s="826"/>
      <c r="G14" s="826"/>
      <c r="H14" s="19"/>
      <c r="I14" s="19"/>
      <c r="J14" s="19"/>
      <c r="K14" s="19"/>
      <c r="L14" s="19"/>
      <c r="M14" s="19"/>
      <c r="N14" s="19"/>
      <c r="O14" s="19"/>
      <c r="P14" s="19"/>
      <c r="Q14" s="18"/>
      <c r="R14" s="18"/>
      <c r="T14" s="11"/>
    </row>
    <row r="15" spans="1:21" s="16" customFormat="1" ht="22" customHeight="1">
      <c r="A15" s="20"/>
      <c r="B15" s="18"/>
      <c r="C15" s="586"/>
      <c r="D15" s="575" t="s">
        <v>4337</v>
      </c>
      <c r="E15" s="587"/>
      <c r="F15" s="587"/>
      <c r="G15" s="587"/>
      <c r="H15" s="575"/>
      <c r="I15" s="19"/>
      <c r="J15" s="19"/>
      <c r="K15" s="19"/>
      <c r="L15" s="19"/>
      <c r="M15" s="19"/>
      <c r="N15" s="19"/>
      <c r="O15" s="19"/>
      <c r="P15" s="19"/>
      <c r="Q15" s="18"/>
      <c r="R15" s="18"/>
      <c r="T15" s="11"/>
    </row>
    <row r="16" spans="1:21" s="16" customFormat="1" ht="22" customHeight="1">
      <c r="A16" s="20"/>
      <c r="B16" s="18"/>
      <c r="C16" s="18"/>
      <c r="D16" s="18"/>
      <c r="E16" s="18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8"/>
      <c r="R16" s="18"/>
      <c r="T16" s="11"/>
    </row>
    <row r="17" spans="1:20" s="16" customFormat="1" ht="22" customHeight="1" thickBot="1">
      <c r="A17" s="20"/>
      <c r="B17" s="18"/>
      <c r="C17" s="18" t="s">
        <v>230</v>
      </c>
      <c r="D17" s="18"/>
      <c r="E17" s="826" t="s">
        <v>229</v>
      </c>
      <c r="F17" s="826"/>
      <c r="G17" s="826"/>
      <c r="H17" s="23"/>
      <c r="I17" s="23"/>
      <c r="J17" s="19"/>
      <c r="K17" s="19"/>
      <c r="L17" s="19"/>
      <c r="M17" s="19"/>
      <c r="N17" s="19"/>
      <c r="O17" s="19"/>
      <c r="P17" s="19"/>
      <c r="Q17" s="18"/>
      <c r="R17" s="18"/>
      <c r="T17" s="11"/>
    </row>
    <row r="18" spans="1:20" s="16" customFormat="1" ht="22" customHeight="1">
      <c r="A18" s="20"/>
      <c r="B18" s="18"/>
      <c r="C18" s="22">
        <v>1</v>
      </c>
      <c r="D18" s="18"/>
      <c r="E18" s="827"/>
      <c r="F18" s="827"/>
      <c r="G18" s="827"/>
      <c r="H18" s="21"/>
      <c r="I18" s="21"/>
      <c r="J18" s="19"/>
      <c r="K18" s="19"/>
      <c r="L18" s="19"/>
      <c r="M18" s="19"/>
      <c r="N18" s="19"/>
      <c r="O18" s="19"/>
      <c r="P18" s="19"/>
      <c r="Q18" s="18"/>
      <c r="R18" s="18"/>
      <c r="T18" s="16" t="s">
        <v>228</v>
      </c>
    </row>
    <row r="19" spans="1:20" s="16" customFormat="1" ht="10" customHeight="1">
      <c r="A19" s="20"/>
      <c r="B19" s="18"/>
      <c r="C19" s="18"/>
      <c r="D19" s="18"/>
      <c r="E19" s="18"/>
      <c r="F19" s="18"/>
      <c r="G19" s="18"/>
      <c r="H19" s="19"/>
      <c r="I19" s="19"/>
      <c r="J19" s="18"/>
      <c r="K19" s="18"/>
      <c r="L19" s="18"/>
      <c r="M19" s="18"/>
      <c r="N19" s="18"/>
      <c r="O19" s="18"/>
      <c r="P19" s="18"/>
      <c r="Q19" s="18"/>
      <c r="R19" s="18"/>
    </row>
    <row r="20" spans="1:20" s="16" customFormat="1" ht="22" customHeight="1">
      <c r="A20" s="15"/>
    </row>
    <row r="21" spans="1:20" s="17" customFormat="1" ht="22" customHeight="1">
      <c r="A21" s="15"/>
    </row>
    <row r="22" spans="1:20" s="17" customFormat="1" ht="22" customHeight="1">
      <c r="A22" s="15"/>
    </row>
    <row r="23" spans="1:20" s="16" customFormat="1" ht="22" customHeight="1">
      <c r="A23" s="15"/>
    </row>
    <row r="24" spans="1:20" ht="22" customHeight="1"/>
    <row r="25" spans="1:20" ht="22" customHeight="1"/>
    <row r="26" spans="1:20" ht="22" customHeight="1"/>
    <row r="27" spans="1:20" ht="22" customHeight="1"/>
    <row r="28" spans="1:20" ht="22" customHeight="1"/>
    <row r="29" spans="1:20" ht="22" customHeight="1"/>
    <row r="30" spans="1:20" ht="22" customHeight="1"/>
  </sheetData>
  <sheetProtection selectLockedCells="1"/>
  <mergeCells count="4">
    <mergeCell ref="L5:N9"/>
    <mergeCell ref="E17:G17"/>
    <mergeCell ref="E18:G18"/>
    <mergeCell ref="C14:G14"/>
  </mergeCell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</sheetPr>
  <dimension ref="B1:W50"/>
  <sheetViews>
    <sheetView showGridLines="0" zoomScaleNormal="100" workbookViewId="0"/>
  </sheetViews>
  <sheetFormatPr defaultColWidth="9" defaultRowHeight="15"/>
  <cols>
    <col min="1" max="2" width="2.77734375" style="29" customWidth="1"/>
    <col min="3" max="3" width="20.77734375" style="29" customWidth="1"/>
    <col min="4" max="4" width="3" style="29" customWidth="1"/>
    <col min="5" max="5" width="33.44140625" style="29" customWidth="1"/>
    <col min="6" max="6" width="11.33203125" style="29" customWidth="1"/>
    <col min="7" max="7" width="17.33203125" style="29" customWidth="1"/>
    <col min="8" max="8" width="7.77734375" style="29" customWidth="1"/>
    <col min="9" max="9" width="12.44140625" style="29" customWidth="1"/>
    <col min="10" max="11" width="7.77734375" style="29" customWidth="1"/>
    <col min="12" max="12" width="5.77734375" style="29" customWidth="1"/>
    <col min="13" max="13" width="20.77734375" style="29" customWidth="1"/>
    <col min="14" max="14" width="3" style="29" customWidth="1"/>
    <col min="15" max="15" width="33.44140625" style="29" customWidth="1"/>
    <col min="16" max="16" width="11.33203125" style="29" customWidth="1"/>
    <col min="17" max="17" width="17.33203125" style="29" customWidth="1"/>
    <col min="18" max="18" width="7.77734375" style="29" customWidth="1"/>
    <col min="19" max="19" width="12.44140625" style="29" customWidth="1"/>
    <col min="20" max="21" width="7.77734375" style="29" customWidth="1"/>
    <col min="22" max="16384" width="9" style="29"/>
  </cols>
  <sheetData>
    <row r="1" spans="2:23" s="31" customFormat="1" ht="6" customHeight="1">
      <c r="C1" s="285"/>
      <c r="D1" s="285"/>
      <c r="M1" s="285"/>
      <c r="N1" s="285"/>
    </row>
    <row r="2" spans="2:23" s="31" customFormat="1" ht="26.25" customHeight="1">
      <c r="C2" s="286" t="str">
        <f>xxProgramName</f>
        <v>Care Center Simulation Experience</v>
      </c>
      <c r="D2" s="286"/>
      <c r="M2" s="286" t="str">
        <f>xxProgramName</f>
        <v>Care Center Simulation Experience</v>
      </c>
      <c r="N2" s="286"/>
    </row>
    <row r="3" spans="2:23" s="31" customFormat="1" ht="15" customHeight="1">
      <c r="B3" s="347"/>
      <c r="C3" s="349" t="s">
        <v>473</v>
      </c>
      <c r="D3" s="349"/>
      <c r="E3" s="348"/>
      <c r="F3" s="348"/>
      <c r="G3" s="348"/>
      <c r="H3" s="348"/>
      <c r="I3" s="348"/>
      <c r="J3" s="348"/>
      <c r="K3" s="348"/>
      <c r="L3" s="377"/>
      <c r="M3" s="377" t="s">
        <v>474</v>
      </c>
      <c r="N3" s="377"/>
      <c r="O3" s="377"/>
      <c r="P3" s="377"/>
      <c r="Q3" s="377"/>
      <c r="R3" s="377"/>
      <c r="S3" s="377"/>
      <c r="T3" s="377"/>
      <c r="U3" s="377"/>
      <c r="V3" s="377"/>
      <c r="W3" s="286"/>
    </row>
    <row r="4" spans="2:23" s="32" customFormat="1" ht="15.75" customHeight="1">
      <c r="C4" s="359" t="s">
        <v>8212</v>
      </c>
      <c r="D4" s="359"/>
      <c r="E4" s="741">
        <f>tlOutputDBRevGrowth_R1</f>
        <v>8.7486130057792266E-3</v>
      </c>
      <c r="F4" s="358" t="s">
        <v>487</v>
      </c>
      <c r="G4" s="740">
        <f>tlOutputDBNIFO_R1</f>
        <v>2038635.0538766291</v>
      </c>
      <c r="H4" s="522">
        <f>tlOutputDBStars_R1</f>
        <v>0.72786859688195993</v>
      </c>
      <c r="I4" s="522">
        <f>tlOutputDBESAT_R1</f>
        <v>0.7</v>
      </c>
      <c r="J4" s="522">
        <f>tlOutputDBCSAT_R1</f>
        <v>0.76669554565701548</v>
      </c>
      <c r="K4" s="358"/>
      <c r="M4" s="359" t="s">
        <v>8212</v>
      </c>
      <c r="N4" s="359"/>
      <c r="O4" s="739">
        <f>tlOutputDBRevGrowth_R2</f>
        <v>2.6423246492234265E-2</v>
      </c>
      <c r="P4" s="358" t="s">
        <v>487</v>
      </c>
      <c r="Q4" s="740">
        <f>tlOutputDBNIFO_R2</f>
        <v>2424318.0780725498</v>
      </c>
      <c r="R4" s="522">
        <f>tlOutputDBStars_R2</f>
        <v>0.7181057129963645</v>
      </c>
      <c r="S4" s="522">
        <f>tlOutputDBESAT_R2</f>
        <v>0.68023703712147898</v>
      </c>
      <c r="T4" s="522">
        <f>tlOutputDBCSAT_R2</f>
        <v>0.75776133110113975</v>
      </c>
      <c r="U4" s="358"/>
    </row>
    <row r="5" spans="2:23" s="32" customFormat="1" ht="15.75" customHeight="1">
      <c r="C5" s="359" t="s">
        <v>8213</v>
      </c>
      <c r="D5" s="359"/>
      <c r="E5" s="741">
        <f>tlOutputDBLOB1RevGrowth_R1</f>
        <v>-2.8501956139906914E-3</v>
      </c>
      <c r="F5" s="358" t="s">
        <v>487</v>
      </c>
      <c r="G5" s="740">
        <f>tlOutputDBLOB1NIFO_R1</f>
        <v>1136322.8864500001</v>
      </c>
      <c r="H5" s="522">
        <f>tlOutputDBLOB1Stars_R1</f>
        <v>0.78900000000000003</v>
      </c>
      <c r="I5" s="522">
        <f>tlOutputDBLOB1ESAT_R1</f>
        <v>0.75</v>
      </c>
      <c r="J5" s="522">
        <f>tlOutputDBLOB1CSAT_R1</f>
        <v>0.8599</v>
      </c>
      <c r="K5" s="358"/>
      <c r="M5" s="359" t="s">
        <v>8213</v>
      </c>
      <c r="N5" s="359"/>
      <c r="O5" s="739">
        <f>tlOutputDBLOB1RevGrowth_R2</f>
        <v>1.6075389387199435E-2</v>
      </c>
      <c r="P5" s="358" t="s">
        <v>487</v>
      </c>
      <c r="Q5" s="740">
        <f>tlOutputDBLOB1NIFO_R2</f>
        <v>1737859.8357225806</v>
      </c>
      <c r="R5" s="522">
        <f>tlOutputDBLOB1Stars_R2</f>
        <v>0.77497922131414743</v>
      </c>
      <c r="S5" s="522">
        <f>tlOutputDBLOB1ESAT_R2</f>
        <v>0.71494805328536837</v>
      </c>
      <c r="T5" s="522">
        <f>tlOutputDBLOB1CSAT_R2</f>
        <v>0.84798233811702528</v>
      </c>
      <c r="U5" s="358"/>
    </row>
    <row r="6" spans="2:23" s="288" customFormat="1" ht="9" customHeight="1"/>
    <row r="7" spans="2:23" s="288" customFormat="1" ht="14.25" customHeight="1">
      <c r="C7" s="290" t="str">
        <f>nmLOB1&amp;" - DOO Focus"</f>
        <v>Riverside - DOO Focus</v>
      </c>
      <c r="D7" s="290"/>
      <c r="E7" s="289"/>
      <c r="F7" s="289"/>
      <c r="G7" s="289"/>
      <c r="H7" s="289"/>
      <c r="I7" s="289"/>
      <c r="J7" s="289"/>
      <c r="K7" s="289"/>
      <c r="L7" s="289"/>
      <c r="M7" s="290" t="str">
        <f>nmLOB1&amp;" - DOO Focus"</f>
        <v>Riverside - DOO Focus</v>
      </c>
      <c r="N7" s="290"/>
      <c r="O7" s="289"/>
      <c r="P7" s="289"/>
      <c r="Q7" s="289"/>
      <c r="R7" s="289"/>
      <c r="S7" s="289"/>
      <c r="T7" s="289"/>
      <c r="U7" s="289"/>
    </row>
    <row r="8" spans="2:23" s="288" customFormat="1" ht="8.25" customHeight="1"/>
    <row r="9" spans="2:23" s="288" customFormat="1" ht="14.25" customHeight="1">
      <c r="C9" s="288" t="s">
        <v>558</v>
      </c>
      <c r="D9" s="288">
        <v>1</v>
      </c>
      <c r="E9" s="300">
        <v>0</v>
      </c>
      <c r="F9" s="532" t="s">
        <v>744</v>
      </c>
      <c r="G9" s="299"/>
      <c r="M9" s="288" t="s">
        <v>558</v>
      </c>
      <c r="N9" s="288">
        <v>1</v>
      </c>
      <c r="O9" s="300">
        <v>0</v>
      </c>
      <c r="P9" s="532" t="s">
        <v>745</v>
      </c>
      <c r="Q9" s="299"/>
    </row>
    <row r="10" spans="2:23" s="288" customFormat="1" ht="7.5" customHeight="1">
      <c r="E10" s="294"/>
      <c r="F10" s="532"/>
      <c r="G10" s="299"/>
      <c r="O10" s="294"/>
      <c r="P10" s="532"/>
      <c r="Q10" s="299"/>
    </row>
    <row r="11" spans="2:23" s="288" customFormat="1" ht="14.25" customHeight="1">
      <c r="C11" s="288" t="s">
        <v>559</v>
      </c>
      <c r="D11" s="288">
        <v>1</v>
      </c>
      <c r="E11" s="300">
        <v>0</v>
      </c>
      <c r="F11" s="532" t="s">
        <v>746</v>
      </c>
      <c r="G11" s="297"/>
      <c r="M11" s="288" t="s">
        <v>559</v>
      </c>
      <c r="N11" s="288">
        <v>1</v>
      </c>
      <c r="O11" s="300">
        <v>0</v>
      </c>
      <c r="P11" s="532" t="s">
        <v>747</v>
      </c>
      <c r="Q11" s="297"/>
    </row>
    <row r="12" spans="2:23" s="288" customFormat="1" ht="7.5" customHeight="1">
      <c r="E12" s="294"/>
      <c r="F12" s="532"/>
      <c r="G12" s="299"/>
      <c r="O12" s="294"/>
      <c r="P12" s="532"/>
      <c r="Q12" s="299"/>
    </row>
    <row r="13" spans="2:23" s="288" customFormat="1" ht="14.25" customHeight="1">
      <c r="C13" s="288" t="s">
        <v>560</v>
      </c>
      <c r="D13" s="288">
        <v>1</v>
      </c>
      <c r="E13" s="300">
        <v>0</v>
      </c>
      <c r="F13" s="532" t="s">
        <v>748</v>
      </c>
      <c r="G13" s="299"/>
      <c r="M13" s="288" t="s">
        <v>560</v>
      </c>
      <c r="N13" s="288">
        <v>1</v>
      </c>
      <c r="O13" s="300">
        <v>0</v>
      </c>
      <c r="P13" s="532" t="s">
        <v>749</v>
      </c>
      <c r="Q13" s="299"/>
    </row>
    <row r="14" spans="2:23" s="288" customFormat="1" ht="7.5" customHeight="1">
      <c r="E14" s="294"/>
      <c r="F14" s="532"/>
      <c r="G14" s="299"/>
      <c r="O14" s="294"/>
      <c r="P14" s="532"/>
      <c r="Q14" s="299"/>
    </row>
    <row r="15" spans="2:23" s="288" customFormat="1" ht="14.25" customHeight="1">
      <c r="C15" s="288" t="s">
        <v>616</v>
      </c>
      <c r="D15" s="288">
        <v>1</v>
      </c>
      <c r="E15" s="300">
        <v>0</v>
      </c>
      <c r="F15" s="532" t="s">
        <v>750</v>
      </c>
      <c r="G15" s="299"/>
      <c r="M15" s="288" t="s">
        <v>616</v>
      </c>
      <c r="N15" s="288">
        <v>1</v>
      </c>
      <c r="O15" s="300">
        <v>0</v>
      </c>
      <c r="P15" s="532" t="s">
        <v>751</v>
      </c>
      <c r="Q15" s="299"/>
    </row>
    <row r="16" spans="2:23" s="288" customFormat="1" ht="7.5" customHeight="1">
      <c r="F16" s="532"/>
      <c r="G16" s="299"/>
      <c r="Q16" s="299"/>
    </row>
    <row r="17" spans="3:21" s="288" customFormat="1" ht="14.25" customHeight="1">
      <c r="F17" s="532"/>
      <c r="G17" s="299"/>
      <c r="Q17" s="299"/>
    </row>
    <row r="18" spans="3:21" s="288" customFormat="1" ht="14.25" customHeight="1">
      <c r="F18" s="532"/>
    </row>
    <row r="19" spans="3:21" s="288" customFormat="1" ht="14.25" customHeight="1">
      <c r="C19" s="330" t="s">
        <v>567</v>
      </c>
      <c r="D19" s="330"/>
      <c r="E19" s="374" t="s">
        <v>568</v>
      </c>
      <c r="F19" s="738"/>
      <c r="G19" s="374" t="s">
        <v>417</v>
      </c>
      <c r="I19" s="374" t="s">
        <v>569</v>
      </c>
      <c r="M19" s="330" t="s">
        <v>567</v>
      </c>
      <c r="N19" s="330"/>
      <c r="O19" s="374" t="s">
        <v>568</v>
      </c>
      <c r="P19" s="330"/>
      <c r="Q19" s="374" t="s">
        <v>417</v>
      </c>
      <c r="S19" s="374" t="s">
        <v>569</v>
      </c>
    </row>
    <row r="20" spans="3:21" s="288" customFormat="1" ht="14.25" customHeight="1">
      <c r="C20" s="288" t="s">
        <v>561</v>
      </c>
      <c r="E20" s="376">
        <f>INDEX(calcLOB1DOOActionTime1,xxIndexTeam)</f>
        <v>0.8</v>
      </c>
      <c r="F20" s="532" t="s">
        <v>752</v>
      </c>
      <c r="G20" s="375">
        <v>0</v>
      </c>
      <c r="H20" s="532" t="s">
        <v>753</v>
      </c>
      <c r="I20" s="376">
        <f>INDEX(calcLOB1DOOPlanTime1,xxIndexTeam)</f>
        <v>0.8</v>
      </c>
      <c r="J20" s="532" t="s">
        <v>754</v>
      </c>
      <c r="M20" s="288" t="s">
        <v>561</v>
      </c>
      <c r="O20" s="376">
        <f>INDEX(calcR2LOB1DOOActionTime1,xxIndexTeam)</f>
        <v>0.74</v>
      </c>
      <c r="P20" s="532" t="s">
        <v>755</v>
      </c>
      <c r="Q20" s="375">
        <v>0</v>
      </c>
      <c r="R20" s="532" t="s">
        <v>756</v>
      </c>
      <c r="S20" s="376">
        <f>INDEX(calcR2LOB1DOOPlanTime1,xxIndexTeam)</f>
        <v>0.74</v>
      </c>
      <c r="T20" s="532" t="s">
        <v>757</v>
      </c>
    </row>
    <row r="21" spans="3:21" s="288" customFormat="1" ht="14.25" customHeight="1">
      <c r="C21" s="288" t="s">
        <v>562</v>
      </c>
      <c r="E21" s="376">
        <f>INDEX(calcLOB1DOOActionTime2,xxIndexTeam)</f>
        <v>0</v>
      </c>
      <c r="F21" s="532" t="s">
        <v>758</v>
      </c>
      <c r="G21" s="375">
        <v>0</v>
      </c>
      <c r="H21" s="532" t="s">
        <v>759</v>
      </c>
      <c r="I21" s="376">
        <f>INDEX(calcLOB1DOOPlanTime2,xxIndexTeam)</f>
        <v>0</v>
      </c>
      <c r="J21" s="532" t="s">
        <v>760</v>
      </c>
      <c r="M21" s="288" t="s">
        <v>562</v>
      </c>
      <c r="O21" s="376">
        <f>INDEX(calcR2LOB1DOOActionTime2,xxIndexTeam)</f>
        <v>0</v>
      </c>
      <c r="P21" s="532" t="s">
        <v>761</v>
      </c>
      <c r="Q21" s="375">
        <v>0</v>
      </c>
      <c r="R21" s="532" t="s">
        <v>762</v>
      </c>
      <c r="S21" s="376">
        <f>INDEX(calcR2LOB1DOOPlanTime2,xxIndexTeam)</f>
        <v>0</v>
      </c>
      <c r="T21" s="532" t="s">
        <v>763</v>
      </c>
    </row>
    <row r="22" spans="3:21" s="288" customFormat="1" ht="14.25" customHeight="1">
      <c r="C22" s="288" t="s">
        <v>563</v>
      </c>
      <c r="E22" s="376">
        <f>INDEX(calcLOB1DOOActionTime3,xxIndexTeam)</f>
        <v>0</v>
      </c>
      <c r="F22" s="532" t="s">
        <v>764</v>
      </c>
      <c r="G22" s="375">
        <v>0</v>
      </c>
      <c r="H22" s="532" t="s">
        <v>765</v>
      </c>
      <c r="I22" s="376">
        <f>INDEX(calcLOB1DOOPlanTime3,xxIndexTeam)</f>
        <v>0</v>
      </c>
      <c r="J22" s="532" t="s">
        <v>766</v>
      </c>
      <c r="M22" s="288" t="s">
        <v>563</v>
      </c>
      <c r="O22" s="376">
        <f>INDEX(calcR2LOB1DOOActionTime3,xxIndexTeam)</f>
        <v>0</v>
      </c>
      <c r="P22" s="532" t="s">
        <v>767</v>
      </c>
      <c r="Q22" s="375">
        <v>0</v>
      </c>
      <c r="R22" s="532" t="s">
        <v>768</v>
      </c>
      <c r="S22" s="376">
        <f>INDEX(calcR2LOB1DOOPlanTime3,xxIndexTeam)</f>
        <v>0</v>
      </c>
      <c r="T22" s="532" t="s">
        <v>769</v>
      </c>
    </row>
    <row r="23" spans="3:21" s="288" customFormat="1" ht="14.25" customHeight="1">
      <c r="C23" s="288" t="s">
        <v>564</v>
      </c>
      <c r="E23" s="376">
        <f>INDEX(calcLOB1DOOActionTime4,xxIndexTeam)</f>
        <v>0</v>
      </c>
      <c r="F23" s="532" t="s">
        <v>770</v>
      </c>
      <c r="G23" s="375">
        <v>0</v>
      </c>
      <c r="H23" s="532" t="s">
        <v>771</v>
      </c>
      <c r="I23" s="376">
        <f>INDEX(calcLOB1DOOPlanTime4,xxIndexTeam)</f>
        <v>0</v>
      </c>
      <c r="J23" s="532" t="s">
        <v>772</v>
      </c>
      <c r="M23" s="288" t="s">
        <v>564</v>
      </c>
      <c r="O23" s="376">
        <f>INDEX(calcR2LOB1DOOActionTime4,xxIndexTeam)</f>
        <v>0</v>
      </c>
      <c r="P23" s="532" t="s">
        <v>773</v>
      </c>
      <c r="Q23" s="375">
        <v>0</v>
      </c>
      <c r="R23" s="532" t="s">
        <v>774</v>
      </c>
      <c r="S23" s="376">
        <f>INDEX(calcR2LOB1DOOPlanTime4,xxIndexTeam)</f>
        <v>0</v>
      </c>
      <c r="T23" s="532" t="s">
        <v>775</v>
      </c>
    </row>
    <row r="24" spans="3:21" s="288" customFormat="1" ht="14.25" customHeight="1">
      <c r="C24" s="288" t="s">
        <v>565</v>
      </c>
      <c r="E24" s="376">
        <f>INDEX(calcLOB1DOOActionTime5,xxIndexTeam)</f>
        <v>0</v>
      </c>
      <c r="F24" s="532" t="s">
        <v>776</v>
      </c>
      <c r="G24" s="375">
        <v>0</v>
      </c>
      <c r="H24" s="532" t="s">
        <v>777</v>
      </c>
      <c r="I24" s="376">
        <f>INDEX(calcLOB1DOOPlanTime5,xxIndexTeam)</f>
        <v>0</v>
      </c>
      <c r="J24" s="532" t="s">
        <v>778</v>
      </c>
      <c r="M24" s="288" t="s">
        <v>565</v>
      </c>
      <c r="O24" s="376">
        <f>INDEX(calcR2LOB1DOOActionTime5,xxIndexTeam)</f>
        <v>0</v>
      </c>
      <c r="P24" s="532" t="s">
        <v>779</v>
      </c>
      <c r="Q24" s="375">
        <v>0</v>
      </c>
      <c r="R24" s="532" t="s">
        <v>780</v>
      </c>
      <c r="S24" s="376">
        <f>INDEX(calcR2LOB1DOOPlanTime5,xxIndexTeam)</f>
        <v>0</v>
      </c>
      <c r="T24" s="532" t="s">
        <v>781</v>
      </c>
    </row>
    <row r="25" spans="3:21" s="288" customFormat="1" ht="14.25" customHeight="1">
      <c r="C25" s="288" t="s">
        <v>566</v>
      </c>
      <c r="E25" s="376">
        <f>INDEX(calcLOB1DOOActionTime6,xxIndexTeam)</f>
        <v>0</v>
      </c>
      <c r="F25" s="532" t="s">
        <v>782</v>
      </c>
      <c r="G25" s="375">
        <v>0</v>
      </c>
      <c r="H25" s="532" t="s">
        <v>783</v>
      </c>
      <c r="I25" s="376">
        <f>INDEX(calcLOB1DOOPlanTime6,xxIndexTeam)</f>
        <v>0</v>
      </c>
      <c r="J25" s="532" t="s">
        <v>784</v>
      </c>
      <c r="M25" s="288" t="s">
        <v>566</v>
      </c>
      <c r="O25" s="376">
        <f>INDEX(calcR2LOB1DOOActionTime6,xxIndexTeam)</f>
        <v>0</v>
      </c>
      <c r="P25" s="532" t="s">
        <v>785</v>
      </c>
      <c r="Q25" s="375">
        <v>0</v>
      </c>
      <c r="R25" s="532" t="s">
        <v>786</v>
      </c>
      <c r="S25" s="376">
        <f>INDEX(calcR2LOB1DOOPlanTime6,xxIndexTeam)</f>
        <v>0</v>
      </c>
      <c r="T25" s="532" t="s">
        <v>787</v>
      </c>
    </row>
    <row r="26" spans="3:21" s="288" customFormat="1" ht="14.25" customHeight="1">
      <c r="C26" s="288" t="s">
        <v>13</v>
      </c>
      <c r="E26" s="376">
        <f>INDEX(calcLOB1DOOTotalActionTime,xxIndexTeam)</f>
        <v>0.8</v>
      </c>
      <c r="F26" s="532" t="s">
        <v>788</v>
      </c>
      <c r="H26" s="532"/>
      <c r="I26" s="376">
        <f>INDEX(calcLOB1DOOTotalPlanTime,xxIndexTeam)</f>
        <v>0.8</v>
      </c>
      <c r="J26" s="532" t="s">
        <v>789</v>
      </c>
      <c r="M26" s="288" t="s">
        <v>13</v>
      </c>
      <c r="O26" s="376">
        <f>INDEX(calcR2LOB1DOOTotalActionTime,xxIndexTeam)</f>
        <v>0.74</v>
      </c>
      <c r="P26" s="532" t="s">
        <v>790</v>
      </c>
      <c r="R26" s="532"/>
      <c r="S26" s="376">
        <f>INDEX(calcR2LOB1DOOTotalPlanTime,xxIndexTeam)</f>
        <v>0.74</v>
      </c>
      <c r="T26" s="532" t="s">
        <v>791</v>
      </c>
    </row>
    <row r="28" spans="3:21" s="288" customFormat="1" ht="14.25" customHeight="1"/>
    <row r="29" spans="3:21" s="30" customFormat="1" ht="15" customHeight="1"/>
    <row r="30" spans="3:21" s="30" customFormat="1" ht="15" customHeight="1"/>
    <row r="31" spans="3:21" ht="22" customHeight="1">
      <c r="L31" s="29" t="s">
        <v>408</v>
      </c>
    </row>
    <row r="32" spans="3:21">
      <c r="C32" s="291" t="s">
        <v>457</v>
      </c>
      <c r="D32" s="291"/>
      <c r="E32" s="288" t="s">
        <v>232</v>
      </c>
      <c r="F32" s="288"/>
      <c r="G32" s="197">
        <v>4</v>
      </c>
      <c r="H32" s="606" t="s">
        <v>4773</v>
      </c>
      <c r="J32" s="288"/>
      <c r="K32" s="288"/>
      <c r="L32" s="288"/>
      <c r="M32" s="288"/>
      <c r="N32" s="288"/>
      <c r="O32" s="288"/>
      <c r="P32" s="288"/>
      <c r="Q32" s="197">
        <v>4</v>
      </c>
      <c r="R32" s="606" t="s">
        <v>4775</v>
      </c>
      <c r="T32" s="288"/>
      <c r="U32" s="288"/>
    </row>
    <row r="33" spans="3:18">
      <c r="G33" s="197">
        <f>G32-SUMIF(E9:E15, "&lt;&gt;0", D9:D15)</f>
        <v>4</v>
      </c>
      <c r="H33" s="197" t="s">
        <v>4774</v>
      </c>
      <c r="L33" s="29" t="s">
        <v>408</v>
      </c>
      <c r="Q33" s="197">
        <f>Q32-SUMIF(O9:O15, "&lt;&gt;0", N9:N15)</f>
        <v>4</v>
      </c>
      <c r="R33" s="197" t="s">
        <v>4776</v>
      </c>
    </row>
    <row r="34" spans="3:18" s="288" customFormat="1" ht="14.25" customHeight="1">
      <c r="C34" s="288" t="s">
        <v>4349</v>
      </c>
      <c r="E34" s="300">
        <v>0</v>
      </c>
      <c r="F34" s="532" t="s">
        <v>5054</v>
      </c>
      <c r="H34" s="532"/>
      <c r="K34" s="634"/>
      <c r="M34" s="542" t="s">
        <v>4349</v>
      </c>
      <c r="N34" s="542"/>
      <c r="O34" s="300">
        <v>0</v>
      </c>
      <c r="P34" s="525" t="s">
        <v>4973</v>
      </c>
    </row>
    <row r="35" spans="3:18">
      <c r="C35" s="331"/>
      <c r="D35" s="331"/>
      <c r="M35" s="331"/>
      <c r="N35" s="331"/>
    </row>
    <row r="36" spans="3:18">
      <c r="C36" s="331"/>
      <c r="D36" s="331"/>
      <c r="G36" s="29" t="s">
        <v>408</v>
      </c>
      <c r="M36" s="331"/>
      <c r="N36" s="331"/>
    </row>
    <row r="37" spans="3:18">
      <c r="C37" s="331"/>
      <c r="D37" s="331"/>
      <c r="M37" s="331"/>
      <c r="N37" s="331"/>
    </row>
    <row r="38" spans="3:18">
      <c r="C38" s="331"/>
      <c r="D38" s="331"/>
      <c r="M38" s="331"/>
      <c r="N38" s="331"/>
    </row>
    <row r="39" spans="3:18">
      <c r="C39" s="331"/>
      <c r="D39" s="331"/>
      <c r="M39" s="331"/>
      <c r="N39" s="331"/>
    </row>
    <row r="40" spans="3:18">
      <c r="C40" s="331"/>
      <c r="D40" s="331"/>
      <c r="M40" s="331"/>
      <c r="N40" s="331"/>
    </row>
    <row r="41" spans="3:18">
      <c r="C41" s="331"/>
      <c r="D41" s="331"/>
      <c r="M41" s="331"/>
      <c r="N41" s="331"/>
    </row>
    <row r="42" spans="3:18">
      <c r="C42" s="331"/>
      <c r="D42" s="331"/>
      <c r="M42" s="331"/>
      <c r="N42" s="331"/>
    </row>
    <row r="43" spans="3:18">
      <c r="C43" s="331"/>
      <c r="D43" s="331"/>
      <c r="M43" s="331"/>
      <c r="N43" s="331"/>
    </row>
    <row r="44" spans="3:18">
      <c r="C44" s="331"/>
      <c r="D44" s="331"/>
      <c r="M44" s="331"/>
      <c r="N44" s="331"/>
    </row>
    <row r="45" spans="3:18">
      <c r="C45" s="331"/>
      <c r="D45" s="331"/>
      <c r="M45" s="331"/>
      <c r="N45" s="331"/>
    </row>
    <row r="46" spans="3:18">
      <c r="C46" s="331"/>
      <c r="D46" s="331"/>
      <c r="M46" s="331"/>
      <c r="N46" s="331"/>
    </row>
    <row r="47" spans="3:18">
      <c r="C47" s="331"/>
      <c r="D47" s="331"/>
      <c r="M47" s="331"/>
      <c r="N47" s="331"/>
    </row>
    <row r="48" spans="3:18">
      <c r="C48" s="331"/>
      <c r="D48" s="331"/>
      <c r="M48" s="331"/>
      <c r="N48" s="331"/>
    </row>
    <row r="49" spans="3:14">
      <c r="C49" s="331"/>
      <c r="D49" s="331"/>
      <c r="M49" s="331"/>
      <c r="N49" s="331"/>
    </row>
    <row r="50" spans="3:14">
      <c r="C50" s="331"/>
      <c r="D50" s="331"/>
      <c r="M50" s="331"/>
      <c r="N50" s="331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7"/>
  </sheetPr>
  <dimension ref="B1:AP45"/>
  <sheetViews>
    <sheetView showGridLines="0" topLeftCell="A7" zoomScaleNormal="100" workbookViewId="0">
      <selection activeCell="I4" sqref="I4"/>
    </sheetView>
  </sheetViews>
  <sheetFormatPr defaultColWidth="9" defaultRowHeight="15"/>
  <cols>
    <col min="1" max="2" width="2.77734375" style="29" customWidth="1"/>
    <col min="3" max="3" width="20.77734375" style="29" customWidth="1"/>
    <col min="4" max="4" width="12.44140625" style="29" customWidth="1"/>
    <col min="5" max="5" width="7.77734375" style="29" customWidth="1"/>
    <col min="6" max="6" width="12.44140625" style="29" customWidth="1"/>
    <col min="7" max="7" width="9" style="29" customWidth="1"/>
    <col min="8" max="8" width="12.44140625" style="29" customWidth="1"/>
    <col min="9" max="9" width="7.77734375" style="29" customWidth="1"/>
    <col min="10" max="10" width="12.44140625" style="29" customWidth="1"/>
    <col min="11" max="11" width="7.77734375" style="29" customWidth="1"/>
    <col min="12" max="12" width="12.44140625" style="29" customWidth="1"/>
    <col min="13" max="13" width="7.77734375" style="29" customWidth="1"/>
    <col min="14" max="14" width="12.44140625" style="29" customWidth="1"/>
    <col min="15" max="15" width="7.77734375" style="29" customWidth="1"/>
    <col min="16" max="16" width="12.44140625" style="29" customWidth="1"/>
    <col min="17" max="17" width="7.77734375" style="29" customWidth="1"/>
    <col min="18" max="18" width="3.77734375" style="29" customWidth="1"/>
    <col min="19" max="19" width="20.77734375" style="29" customWidth="1"/>
    <col min="20" max="20" width="12.44140625" style="29" customWidth="1"/>
    <col min="21" max="21" width="7.77734375" style="29" customWidth="1"/>
    <col min="22" max="22" width="12.44140625" style="29" customWidth="1"/>
    <col min="23" max="23" width="7.77734375" style="29" customWidth="1"/>
    <col min="24" max="24" width="12.44140625" style="29" customWidth="1"/>
    <col min="25" max="25" width="7.77734375" style="29" customWidth="1"/>
    <col min="26" max="26" width="12.44140625" style="29" customWidth="1"/>
    <col min="27" max="27" width="7.77734375" style="29" customWidth="1"/>
    <col min="28" max="28" width="12.44140625" style="29" customWidth="1"/>
    <col min="29" max="29" width="7.77734375" style="29" customWidth="1"/>
    <col min="30" max="30" width="12.44140625" style="29" customWidth="1"/>
    <col min="31" max="31" width="7.77734375" style="29" customWidth="1"/>
    <col min="32" max="32" width="12.44140625" style="29" customWidth="1"/>
    <col min="33" max="33" width="7.77734375" style="29" customWidth="1"/>
    <col min="34" max="34" width="10" style="29" customWidth="1"/>
    <col min="35" max="35" width="3.77734375" style="29" customWidth="1"/>
    <col min="36" max="40" width="10" style="29" customWidth="1"/>
    <col min="41" max="16384" width="9" style="29"/>
  </cols>
  <sheetData>
    <row r="1" spans="2:42" s="31" customFormat="1" ht="6" customHeight="1">
      <c r="C1" s="285"/>
      <c r="S1" s="285"/>
    </row>
    <row r="2" spans="2:42" s="31" customFormat="1" ht="26.25" customHeight="1">
      <c r="C2" s="286" t="str">
        <f>xxProgramName</f>
        <v>Care Center Simulation Experience</v>
      </c>
      <c r="S2" s="286" t="str">
        <f>xxProgramName</f>
        <v>Care Center Simulation Experience</v>
      </c>
    </row>
    <row r="3" spans="2:42" s="31" customFormat="1" ht="15" customHeight="1">
      <c r="B3" s="347"/>
      <c r="C3" s="349" t="s">
        <v>473</v>
      </c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5"/>
      <c r="S3" s="350" t="s">
        <v>474</v>
      </c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286"/>
      <c r="AP3" s="286"/>
    </row>
    <row r="4" spans="2:42" s="32" customFormat="1" ht="15.75" customHeight="1">
      <c r="C4" s="359" t="s">
        <v>8217</v>
      </c>
      <c r="D4" s="359" t="s">
        <v>8214</v>
      </c>
      <c r="E4" s="522">
        <f>tlOutputDBRevGrowth_R1</f>
        <v>8.7486130057792266E-3</v>
      </c>
      <c r="F4" s="523" t="s">
        <v>487</v>
      </c>
      <c r="G4" s="742">
        <f>tlOutputDBNIFO_R1</f>
        <v>2038635.0538766291</v>
      </c>
      <c r="H4" s="523" t="s">
        <v>488</v>
      </c>
      <c r="I4" s="522">
        <f>tlOutputDBStars_R1</f>
        <v>0.72786859688195993</v>
      </c>
      <c r="J4" s="359" t="s">
        <v>8215</v>
      </c>
      <c r="K4" s="521">
        <f>tlOutputDBESAT_R1</f>
        <v>0.7</v>
      </c>
      <c r="L4" s="359" t="s">
        <v>8216</v>
      </c>
      <c r="M4" s="521">
        <f>tlOutputDBCSAT_R1</f>
        <v>0.76669554565701548</v>
      </c>
      <c r="O4" s="358"/>
      <c r="Q4" s="358"/>
      <c r="S4" s="359" t="s">
        <v>8217</v>
      </c>
      <c r="T4" s="359" t="s">
        <v>8214</v>
      </c>
      <c r="U4" s="522">
        <f>tlOutputDBRevGrowth_R2</f>
        <v>2.6423246492234265E-2</v>
      </c>
      <c r="V4" s="523" t="s">
        <v>487</v>
      </c>
      <c r="W4" s="742">
        <f>tlOutputDBNIFO_R2</f>
        <v>2424318.0780725498</v>
      </c>
      <c r="X4" s="523" t="s">
        <v>488</v>
      </c>
      <c r="Y4" s="522">
        <f>tlOutputDBStars_R2</f>
        <v>0.7181057129963645</v>
      </c>
      <c r="Z4" s="359" t="s">
        <v>8215</v>
      </c>
      <c r="AA4" s="521">
        <f>tlOutputDBESAT_R2</f>
        <v>0.68023703712147898</v>
      </c>
      <c r="AB4" s="359" t="s">
        <v>8216</v>
      </c>
      <c r="AC4" s="521">
        <f>tlOutputDBCSAT_R2</f>
        <v>0.75776133110113975</v>
      </c>
      <c r="AE4" s="358"/>
      <c r="AG4" s="358"/>
    </row>
    <row r="5" spans="2:42" s="32" customFormat="1" ht="15.75" customHeight="1">
      <c r="C5" s="359" t="s">
        <v>8218</v>
      </c>
      <c r="D5" s="359" t="s">
        <v>8214</v>
      </c>
      <c r="E5" s="522">
        <f>tlOutputDBLOB1RevGrowth_R1</f>
        <v>-2.8501956139906914E-3</v>
      </c>
      <c r="F5" s="523" t="s">
        <v>487</v>
      </c>
      <c r="G5" s="742">
        <f>tlOutputDBLOB1NIFO_R1</f>
        <v>1136322.8864500001</v>
      </c>
      <c r="H5" s="523" t="s">
        <v>488</v>
      </c>
      <c r="I5" s="522">
        <f>tlOutputDBLOB1Stars_R1</f>
        <v>0.78900000000000003</v>
      </c>
      <c r="J5" s="359" t="s">
        <v>8215</v>
      </c>
      <c r="K5" s="521">
        <f>tlOutputDBLOB1ESAT_R1</f>
        <v>0.75</v>
      </c>
      <c r="L5" s="359" t="s">
        <v>8216</v>
      </c>
      <c r="M5" s="521">
        <f>tlOutputDBLOB1CSAT_R1</f>
        <v>0.8599</v>
      </c>
      <c r="O5" s="358"/>
      <c r="Q5" s="358"/>
      <c r="S5" s="359" t="s">
        <v>8218</v>
      </c>
      <c r="T5" s="359" t="s">
        <v>8214</v>
      </c>
      <c r="U5" s="522">
        <f>tlOutputDBLOB1RevGrowth_R2</f>
        <v>1.6075389387199435E-2</v>
      </c>
      <c r="V5" s="523" t="s">
        <v>487</v>
      </c>
      <c r="W5" s="742">
        <f>tlOutputDBLOB1NIFO_R2</f>
        <v>1737859.8357225806</v>
      </c>
      <c r="X5" s="523" t="s">
        <v>488</v>
      </c>
      <c r="Y5" s="522">
        <f>tlOutputDBLOB1Stars_R2</f>
        <v>0.77497922131414743</v>
      </c>
      <c r="Z5" s="359" t="s">
        <v>8215</v>
      </c>
      <c r="AA5" s="521">
        <f>tlOutputDBLOB1ESAT_R2</f>
        <v>0.71494805328536837</v>
      </c>
      <c r="AB5" s="359" t="s">
        <v>8216</v>
      </c>
      <c r="AC5" s="521">
        <f>tlOutputDBLOB1CSAT_R2</f>
        <v>0.84798233811702528</v>
      </c>
      <c r="AE5" s="358"/>
      <c r="AG5" s="358"/>
    </row>
    <row r="6" spans="2:42" s="288" customFormat="1" ht="9" customHeight="1"/>
    <row r="7" spans="2:42" s="288" customFormat="1" ht="14.25" customHeight="1">
      <c r="C7" s="290" t="str">
        <f>nmLOB1&amp;" - Forecast"</f>
        <v>Riverside - Forecast</v>
      </c>
      <c r="D7" s="289"/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90" t="str">
        <f>nmLOB1&amp;" - Forecast"</f>
        <v>Riverside - Forecast</v>
      </c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</row>
    <row r="8" spans="2:42" s="288" customFormat="1" ht="8.25" customHeight="1" thickBot="1"/>
    <row r="9" spans="2:42" s="288" customFormat="1" ht="14.25" customHeight="1" thickBot="1">
      <c r="C9" s="355"/>
      <c r="D9" s="828" t="s">
        <v>529</v>
      </c>
      <c r="E9" s="829"/>
      <c r="F9" s="829"/>
      <c r="G9" s="829"/>
      <c r="H9" s="830"/>
      <c r="I9" s="362"/>
      <c r="J9" s="828" t="s">
        <v>530</v>
      </c>
      <c r="K9" s="829"/>
      <c r="L9" s="829"/>
      <c r="M9" s="829"/>
      <c r="N9" s="830"/>
      <c r="S9" s="355"/>
      <c r="T9" s="828" t="s">
        <v>529</v>
      </c>
      <c r="U9" s="829"/>
      <c r="V9" s="829"/>
      <c r="W9" s="829"/>
      <c r="X9" s="830"/>
      <c r="Y9" s="362"/>
      <c r="Z9" s="828" t="s">
        <v>530</v>
      </c>
      <c r="AA9" s="829"/>
      <c r="AB9" s="829"/>
      <c r="AC9" s="829"/>
      <c r="AD9" s="830"/>
    </row>
    <row r="10" spans="2:42" s="288" customFormat="1" ht="14.25" customHeight="1" thickTop="1" thickBot="1">
      <c r="C10" s="363" t="s">
        <v>531</v>
      </c>
      <c r="D10" s="357" t="s">
        <v>4922</v>
      </c>
      <c r="E10" s="532" t="s">
        <v>792</v>
      </c>
      <c r="F10" s="357" t="s">
        <v>5034</v>
      </c>
      <c r="G10" s="532" t="s">
        <v>793</v>
      </c>
      <c r="H10" s="357" t="s">
        <v>5035</v>
      </c>
      <c r="I10" s="532" t="s">
        <v>794</v>
      </c>
      <c r="J10" s="356" t="s">
        <v>532</v>
      </c>
      <c r="K10" s="297"/>
      <c r="L10" s="360" t="s">
        <v>533</v>
      </c>
      <c r="M10" s="297"/>
      <c r="N10" s="356" t="s">
        <v>251</v>
      </c>
      <c r="O10" s="297"/>
      <c r="P10" s="356" t="s">
        <v>4907</v>
      </c>
      <c r="Q10" s="297"/>
      <c r="S10" s="363" t="s">
        <v>531</v>
      </c>
      <c r="T10" s="357" t="s">
        <v>4922</v>
      </c>
      <c r="U10" s="532" t="s">
        <v>795</v>
      </c>
      <c r="V10" s="357" t="s">
        <v>5034</v>
      </c>
      <c r="W10" s="532" t="s">
        <v>796</v>
      </c>
      <c r="X10" s="357" t="s">
        <v>5035</v>
      </c>
      <c r="Y10" s="532" t="s">
        <v>797</v>
      </c>
      <c r="Z10" s="356" t="s">
        <v>532</v>
      </c>
      <c r="AA10" s="297"/>
      <c r="AB10" s="360" t="s">
        <v>533</v>
      </c>
      <c r="AC10" s="297"/>
      <c r="AD10" s="356" t="s">
        <v>251</v>
      </c>
      <c r="AE10" s="297"/>
      <c r="AF10" s="356" t="s">
        <v>4907</v>
      </c>
      <c r="AG10" s="297"/>
    </row>
    <row r="11" spans="2:42" s="288" customFormat="1" ht="14.25" customHeight="1" thickBot="1">
      <c r="C11" s="364" t="s">
        <v>534</v>
      </c>
      <c r="D11" s="466">
        <f>INDEX(calcLOB1Prod1Seg1RunRateM3,xxIndexTeam)</f>
        <v>129</v>
      </c>
      <c r="E11" s="532" t="s">
        <v>808</v>
      </c>
      <c r="F11" s="466">
        <f>INDEX(calcLOB1Prod1Seg1RunRateM2,xxIndexTeam)</f>
        <v>124</v>
      </c>
      <c r="G11" s="532" t="s">
        <v>809</v>
      </c>
      <c r="H11" s="466">
        <f>INDEX(calcLOB1Prod1Seg1RunRateM1,xxIndexTeam)</f>
        <v>126</v>
      </c>
      <c r="I11" s="532" t="s">
        <v>810</v>
      </c>
      <c r="J11" s="466">
        <f>INDEX(calcLOB1Prod1Seg1RunRateMM,xxIndexTeam)</f>
        <v>121</v>
      </c>
      <c r="K11" s="532" t="s">
        <v>811</v>
      </c>
      <c r="L11" s="361">
        <v>121</v>
      </c>
      <c r="M11" s="532" t="s">
        <v>812</v>
      </c>
      <c r="N11" s="466">
        <f>INDEX(calcLOB1Prod1Seg1Patients,xxIndexTeam)/INDEX(paramTimeConversion,xxIndexTeam)</f>
        <v>121</v>
      </c>
      <c r="O11" s="532" t="s">
        <v>813</v>
      </c>
      <c r="P11" s="466">
        <f>INDEX(calcLOB1Prod1Seg1BudgetMM,xxIndexTeam)</f>
        <v>127</v>
      </c>
      <c r="Q11" s="532" t="s">
        <v>5020</v>
      </c>
      <c r="S11" s="364" t="s">
        <v>534</v>
      </c>
      <c r="T11" s="466">
        <f>INDEX(calcR2LOB1Prod1Seg1RunRateM3,xxIndexTeam)</f>
        <v>131</v>
      </c>
      <c r="U11" s="532" t="s">
        <v>814</v>
      </c>
      <c r="V11" s="466">
        <f>INDEX(calcR2LOB1Prod1Seg1RunRateM2,xxIndexTeam)</f>
        <v>126</v>
      </c>
      <c r="W11" s="532" t="s">
        <v>815</v>
      </c>
      <c r="X11" s="466">
        <f>INDEX(calcR2LOB1Prod1Seg1RunRateM1,xxIndexTeam)</f>
        <v>128</v>
      </c>
      <c r="Y11" s="532" t="s">
        <v>816</v>
      </c>
      <c r="Z11" s="466">
        <f>INDEX(calcR2LOB1Prod1Seg1RunRateMM,xxIndexTeam)</f>
        <v>123</v>
      </c>
      <c r="AA11" s="532" t="s">
        <v>817</v>
      </c>
      <c r="AB11" s="361">
        <v>123</v>
      </c>
      <c r="AC11" s="532" t="s">
        <v>818</v>
      </c>
      <c r="AD11" s="466">
        <f>INDEX(calcR2LOB1Prod1Seg1Patients,xxIndexTeam)/INDEX(paramTimeConversion,xxIndexTeam)</f>
        <v>123</v>
      </c>
      <c r="AE11" s="532" t="s">
        <v>819</v>
      </c>
      <c r="AF11" s="466">
        <f>INDEX(calcR2LOB1Prod1Seg1BudgetMM,xxIndexTeam)</f>
        <v>129</v>
      </c>
      <c r="AG11" s="532" t="s">
        <v>5027</v>
      </c>
    </row>
    <row r="12" spans="2:42" s="288" customFormat="1" ht="14.25" customHeight="1" thickBot="1">
      <c r="C12" s="365" t="s">
        <v>535</v>
      </c>
      <c r="D12" s="467">
        <f>INDEX(calcLOB1Prod1Seg2RunRateM3,xxIndexTeam)</f>
        <v>20</v>
      </c>
      <c r="E12" s="532" t="s">
        <v>820</v>
      </c>
      <c r="F12" s="467">
        <f>INDEX(calcLOB1Prod1Seg2RunRateM2,xxIndexTeam)</f>
        <v>19</v>
      </c>
      <c r="G12" s="532" t="s">
        <v>821</v>
      </c>
      <c r="H12" s="467">
        <f>INDEX(calcLOB1Prod1Seg2RunRateM1,xxIndexTeam)</f>
        <v>11</v>
      </c>
      <c r="I12" s="532" t="s">
        <v>822</v>
      </c>
      <c r="J12" s="467">
        <f>INDEX(calcLOB1Prod1Seg2RunRateMM,xxIndexTeam)</f>
        <v>21</v>
      </c>
      <c r="K12" s="532" t="s">
        <v>823</v>
      </c>
      <c r="L12" s="361">
        <v>21</v>
      </c>
      <c r="M12" s="532" t="s">
        <v>824</v>
      </c>
      <c r="N12" s="467">
        <f>INDEX(calcLOB1Prod1Seg2Patients,xxIndexTeam)/INDEX(paramTimeConversion,xxIndexTeam)</f>
        <v>21</v>
      </c>
      <c r="O12" s="532" t="s">
        <v>825</v>
      </c>
      <c r="P12" s="467">
        <f>INDEX(calcLOB1Prod1Seg2BudgetMM,xxIndexTeam)</f>
        <v>22</v>
      </c>
      <c r="Q12" s="532" t="s">
        <v>5021</v>
      </c>
      <c r="S12" s="365" t="s">
        <v>535</v>
      </c>
      <c r="T12" s="467">
        <f>INDEX(calcR2LOB1Prod1Seg2RunRateM3,xxIndexTeam)</f>
        <v>21</v>
      </c>
      <c r="U12" s="532" t="s">
        <v>826</v>
      </c>
      <c r="V12" s="467">
        <f>INDEX(calcR2LOB1Prod1Seg2RunRateM2,xxIndexTeam)</f>
        <v>19</v>
      </c>
      <c r="W12" s="532" t="s">
        <v>827</v>
      </c>
      <c r="X12" s="467">
        <f>INDEX(calcR2LOB1Prod1Seg2RunRateM1,xxIndexTeam)</f>
        <v>11</v>
      </c>
      <c r="Y12" s="532" t="s">
        <v>828</v>
      </c>
      <c r="Z12" s="467">
        <f>INDEX(calcR2LOB1Prod1Seg2RunRateMM,xxIndexTeam)</f>
        <v>21</v>
      </c>
      <c r="AA12" s="532" t="s">
        <v>829</v>
      </c>
      <c r="AB12" s="361">
        <v>21</v>
      </c>
      <c r="AC12" s="532" t="s">
        <v>830</v>
      </c>
      <c r="AD12" s="467">
        <f>INDEX(calcR2LOB1Prod1Seg2Patients,xxIndexTeam)/INDEX(paramTimeConversion,xxIndexTeam)</f>
        <v>21</v>
      </c>
      <c r="AE12" s="532" t="s">
        <v>831</v>
      </c>
      <c r="AF12" s="467">
        <f>INDEX(calcR2LOB1Prod1Seg2BudgetMM,xxIndexTeam)</f>
        <v>22</v>
      </c>
      <c r="AG12" s="532" t="s">
        <v>5028</v>
      </c>
    </row>
    <row r="13" spans="2:42" s="288" customFormat="1" ht="14.25" customHeight="1" thickBot="1">
      <c r="C13" s="364" t="s">
        <v>536</v>
      </c>
      <c r="D13" s="466">
        <f>INDEX(calcLOB1Prod1Seg3RunRateM3,xxIndexTeam)</f>
        <v>83</v>
      </c>
      <c r="E13" s="532" t="s">
        <v>832</v>
      </c>
      <c r="F13" s="466">
        <f>INDEX(calcLOB1Prod1Seg3RunRateM2,xxIndexTeam)</f>
        <v>50</v>
      </c>
      <c r="G13" s="532" t="s">
        <v>833</v>
      </c>
      <c r="H13" s="466">
        <f>INDEX(calcLOB1Prod1Seg3RunRateM1,xxIndexTeam)</f>
        <v>83</v>
      </c>
      <c r="I13" s="532" t="s">
        <v>834</v>
      </c>
      <c r="J13" s="466">
        <f>INDEX(calcLOB1Prod1Seg3RunRateMM,xxIndexTeam)</f>
        <v>67</v>
      </c>
      <c r="K13" s="532" t="s">
        <v>835</v>
      </c>
      <c r="L13" s="361">
        <v>67</v>
      </c>
      <c r="M13" s="532" t="s">
        <v>836</v>
      </c>
      <c r="N13" s="466">
        <f>INDEX(calcLOB1Prod1Seg3Patients,xxIndexTeam)/INDEX(paramTimeConversion,xxIndexTeam)</f>
        <v>67</v>
      </c>
      <c r="O13" s="532" t="s">
        <v>837</v>
      </c>
      <c r="P13" s="466">
        <f>INDEX(calcLOB1Prod1Seg3BudgetMM,xxIndexTeam)</f>
        <v>70</v>
      </c>
      <c r="Q13" s="532" t="s">
        <v>5022</v>
      </c>
      <c r="S13" s="364" t="s">
        <v>536</v>
      </c>
      <c r="T13" s="466">
        <f>INDEX(calcR2LOB1Prod1Seg3RunRateM3,xxIndexTeam)</f>
        <v>85</v>
      </c>
      <c r="U13" s="532" t="s">
        <v>838</v>
      </c>
      <c r="V13" s="466">
        <f>INDEX(calcR2LOB1Prod1Seg3RunRateM2,xxIndexTeam)</f>
        <v>51</v>
      </c>
      <c r="W13" s="532" t="s">
        <v>839</v>
      </c>
      <c r="X13" s="466">
        <f>INDEX(calcR2LOB1Prod1Seg3RunRateM1,xxIndexTeam)</f>
        <v>85</v>
      </c>
      <c r="Y13" s="532" t="s">
        <v>840</v>
      </c>
      <c r="Z13" s="466">
        <f>INDEX(calcR2LOB1Prod1Seg3RunRateMM,xxIndexTeam)</f>
        <v>68</v>
      </c>
      <c r="AA13" s="532" t="s">
        <v>841</v>
      </c>
      <c r="AB13" s="361">
        <v>68</v>
      </c>
      <c r="AC13" s="532" t="s">
        <v>842</v>
      </c>
      <c r="AD13" s="466">
        <f>INDEX(calcR2LOB1Prod1Seg3Patients,xxIndexTeam)/INDEX(paramTimeConversion,xxIndexTeam)</f>
        <v>68</v>
      </c>
      <c r="AE13" s="532" t="s">
        <v>843</v>
      </c>
      <c r="AF13" s="466">
        <f>INDEX(calcR2LOB1Prod1Seg3BudgetMM,xxIndexTeam)</f>
        <v>71</v>
      </c>
      <c r="AG13" s="532" t="s">
        <v>5029</v>
      </c>
    </row>
    <row r="14" spans="2:42" s="288" customFormat="1" ht="14.25" customHeight="1" thickBot="1">
      <c r="C14" s="365" t="s">
        <v>537</v>
      </c>
      <c r="D14" s="467">
        <f>INDEX(calcLOB1Prod2Seg1RunRateM3,xxIndexTeam)</f>
        <v>27</v>
      </c>
      <c r="E14" s="532" t="s">
        <v>844</v>
      </c>
      <c r="F14" s="467">
        <f>INDEX(calcLOB1Prod2Seg1RunRateM2,xxIndexTeam)</f>
        <v>31</v>
      </c>
      <c r="G14" s="532" t="s">
        <v>845</v>
      </c>
      <c r="H14" s="467">
        <f>INDEX(calcLOB1Prod2Seg1RunRateM1,xxIndexTeam)</f>
        <v>37</v>
      </c>
      <c r="I14" s="532" t="s">
        <v>846</v>
      </c>
      <c r="J14" s="467">
        <f>INDEX(calcLOB1Prod2Seg1RunRateMM,xxIndexTeam)</f>
        <v>30</v>
      </c>
      <c r="K14" s="532" t="s">
        <v>847</v>
      </c>
      <c r="L14" s="361">
        <v>30</v>
      </c>
      <c r="M14" s="532" t="s">
        <v>848</v>
      </c>
      <c r="N14" s="467">
        <f>INDEX(calcLOB1Prod2Seg1Patients,xxIndexTeam)/INDEX(paramTimeConversion,xxIndexTeam)</f>
        <v>30</v>
      </c>
      <c r="O14" s="532" t="s">
        <v>849</v>
      </c>
      <c r="P14" s="467">
        <f>INDEX(calcLOB1Prod2Seg1BudgetMM,xxIndexTeam)</f>
        <v>32</v>
      </c>
      <c r="Q14" s="532" t="s">
        <v>5023</v>
      </c>
      <c r="S14" s="365" t="s">
        <v>537</v>
      </c>
      <c r="T14" s="467">
        <f>INDEX(calcR2LOB1Prod2Seg1RunRateM3,xxIndexTeam)</f>
        <v>27</v>
      </c>
      <c r="U14" s="532" t="s">
        <v>850</v>
      </c>
      <c r="V14" s="467">
        <f>INDEX(calcR2LOB1Prod2Seg1RunRateM2,xxIndexTeam)</f>
        <v>31</v>
      </c>
      <c r="W14" s="532" t="s">
        <v>851</v>
      </c>
      <c r="X14" s="467">
        <f>INDEX(calcR2LOB1Prod2Seg1RunRateM1,xxIndexTeam)</f>
        <v>37</v>
      </c>
      <c r="Y14" s="532" t="s">
        <v>852</v>
      </c>
      <c r="Z14" s="467">
        <f>INDEX(calcR2LOB1Prod2Seg1RunRateMM,xxIndexTeam)</f>
        <v>31</v>
      </c>
      <c r="AA14" s="532" t="s">
        <v>853</v>
      </c>
      <c r="AB14" s="361">
        <v>31</v>
      </c>
      <c r="AC14" s="532" t="s">
        <v>854</v>
      </c>
      <c r="AD14" s="467">
        <f>INDEX(calcR2LOB1Prod2Seg1Patients,xxIndexTeam)/INDEX(paramTimeConversion,xxIndexTeam)</f>
        <v>31</v>
      </c>
      <c r="AE14" s="532" t="s">
        <v>855</v>
      </c>
      <c r="AF14" s="467">
        <f>INDEX(calcR2LOB1Prod2Seg1BudgetMM,xxIndexTeam)</f>
        <v>32</v>
      </c>
      <c r="AG14" s="532" t="s">
        <v>5030</v>
      </c>
    </row>
    <row r="15" spans="2:42" s="288" customFormat="1" ht="14.25" customHeight="1" thickBot="1">
      <c r="C15" s="364" t="s">
        <v>538</v>
      </c>
      <c r="D15" s="466">
        <f>INDEX(calcLOB1Prod2Seg2RunRateM3,xxIndexTeam)</f>
        <v>4</v>
      </c>
      <c r="E15" s="532" t="s">
        <v>856</v>
      </c>
      <c r="F15" s="466">
        <f>INDEX(calcLOB1Prod2Seg2RunRateM2,xxIndexTeam)</f>
        <v>1</v>
      </c>
      <c r="G15" s="532" t="s">
        <v>857</v>
      </c>
      <c r="H15" s="466">
        <f>INDEX(calcLOB1Prod2Seg2RunRateM1,xxIndexTeam)</f>
        <v>5</v>
      </c>
      <c r="I15" s="532" t="s">
        <v>858</v>
      </c>
      <c r="J15" s="466">
        <f>INDEX(calcLOB1Prod2Seg2RunRateMM,xxIndexTeam)</f>
        <v>5</v>
      </c>
      <c r="K15" s="532" t="s">
        <v>859</v>
      </c>
      <c r="L15" s="361">
        <v>5</v>
      </c>
      <c r="M15" s="532" t="s">
        <v>860</v>
      </c>
      <c r="N15" s="466">
        <f>INDEX(calcLOB1Prod2Seg2Patients,xxIndexTeam)/INDEX(paramTimeConversion,xxIndexTeam)</f>
        <v>5</v>
      </c>
      <c r="O15" s="532" t="s">
        <v>861</v>
      </c>
      <c r="P15" s="466">
        <f>INDEX(calcLOB1Prod2Seg2BudgetMM,xxIndexTeam)</f>
        <v>6</v>
      </c>
      <c r="Q15" s="532" t="s">
        <v>5024</v>
      </c>
      <c r="S15" s="364" t="s">
        <v>538</v>
      </c>
      <c r="T15" s="466">
        <f>INDEX(calcR2LOB1Prod2Seg2RunRateM3,xxIndexTeam)</f>
        <v>4</v>
      </c>
      <c r="U15" s="532" t="s">
        <v>862</v>
      </c>
      <c r="V15" s="466">
        <f>INDEX(calcR2LOB1Prod2Seg2RunRateM2,xxIndexTeam)</f>
        <v>1</v>
      </c>
      <c r="W15" s="532" t="s">
        <v>863</v>
      </c>
      <c r="X15" s="466">
        <f>INDEX(calcR2LOB1Prod2Seg2RunRateM1,xxIndexTeam)</f>
        <v>5</v>
      </c>
      <c r="Y15" s="532" t="s">
        <v>864</v>
      </c>
      <c r="Z15" s="466">
        <f>INDEX(calcR2LOB1Prod2Seg2RunRateMM,xxIndexTeam)</f>
        <v>5</v>
      </c>
      <c r="AA15" s="532" t="s">
        <v>865</v>
      </c>
      <c r="AB15" s="361">
        <v>5</v>
      </c>
      <c r="AC15" s="532" t="s">
        <v>866</v>
      </c>
      <c r="AD15" s="466">
        <f>INDEX(calcR2LOB1Prod2Seg2Patients,xxIndexTeam)/INDEX(paramTimeConversion,xxIndexTeam)</f>
        <v>5</v>
      </c>
      <c r="AE15" s="532" t="s">
        <v>867</v>
      </c>
      <c r="AF15" s="466">
        <f>INDEX(calcR2LOB1Prod2Seg2BudgetMM,xxIndexTeam)</f>
        <v>6</v>
      </c>
      <c r="AG15" s="532" t="s">
        <v>5031</v>
      </c>
    </row>
    <row r="16" spans="2:42" s="288" customFormat="1" ht="14.25" customHeight="1" thickBot="1">
      <c r="C16" s="366" t="s">
        <v>539</v>
      </c>
      <c r="D16" s="468">
        <f>INDEX(calcLOB1Prod2Seg3RunRateM3,xxIndexTeam)</f>
        <v>15</v>
      </c>
      <c r="E16" s="532" t="s">
        <v>868</v>
      </c>
      <c r="F16" s="468">
        <f>INDEX(calcLOB1Prod2Seg3RunRateM2,xxIndexTeam)</f>
        <v>13</v>
      </c>
      <c r="G16" s="532" t="s">
        <v>869</v>
      </c>
      <c r="H16" s="468">
        <f>INDEX(calcLOB1Prod2Seg3RunRateM1,xxIndexTeam)</f>
        <v>15</v>
      </c>
      <c r="I16" s="532" t="s">
        <v>870</v>
      </c>
      <c r="J16" s="468">
        <f>INDEX(calcLOB1Prod2Seg3RunRateMM,xxIndexTeam)</f>
        <v>17</v>
      </c>
      <c r="K16" s="532" t="s">
        <v>871</v>
      </c>
      <c r="L16" s="361">
        <v>17</v>
      </c>
      <c r="M16" s="532" t="s">
        <v>872</v>
      </c>
      <c r="N16" s="468">
        <f>INDEX(calcLOB1Prod2Seg3Patients,xxIndexTeam)/INDEX(paramTimeConversion,xxIndexTeam)</f>
        <v>17</v>
      </c>
      <c r="O16" s="532" t="s">
        <v>873</v>
      </c>
      <c r="P16" s="468">
        <f>INDEX(calcLOB1Prod2Seg3BudgetMM,xxIndexTeam)</f>
        <v>18</v>
      </c>
      <c r="Q16" s="532" t="s">
        <v>5025</v>
      </c>
      <c r="S16" s="366" t="s">
        <v>539</v>
      </c>
      <c r="T16" s="468">
        <f>INDEX(calcR2LOB1Prod2Seg3RunRateM3,xxIndexTeam)</f>
        <v>15</v>
      </c>
      <c r="U16" s="532" t="s">
        <v>874</v>
      </c>
      <c r="V16" s="468">
        <f>INDEX(calcR2LOB1Prod2Seg3RunRateM2,xxIndexTeam)</f>
        <v>13</v>
      </c>
      <c r="W16" s="532" t="s">
        <v>875</v>
      </c>
      <c r="X16" s="468">
        <f>INDEX(calcR2LOB1Prod2Seg3RunRateM1,xxIndexTeam)</f>
        <v>15</v>
      </c>
      <c r="Y16" s="532" t="s">
        <v>876</v>
      </c>
      <c r="Z16" s="468">
        <f>INDEX(calcR2LOB1Prod2Seg3RunRateMM,xxIndexTeam)</f>
        <v>17</v>
      </c>
      <c r="AA16" s="532" t="s">
        <v>877</v>
      </c>
      <c r="AB16" s="361">
        <v>17</v>
      </c>
      <c r="AC16" s="532" t="s">
        <v>878</v>
      </c>
      <c r="AD16" s="468">
        <f>INDEX(calcR2LOB1Prod2Seg3Patients,xxIndexTeam)/INDEX(paramTimeConversion,xxIndexTeam)</f>
        <v>17</v>
      </c>
      <c r="AE16" s="532" t="s">
        <v>879</v>
      </c>
      <c r="AF16" s="468">
        <f>INDEX(calcR2LOB1Prod2Seg3BudgetMM,xxIndexTeam)</f>
        <v>18</v>
      </c>
      <c r="AG16" s="532" t="s">
        <v>5032</v>
      </c>
    </row>
    <row r="17" spans="3:33" s="288" customFormat="1" ht="14.25" customHeight="1" thickTop="1" thickBot="1">
      <c r="C17" s="367" t="s">
        <v>13</v>
      </c>
      <c r="D17" s="469">
        <f>INDEX(calcLOB1RunRateM3,xxIndexTeam)</f>
        <v>278</v>
      </c>
      <c r="E17" s="532" t="s">
        <v>798</v>
      </c>
      <c r="F17" s="469">
        <f>INDEX(calcLOB1RunRateM2,xxIndexTeam)</f>
        <v>238</v>
      </c>
      <c r="G17" s="532" t="s">
        <v>799</v>
      </c>
      <c r="H17" s="469">
        <f>INDEX(calcLOB1RunRateM1,xxIndexTeam)</f>
        <v>277</v>
      </c>
      <c r="I17" s="532" t="s">
        <v>800</v>
      </c>
      <c r="J17" s="469">
        <f>INDEX(calcLOB1RunRate,xxIndexTeam)/INDEX(paramTimeConversion,xxIndexTeam)</f>
        <v>261.5</v>
      </c>
      <c r="K17" s="532" t="s">
        <v>801</v>
      </c>
      <c r="L17" s="469">
        <f>INDEX(calcLOB1Patients,xxIndexTeam)/INDEX(paramTimeConversion,xxIndexTeam)</f>
        <v>261</v>
      </c>
      <c r="M17" s="532" t="s">
        <v>4333</v>
      </c>
      <c r="N17" s="469">
        <f>INDEX(calcLOB1Patients,xxIndexTeam)/INDEX(paramTimeConversion,xxIndexTeam)</f>
        <v>261</v>
      </c>
      <c r="O17" s="532" t="s">
        <v>802</v>
      </c>
      <c r="P17" s="469">
        <f>INDEX(calcLOB1Budget,xxIndexTeam)/INDEX(paramTimeConversion,xxIndexTeam)</f>
        <v>273.16666666666669</v>
      </c>
      <c r="Q17" s="532" t="s">
        <v>5026</v>
      </c>
      <c r="S17" s="367" t="s">
        <v>13</v>
      </c>
      <c r="T17" s="469">
        <f>INDEX(calcR2LOB1RunRateM3,xxIndexTeam)</f>
        <v>283</v>
      </c>
      <c r="U17" s="532" t="s">
        <v>803</v>
      </c>
      <c r="V17" s="469">
        <f>INDEX(calcR2LOB1RunRateM2,xxIndexTeam)</f>
        <v>241</v>
      </c>
      <c r="W17" s="532" t="s">
        <v>804</v>
      </c>
      <c r="X17" s="469">
        <f>INDEX(calcR2LOB1RunRateM1,xxIndexTeam)</f>
        <v>281</v>
      </c>
      <c r="Y17" s="532" t="s">
        <v>805</v>
      </c>
      <c r="Z17" s="469">
        <f>INDEX(calcR2LOB1RunRate,xxIndexTeam)/INDEX(paramTimeConversion,xxIndexTeam)</f>
        <v>265.66666666666669</v>
      </c>
      <c r="AA17" s="532" t="s">
        <v>806</v>
      </c>
      <c r="AB17" s="469">
        <f>INDEX(calcR2LOB1Patients,xxIndexTeam)/INDEX(paramTimeConversion,xxIndexTeam)</f>
        <v>265</v>
      </c>
      <c r="AC17" s="532" t="s">
        <v>4334</v>
      </c>
      <c r="AD17" s="469">
        <f>INDEX(calcR2LOB1Patients,xxIndexTeam)/INDEX(paramTimeConversion,xxIndexTeam)</f>
        <v>265</v>
      </c>
      <c r="AE17" s="532" t="s">
        <v>807</v>
      </c>
      <c r="AF17" s="469">
        <f>INDEX(calcR2LOB1Budget,xxIndexTeam)/INDEX(paramTimeConversion,xxIndexTeam)</f>
        <v>277.5</v>
      </c>
      <c r="AG17" s="532" t="s">
        <v>5033</v>
      </c>
    </row>
    <row r="18" spans="3:33" s="288" customFormat="1" ht="14.25" customHeight="1"/>
    <row r="19" spans="3:33" s="288" customFormat="1" ht="14.25" customHeight="1">
      <c r="C19" s="332" t="s">
        <v>4906</v>
      </c>
      <c r="D19" s="630" t="s">
        <v>4907</v>
      </c>
      <c r="F19" s="288" t="s">
        <v>251</v>
      </c>
      <c r="J19" s="288" t="s">
        <v>4705</v>
      </c>
      <c r="Z19" s="288" t="s">
        <v>4705</v>
      </c>
    </row>
    <row r="20" spans="3:33" s="288" customFormat="1" ht="14.25" customHeight="1">
      <c r="C20" s="332"/>
      <c r="D20" s="631"/>
      <c r="J20" s="340" t="str">
        <f>nmEmp1</f>
        <v>Skilled Nursing</v>
      </c>
      <c r="L20" s="488">
        <f>1-INDEX(caclLOB1Emp1Utilization,1)</f>
        <v>-0.12595755214253779</v>
      </c>
      <c r="M20" s="532" t="s">
        <v>4761</v>
      </c>
      <c r="Z20" s="340" t="str">
        <f>nmEmp1</f>
        <v>Skilled Nursing</v>
      </c>
      <c r="AB20" s="488">
        <f>1-INDEX(calcR2LOB1Emp1Utilization,1)</f>
        <v>-0.30552855678251811</v>
      </c>
      <c r="AC20" s="532" t="s">
        <v>4762</v>
      </c>
    </row>
    <row r="21" spans="3:33" s="288" customFormat="1" ht="14.25" customHeight="1">
      <c r="C21" s="332"/>
      <c r="D21" s="631"/>
      <c r="J21" s="340" t="str">
        <f>nmEmp2</f>
        <v>Occupational Therapy</v>
      </c>
      <c r="L21" s="488">
        <f>1-INDEX(caclLOB1Emp2Utilization,1)</f>
        <v>-0.14833286138097668</v>
      </c>
      <c r="M21" s="532" t="s">
        <v>4763</v>
      </c>
      <c r="Z21" s="340" t="str">
        <f>nmEmp2</f>
        <v>Occupational Therapy</v>
      </c>
      <c r="AB21" s="488">
        <f>1-INDEX(calcR2LOB1Emp2Utilization,1)</f>
        <v>-0.34151936698138696</v>
      </c>
      <c r="AC21" s="532" t="s">
        <v>4764</v>
      </c>
    </row>
    <row r="22" spans="3:33" s="288" customFormat="1" ht="14.25" customHeight="1">
      <c r="C22" s="332"/>
      <c r="D22" s="631"/>
      <c r="J22" s="340" t="str">
        <f>nmEmp3</f>
        <v>Physical Therapy</v>
      </c>
      <c r="L22" s="488">
        <f>1-INDEX(caclLOB1Emp3Utilization,1)</f>
        <v>-0.15269748550721718</v>
      </c>
      <c r="M22" s="532" t="s">
        <v>4765</v>
      </c>
      <c r="Z22" s="340" t="str">
        <f>nmEmp3</f>
        <v>Physical Therapy</v>
      </c>
      <c r="AB22" s="488">
        <f>1-INDEX(calcR2LOB1Emp3Utilization,1)</f>
        <v>-0.34254958870981644</v>
      </c>
      <c r="AC22" s="532" t="s">
        <v>4766</v>
      </c>
    </row>
    <row r="23" spans="3:33">
      <c r="C23" s="332"/>
      <c r="D23" s="631"/>
    </row>
    <row r="24" spans="3:33">
      <c r="C24" s="332"/>
      <c r="D24" s="631"/>
    </row>
    <row r="25" spans="3:33">
      <c r="C25" s="332"/>
      <c r="D25" s="631"/>
    </row>
    <row r="26" spans="3:33">
      <c r="C26" s="332"/>
      <c r="D26" s="631"/>
    </row>
    <row r="27" spans="3:33" s="288" customFormat="1" ht="14.25" customHeight="1">
      <c r="C27" s="332"/>
      <c r="D27" s="631"/>
      <c r="E27" s="297"/>
    </row>
    <row r="28" spans="3:33" s="288" customFormat="1" ht="14.25" customHeight="1">
      <c r="C28" s="332"/>
      <c r="D28" s="631"/>
      <c r="E28" s="297"/>
    </row>
    <row r="29" spans="3:33" s="288" customFormat="1" ht="14.25" customHeight="1">
      <c r="C29" s="332"/>
      <c r="D29" s="632"/>
      <c r="E29" s="297"/>
    </row>
    <row r="30" spans="3:33" s="542" customFormat="1" ht="14.25" customHeight="1">
      <c r="C30" s="332"/>
      <c r="D30" s="632"/>
      <c r="E30" s="525"/>
    </row>
    <row r="31" spans="3:33" s="542" customFormat="1" ht="14.25" customHeight="1">
      <c r="C31" s="332"/>
      <c r="D31" s="632"/>
      <c r="E31" s="525"/>
    </row>
    <row r="32" spans="3:33" s="30" customFormat="1" ht="15" customHeight="1">
      <c r="H32" s="541"/>
      <c r="J32" s="541"/>
      <c r="L32" s="548"/>
      <c r="N32" s="548"/>
      <c r="P32" s="548"/>
      <c r="AF32" s="548"/>
    </row>
    <row r="33" spans="3:33" s="30" customFormat="1" ht="15" customHeight="1">
      <c r="H33" s="541"/>
      <c r="J33" s="541"/>
      <c r="L33" s="547"/>
      <c r="N33" s="547"/>
      <c r="P33" s="547"/>
      <c r="AF33" s="547"/>
    </row>
    <row r="34" spans="3:33" s="288" customFormat="1" ht="14.25" customHeight="1">
      <c r="C34" s="288" t="s">
        <v>4350</v>
      </c>
      <c r="D34" s="300">
        <v>0</v>
      </c>
      <c r="E34" s="297" t="s">
        <v>5055</v>
      </c>
      <c r="S34" s="288" t="s">
        <v>4350</v>
      </c>
      <c r="T34" s="300">
        <v>0</v>
      </c>
      <c r="U34" s="297" t="s">
        <v>4975</v>
      </c>
    </row>
    <row r="35" spans="3:33" ht="22" customHeight="1">
      <c r="H35" s="542"/>
      <c r="J35" s="331"/>
      <c r="L35" s="545"/>
      <c r="N35" s="545"/>
      <c r="P35" s="545"/>
      <c r="R35" s="29" t="s">
        <v>408</v>
      </c>
      <c r="AF35" s="545"/>
    </row>
    <row r="36" spans="3:33">
      <c r="C36" s="291" t="s">
        <v>457</v>
      </c>
      <c r="D36" s="288" t="s">
        <v>232</v>
      </c>
      <c r="E36" s="288"/>
      <c r="G36" s="288"/>
      <c r="H36" s="542"/>
      <c r="I36" s="288"/>
      <c r="J36" s="288"/>
      <c r="K36" s="288"/>
      <c r="L36" s="543"/>
      <c r="M36" s="582"/>
      <c r="N36" s="543"/>
      <c r="O36" s="288"/>
      <c r="P36" s="543"/>
      <c r="Q36" s="288"/>
      <c r="R36" s="29" t="s">
        <v>408</v>
      </c>
      <c r="U36" s="288"/>
      <c r="W36" s="288"/>
      <c r="Y36" s="288"/>
      <c r="AA36" s="288"/>
      <c r="AC36" s="288"/>
      <c r="AE36" s="288"/>
      <c r="AF36" s="543"/>
      <c r="AG36" s="288"/>
    </row>
    <row r="37" spans="3:33" ht="15.5" thickBot="1">
      <c r="H37" s="542"/>
      <c r="J37" s="331"/>
      <c r="L37" s="288" t="s">
        <v>8501</v>
      </c>
      <c r="N37" s="543"/>
      <c r="P37" s="543"/>
      <c r="R37" s="29" t="s">
        <v>408</v>
      </c>
      <c r="Z37" s="29" t="s">
        <v>408</v>
      </c>
      <c r="AB37" s="288" t="s">
        <v>8501</v>
      </c>
      <c r="AF37" s="543"/>
    </row>
    <row r="38" spans="3:33" ht="15.5" thickBot="1">
      <c r="C38" s="364" t="s">
        <v>534</v>
      </c>
      <c r="H38" s="542"/>
      <c r="J38" s="331"/>
      <c r="L38" s="288">
        <v>160</v>
      </c>
      <c r="M38" s="532" t="s">
        <v>8502</v>
      </c>
      <c r="N38" s="543"/>
      <c r="P38" s="543"/>
      <c r="S38" s="364" t="s">
        <v>534</v>
      </c>
      <c r="AB38" s="288">
        <v>180</v>
      </c>
      <c r="AC38" s="532" t="s">
        <v>8508</v>
      </c>
      <c r="AF38" s="543"/>
    </row>
    <row r="39" spans="3:33" ht="15.5" thickBot="1">
      <c r="C39" s="365" t="s">
        <v>535</v>
      </c>
      <c r="L39" s="288">
        <v>30</v>
      </c>
      <c r="M39" s="532" t="s">
        <v>8503</v>
      </c>
      <c r="S39" s="365" t="s">
        <v>535</v>
      </c>
      <c r="AB39" s="288">
        <v>35</v>
      </c>
      <c r="AC39" s="532" t="s">
        <v>8509</v>
      </c>
    </row>
    <row r="40" spans="3:33" ht="15.5" thickBot="1">
      <c r="C40" s="364" t="s">
        <v>536</v>
      </c>
      <c r="F40" s="574"/>
      <c r="G40" s="574"/>
      <c r="H40" s="574"/>
      <c r="J40" s="354"/>
      <c r="K40" s="354"/>
      <c r="L40" s="288">
        <v>90</v>
      </c>
      <c r="M40" s="532" t="s">
        <v>8504</v>
      </c>
      <c r="S40" s="364" t="s">
        <v>536</v>
      </c>
      <c r="AB40" s="288">
        <v>105</v>
      </c>
      <c r="AC40" s="532" t="s">
        <v>8510</v>
      </c>
    </row>
    <row r="41" spans="3:33" ht="15.5" thickBot="1">
      <c r="C41" s="365" t="s">
        <v>537</v>
      </c>
      <c r="F41" s="574"/>
      <c r="G41" s="574"/>
      <c r="H41" s="574"/>
      <c r="J41" s="354"/>
      <c r="K41" s="354"/>
      <c r="L41" s="288">
        <v>40</v>
      </c>
      <c r="M41" s="532" t="s">
        <v>8505</v>
      </c>
      <c r="S41" s="365" t="s">
        <v>537</v>
      </c>
      <c r="AB41" s="288">
        <v>50</v>
      </c>
      <c r="AC41" s="532" t="s">
        <v>8511</v>
      </c>
    </row>
    <row r="42" spans="3:33" ht="15.5" thickBot="1">
      <c r="C42" s="364" t="s">
        <v>538</v>
      </c>
      <c r="F42" s="574"/>
      <c r="G42" s="574"/>
      <c r="H42" s="574"/>
      <c r="J42" s="354"/>
      <c r="K42" s="354"/>
      <c r="L42" s="288">
        <v>10</v>
      </c>
      <c r="M42" s="532" t="s">
        <v>8506</v>
      </c>
      <c r="S42" s="364" t="s">
        <v>538</v>
      </c>
      <c r="AB42" s="288">
        <v>15</v>
      </c>
      <c r="AC42" s="532" t="s">
        <v>8512</v>
      </c>
    </row>
    <row r="43" spans="3:33" ht="15.5" thickBot="1">
      <c r="C43" s="366" t="s">
        <v>539</v>
      </c>
      <c r="F43" s="574"/>
      <c r="G43" s="574"/>
      <c r="H43" s="574"/>
      <c r="J43" s="354"/>
      <c r="K43" s="354"/>
      <c r="L43" s="288">
        <v>25</v>
      </c>
      <c r="M43" s="532" t="s">
        <v>8507</v>
      </c>
      <c r="S43" s="366" t="s">
        <v>539</v>
      </c>
      <c r="AB43" s="288">
        <v>35</v>
      </c>
      <c r="AC43" s="532" t="s">
        <v>8513</v>
      </c>
    </row>
    <row r="44" spans="3:33" ht="15.5" thickTop="1">
      <c r="F44" s="574"/>
      <c r="G44" s="574"/>
      <c r="H44" s="574"/>
      <c r="J44" s="354"/>
      <c r="K44" s="354"/>
      <c r="L44" s="354"/>
    </row>
    <row r="45" spans="3:33">
      <c r="F45" s="574"/>
      <c r="G45" s="574"/>
      <c r="H45" s="574"/>
    </row>
  </sheetData>
  <sheetProtection selectLockedCells="1"/>
  <mergeCells count="4">
    <mergeCell ref="D9:H9"/>
    <mergeCell ref="J9:N9"/>
    <mergeCell ref="T9:X9"/>
    <mergeCell ref="Z9:AD9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7"/>
  </sheetPr>
  <dimension ref="B1:BG56"/>
  <sheetViews>
    <sheetView showGridLines="0" zoomScaleNormal="100" workbookViewId="0">
      <selection activeCell="AW26" sqref="AW26"/>
    </sheetView>
  </sheetViews>
  <sheetFormatPr defaultColWidth="9" defaultRowHeight="15"/>
  <cols>
    <col min="1" max="2" width="2.77734375" style="29" customWidth="1"/>
    <col min="3" max="3" width="7.6640625" style="29" customWidth="1"/>
    <col min="4" max="4" width="2.77734375" style="29" customWidth="1"/>
    <col min="5" max="5" width="7.6640625" style="29" customWidth="1"/>
    <col min="6" max="6" width="7.77734375" style="29" customWidth="1"/>
    <col min="7" max="7" width="12.77734375" style="29" customWidth="1"/>
    <col min="8" max="8" width="4.109375" style="29" customWidth="1"/>
    <col min="9" max="9" width="12.77734375" style="29" customWidth="1"/>
    <col min="10" max="10" width="4.109375" style="29" customWidth="1"/>
    <col min="11" max="11" width="17.109375" style="29" customWidth="1"/>
    <col min="12" max="12" width="4.109375" style="29" customWidth="1"/>
    <col min="13" max="13" width="12.109375" style="29" customWidth="1"/>
    <col min="14" max="14" width="4.109375" style="29" customWidth="1"/>
    <col min="15" max="15" width="10.77734375" style="29" customWidth="1"/>
    <col min="16" max="16" width="4.109375" style="29" customWidth="1"/>
    <col min="17" max="17" width="12.33203125" style="29" customWidth="1"/>
    <col min="18" max="18" width="4.109375" style="29" customWidth="1"/>
    <col min="19" max="19" width="10.77734375" style="29" customWidth="1"/>
    <col min="20" max="20" width="4.109375" style="29" customWidth="1"/>
    <col min="21" max="21" width="10.77734375" style="29" customWidth="1"/>
    <col min="22" max="22" width="4.109375" style="29" customWidth="1"/>
    <col min="23" max="23" width="10.77734375" style="29" customWidth="1"/>
    <col min="24" max="24" width="4.109375" style="29" customWidth="1"/>
    <col min="25" max="25" width="10.77734375" style="29" customWidth="1"/>
    <col min="26" max="26" width="4.109375" style="29" customWidth="1"/>
    <col min="27" max="27" width="10.77734375" style="29" customWidth="1"/>
    <col min="28" max="28" width="4.109375" style="29" customWidth="1"/>
    <col min="29" max="29" width="10.77734375" style="29" customWidth="1"/>
    <col min="30" max="30" width="2.77734375" style="29" customWidth="1"/>
    <col min="31" max="31" width="3.77734375" style="29" customWidth="1"/>
    <col min="32" max="32" width="7.6640625" style="29" customWidth="1"/>
    <col min="33" max="33" width="2.77734375" style="29" customWidth="1"/>
    <col min="34" max="34" width="7.6640625" style="29" customWidth="1"/>
    <col min="35" max="35" width="11.109375" style="29" customWidth="1"/>
    <col min="36" max="36" width="12.77734375" style="29" customWidth="1"/>
    <col min="37" max="37" width="4.109375" style="29" customWidth="1"/>
    <col min="38" max="38" width="12.77734375" style="29" customWidth="1"/>
    <col min="39" max="39" width="4.109375" style="29" customWidth="1"/>
    <col min="40" max="40" width="14.77734375" style="29" customWidth="1"/>
    <col min="41" max="41" width="4.109375" style="29" customWidth="1"/>
    <col min="42" max="42" width="10.77734375" style="29" customWidth="1"/>
    <col min="43" max="43" width="4.109375" style="29" customWidth="1"/>
    <col min="44" max="44" width="10.77734375" style="29" customWidth="1"/>
    <col min="45" max="45" width="4.109375" style="29" customWidth="1"/>
    <col min="46" max="46" width="10.77734375" style="29" customWidth="1"/>
    <col min="47" max="47" width="4.109375" style="29" customWidth="1"/>
    <col min="48" max="48" width="10.77734375" style="29" customWidth="1"/>
    <col min="49" max="49" width="4.109375" style="29" customWidth="1"/>
    <col min="50" max="50" width="10.77734375" style="29" customWidth="1"/>
    <col min="51" max="51" width="4.109375" style="29" customWidth="1"/>
    <col min="52" max="52" width="10.77734375" style="29" customWidth="1"/>
    <col min="53" max="53" width="4.109375" style="29" customWidth="1"/>
    <col min="54" max="54" width="10.77734375" style="29" customWidth="1"/>
    <col min="55" max="55" width="4.109375" style="29" customWidth="1"/>
    <col min="56" max="56" width="10.77734375" style="29" customWidth="1"/>
    <col min="57" max="57" width="4.109375" style="29" customWidth="1"/>
    <col min="58" max="58" width="10.77734375" style="29" customWidth="1"/>
    <col min="59" max="59" width="4.109375" style="29" customWidth="1"/>
    <col min="60" max="16384" width="9" style="29"/>
  </cols>
  <sheetData>
    <row r="1" spans="2:59" s="31" customFormat="1" ht="6" customHeight="1">
      <c r="G1" s="285"/>
      <c r="H1" s="285"/>
      <c r="AJ1" s="285"/>
      <c r="AK1" s="285"/>
    </row>
    <row r="2" spans="2:59" s="31" customFormat="1" ht="26.25" customHeight="1">
      <c r="C2" s="286" t="str">
        <f>xxProgramName</f>
        <v>Care Center Simulation Experience</v>
      </c>
      <c r="E2" s="286"/>
      <c r="H2" s="286"/>
      <c r="AF2" s="286" t="str">
        <f>xxProgramName</f>
        <v>Care Center Simulation Experience</v>
      </c>
      <c r="AH2" s="286"/>
      <c r="AK2" s="286"/>
    </row>
    <row r="3" spans="2:59" s="31" customFormat="1" ht="15" customHeight="1">
      <c r="B3" s="347"/>
      <c r="C3" s="349" t="s">
        <v>473</v>
      </c>
      <c r="D3" s="347"/>
      <c r="E3" s="349"/>
      <c r="F3" s="348"/>
      <c r="G3" s="347"/>
      <c r="H3" s="347"/>
      <c r="I3" s="348"/>
      <c r="J3" s="348"/>
      <c r="K3" s="348"/>
      <c r="L3" s="348"/>
      <c r="M3" s="348"/>
      <c r="N3" s="348"/>
      <c r="O3" s="373"/>
      <c r="P3" s="348"/>
      <c r="Q3" s="348"/>
      <c r="R3" s="348"/>
      <c r="S3" s="348"/>
      <c r="T3" s="348"/>
      <c r="U3" s="348"/>
      <c r="V3" s="348"/>
      <c r="W3" s="348"/>
      <c r="X3" s="348"/>
      <c r="Y3" s="348"/>
      <c r="Z3" s="348"/>
      <c r="AA3" s="348"/>
      <c r="AB3" s="348"/>
      <c r="AC3" s="348"/>
      <c r="AD3" s="347"/>
      <c r="AE3" s="373"/>
      <c r="AF3" s="373" t="s">
        <v>474</v>
      </c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</row>
    <row r="4" spans="2:59" s="32" customFormat="1" ht="15.75" customHeight="1">
      <c r="C4" s="359" t="s">
        <v>527</v>
      </c>
      <c r="D4" s="359"/>
      <c r="E4" s="359"/>
      <c r="F4" s="358"/>
      <c r="G4" s="359" t="s">
        <v>8214</v>
      </c>
      <c r="H4" s="522"/>
      <c r="I4" s="522">
        <f>tlOutputDBRevGrowth_R1</f>
        <v>8.7486130057792266E-3</v>
      </c>
      <c r="J4" s="523"/>
      <c r="K4" s="523" t="s">
        <v>487</v>
      </c>
      <c r="L4" s="742"/>
      <c r="M4" s="742">
        <f>tlOutputDBNIFO_R1</f>
        <v>2038635.0538766291</v>
      </c>
      <c r="N4" s="523"/>
      <c r="O4" s="523" t="s">
        <v>488</v>
      </c>
      <c r="P4" s="522"/>
      <c r="Q4" s="522">
        <f>tlOutputDBStars_R1</f>
        <v>0.72786859688195993</v>
      </c>
      <c r="R4" s="359"/>
      <c r="S4" s="359" t="s">
        <v>8215</v>
      </c>
      <c r="T4" s="521"/>
      <c r="U4" s="521">
        <f>tlOutputDBESAT_R1</f>
        <v>0.7</v>
      </c>
      <c r="V4" s="359"/>
      <c r="W4" s="359" t="s">
        <v>8216</v>
      </c>
      <c r="X4" s="521"/>
      <c r="Y4" s="521">
        <f>tlOutputDBCSAT_R1</f>
        <v>0.76669554565701548</v>
      </c>
      <c r="Z4" s="358"/>
      <c r="AB4" s="358"/>
      <c r="AF4" s="359" t="s">
        <v>527</v>
      </c>
      <c r="AG4" s="359"/>
      <c r="AH4" s="359"/>
      <c r="AI4" s="358"/>
      <c r="AJ4" s="359" t="s">
        <v>8214</v>
      </c>
      <c r="AK4" s="522"/>
      <c r="AL4" s="522">
        <f>tlOutputDBRevGrowth_R2</f>
        <v>2.6423246492234265E-2</v>
      </c>
      <c r="AM4" s="523"/>
      <c r="AN4" s="523" t="s">
        <v>487</v>
      </c>
      <c r="AO4" s="742"/>
      <c r="AP4" s="742">
        <f>tlOutputDBNIFO_R2</f>
        <v>2424318.0780725498</v>
      </c>
      <c r="AQ4" s="523"/>
      <c r="AR4" s="523" t="s">
        <v>488</v>
      </c>
      <c r="AS4" s="522"/>
      <c r="AT4" s="522">
        <f>tlOutputDBStars_R2</f>
        <v>0.7181057129963645</v>
      </c>
      <c r="AU4" s="359"/>
      <c r="AV4" s="359" t="s">
        <v>8215</v>
      </c>
      <c r="AW4" s="521"/>
      <c r="AX4" s="521">
        <f>tlOutputDBESAT_R2</f>
        <v>0.68023703712147898</v>
      </c>
      <c r="AY4" s="359"/>
      <c r="AZ4" s="359" t="s">
        <v>8216</v>
      </c>
      <c r="BA4" s="521"/>
      <c r="BB4" s="521">
        <f>tlOutputDBCSAT_R2</f>
        <v>0.75776133110113975</v>
      </c>
      <c r="BC4" s="358"/>
      <c r="BE4" s="358"/>
      <c r="BG4" s="358"/>
    </row>
    <row r="5" spans="2:59" s="32" customFormat="1" ht="15.75" customHeight="1">
      <c r="C5" s="359" t="s">
        <v>528</v>
      </c>
      <c r="D5" s="359"/>
      <c r="E5" s="359"/>
      <c r="F5" s="358"/>
      <c r="G5" s="359" t="s">
        <v>8214</v>
      </c>
      <c r="H5" s="522"/>
      <c r="I5" s="522">
        <f>tlOutputDBLOB1RevGrowth_R1</f>
        <v>-2.8501956139906914E-3</v>
      </c>
      <c r="J5" s="523"/>
      <c r="K5" s="523" t="s">
        <v>487</v>
      </c>
      <c r="L5" s="742"/>
      <c r="M5" s="742">
        <f>tlOutputDBLOB1NIFO_R1</f>
        <v>1136322.8864500001</v>
      </c>
      <c r="N5" s="523"/>
      <c r="O5" s="523" t="s">
        <v>488</v>
      </c>
      <c r="P5" s="522"/>
      <c r="Q5" s="522">
        <f>tlOutputDBLOB1Stars_R1</f>
        <v>0.78900000000000003</v>
      </c>
      <c r="R5" s="359"/>
      <c r="S5" s="359" t="s">
        <v>8215</v>
      </c>
      <c r="T5" s="521"/>
      <c r="U5" s="521">
        <f>tlOutputDBLOB1ESAT_R1</f>
        <v>0.75</v>
      </c>
      <c r="V5" s="359"/>
      <c r="W5" s="359" t="s">
        <v>8216</v>
      </c>
      <c r="X5" s="521"/>
      <c r="Y5" s="521">
        <f>tlOutputDBLOB1CSAT_R1</f>
        <v>0.8599</v>
      </c>
      <c r="Z5" s="358"/>
      <c r="AB5" s="358"/>
      <c r="AF5" s="359" t="s">
        <v>528</v>
      </c>
      <c r="AG5" s="359"/>
      <c r="AH5" s="359"/>
      <c r="AI5" s="358"/>
      <c r="AJ5" s="359" t="s">
        <v>8214</v>
      </c>
      <c r="AK5" s="522"/>
      <c r="AL5" s="522">
        <f>tlOutputDBLOB1RevGrowth_R2</f>
        <v>1.6075389387199435E-2</v>
      </c>
      <c r="AM5" s="523"/>
      <c r="AN5" s="523" t="s">
        <v>487</v>
      </c>
      <c r="AO5" s="742"/>
      <c r="AP5" s="742">
        <f>tlOutputDBLOB1NIFO_R2</f>
        <v>1737859.8357225806</v>
      </c>
      <c r="AQ5" s="523"/>
      <c r="AR5" s="523" t="s">
        <v>488</v>
      </c>
      <c r="AS5" s="522"/>
      <c r="AT5" s="522">
        <f>tlOutputDBLOB1Stars_R2</f>
        <v>0.77497922131414743</v>
      </c>
      <c r="AU5" s="359"/>
      <c r="AV5" s="359" t="s">
        <v>8215</v>
      </c>
      <c r="AW5" s="521"/>
      <c r="AX5" s="521">
        <f>tlOutputDBLOB1ESAT_R2</f>
        <v>0.71494805328536837</v>
      </c>
      <c r="AY5" s="359"/>
      <c r="AZ5" s="359" t="s">
        <v>8216</v>
      </c>
      <c r="BA5" s="521"/>
      <c r="BB5" s="521">
        <f>tlOutputDBLOB1CSAT_R2</f>
        <v>0.84798233811702528</v>
      </c>
      <c r="BC5" s="358"/>
      <c r="BE5" s="358"/>
      <c r="BG5" s="358"/>
    </row>
    <row r="6" spans="2:59" s="288" customFormat="1" ht="9" customHeight="1"/>
    <row r="7" spans="2:59" s="288" customFormat="1" ht="14.25" customHeight="1">
      <c r="C7" s="290" t="str">
        <f>nmLOB1&amp;" - Staffing"</f>
        <v>Riverside - Staffing</v>
      </c>
      <c r="D7" s="290"/>
      <c r="E7" s="289"/>
      <c r="F7" s="289"/>
      <c r="G7" s="290"/>
      <c r="H7" s="290"/>
      <c r="I7" s="290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 t="s">
        <v>4923</v>
      </c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90" t="str">
        <f>nmLOB1&amp;" - Staffing"</f>
        <v>Riverside - Staffing</v>
      </c>
      <c r="AG7" s="290"/>
      <c r="AH7" s="289"/>
      <c r="AI7" s="289"/>
      <c r="AJ7" s="290"/>
      <c r="AK7" s="290"/>
      <c r="AL7" s="290"/>
      <c r="AM7" s="289"/>
      <c r="AN7" s="289"/>
      <c r="AO7" s="289"/>
      <c r="AP7" s="289"/>
      <c r="AQ7" s="289"/>
      <c r="AR7" s="289"/>
      <c r="AS7" s="289"/>
      <c r="AT7" s="289"/>
      <c r="AU7" s="289"/>
      <c r="AV7" s="289"/>
      <c r="AW7" s="289"/>
      <c r="AX7" s="289"/>
      <c r="AY7" s="289"/>
      <c r="AZ7" s="289"/>
      <c r="BA7" s="289"/>
      <c r="BB7" s="289"/>
      <c r="BC7" s="289"/>
      <c r="BD7" s="289"/>
      <c r="BE7" s="289"/>
      <c r="BF7" s="289"/>
      <c r="BG7" s="289"/>
    </row>
    <row r="8" spans="2:59" s="288" customFormat="1" ht="8.25" customHeight="1" thickBot="1"/>
    <row r="9" spans="2:59" s="288" customFormat="1" ht="33" customHeight="1" thickBot="1">
      <c r="C9" s="288" t="s">
        <v>3834</v>
      </c>
      <c r="E9" s="288" t="s">
        <v>3835</v>
      </c>
      <c r="G9" s="371" t="s">
        <v>540</v>
      </c>
      <c r="H9" s="297"/>
      <c r="I9" s="371" t="s">
        <v>541</v>
      </c>
      <c r="J9" s="297"/>
      <c r="K9" s="371" t="s">
        <v>542</v>
      </c>
      <c r="L9" s="297"/>
      <c r="M9" s="371" t="s">
        <v>543</v>
      </c>
      <c r="N9" s="297"/>
      <c r="O9" s="371" t="s">
        <v>544</v>
      </c>
      <c r="P9" s="297"/>
      <c r="Q9" s="371" t="s">
        <v>3399</v>
      </c>
      <c r="R9" s="297"/>
      <c r="S9" s="371" t="s">
        <v>545</v>
      </c>
      <c r="T9" s="297"/>
      <c r="U9" s="371" t="s">
        <v>546</v>
      </c>
      <c r="V9" s="297"/>
      <c r="W9" s="371" t="s">
        <v>547</v>
      </c>
      <c r="X9" s="297"/>
      <c r="Y9" s="371" t="s">
        <v>548</v>
      </c>
      <c r="Z9" s="297"/>
      <c r="AA9" s="371" t="s">
        <v>549</v>
      </c>
      <c r="AC9" s="371" t="s">
        <v>557</v>
      </c>
      <c r="AJ9" s="371" t="s">
        <v>540</v>
      </c>
      <c r="AK9" s="297"/>
      <c r="AL9" s="371" t="s">
        <v>541</v>
      </c>
      <c r="AM9" s="297"/>
      <c r="AN9" s="371" t="s">
        <v>542</v>
      </c>
      <c r="AO9" s="297"/>
      <c r="AP9" s="371" t="s">
        <v>543</v>
      </c>
      <c r="AQ9" s="297"/>
      <c r="AR9" s="371" t="s">
        <v>544</v>
      </c>
      <c r="AS9" s="297"/>
      <c r="AT9" s="371" t="s">
        <v>545</v>
      </c>
      <c r="AU9" s="297"/>
      <c r="AV9" s="371" t="s">
        <v>545</v>
      </c>
      <c r="AW9" s="297"/>
      <c r="AX9" s="371" t="s">
        <v>546</v>
      </c>
      <c r="AY9" s="297"/>
      <c r="AZ9" s="371" t="s">
        <v>547</v>
      </c>
      <c r="BA9" s="297"/>
      <c r="BB9" s="371" t="s">
        <v>548</v>
      </c>
      <c r="BC9" s="297"/>
      <c r="BD9" s="371" t="s">
        <v>549</v>
      </c>
      <c r="BF9" s="371" t="s">
        <v>557</v>
      </c>
    </row>
    <row r="10" spans="2:59" s="288" customFormat="1" ht="14.25" customHeight="1" thickTop="1" thickBot="1">
      <c r="C10" s="372">
        <v>0</v>
      </c>
      <c r="D10" s="532" t="s">
        <v>880</v>
      </c>
      <c r="E10" s="717" t="s">
        <v>7901</v>
      </c>
      <c r="F10" s="532" t="s">
        <v>3104</v>
      </c>
      <c r="G10" s="368" t="str">
        <f>INDEX(cbalLOB1DiscClinician1,xxIndexTeam)</f>
        <v>RN</v>
      </c>
      <c r="H10" s="532" t="s">
        <v>881</v>
      </c>
      <c r="I10" s="368" t="str">
        <f>INDEX(cbalLOB1EmpStatClinician1,xxIndexTeam)</f>
        <v>Full-Time</v>
      </c>
      <c r="J10" s="532" t="s">
        <v>882</v>
      </c>
      <c r="K10" s="368" t="str">
        <f>INDEX(cbalLOB1NameClinician1,xxIndexTeam)</f>
        <v>Tiana Teachout  </v>
      </c>
      <c r="L10" s="532" t="s">
        <v>883</v>
      </c>
      <c r="M10" s="368" t="s">
        <v>552</v>
      </c>
      <c r="N10" s="532" t="s">
        <v>884</v>
      </c>
      <c r="O10" s="470">
        <f>INDEX(calcLOB1Clinician1BaseProd,xxIndexTeam)</f>
        <v>27</v>
      </c>
      <c r="P10" s="532" t="s">
        <v>885</v>
      </c>
      <c r="Q10" s="470">
        <f>INDEX(calcLOB1Clinician1AllocatedProd,xxIndexTeam)</f>
        <v>27.131340330715716</v>
      </c>
      <c r="R10" s="532" t="s">
        <v>4925</v>
      </c>
      <c r="S10" s="526">
        <v>0</v>
      </c>
      <c r="T10" s="532" t="s">
        <v>3375</v>
      </c>
      <c r="U10" s="470">
        <f>INDEX(calcLOB1Clinician1GrossProd,xxIndexTeam)</f>
        <v>27</v>
      </c>
      <c r="V10" s="532" t="s">
        <v>886</v>
      </c>
      <c r="W10" s="472">
        <f>INDEX(calcLOB1Clinician1MissVisits,xxIndexTeam)</f>
        <v>4.05</v>
      </c>
      <c r="X10" s="532" t="s">
        <v>887</v>
      </c>
      <c r="Y10" s="470">
        <f>INDEX(cbalLOB1MileageClinician1,xxIndexTeam)</f>
        <v>175.5</v>
      </c>
      <c r="Z10" s="532" t="s">
        <v>888</v>
      </c>
      <c r="AA10" s="368">
        <f>INDEX(cbalLOB1AdminTimeClinician1,xxIndexTeam)</f>
        <v>3</v>
      </c>
      <c r="AB10" s="532" t="s">
        <v>889</v>
      </c>
      <c r="AC10" s="470">
        <f>INDEX(calcLOB1Clinician1OverTime,xxIndexTeam)</f>
        <v>0</v>
      </c>
      <c r="AD10" s="532" t="s">
        <v>890</v>
      </c>
      <c r="AF10" s="372">
        <v>0</v>
      </c>
      <c r="AG10" s="532" t="s">
        <v>891</v>
      </c>
      <c r="AH10" s="717" t="s">
        <v>7901</v>
      </c>
      <c r="AI10" s="532" t="s">
        <v>3114</v>
      </c>
      <c r="AJ10" s="368" t="str">
        <f>INDEX(cbalR2LOB1DiscClinician1,xxIndexTeam)</f>
        <v>RN</v>
      </c>
      <c r="AK10" s="532" t="s">
        <v>892</v>
      </c>
      <c r="AL10" s="368" t="str">
        <f>INDEX(cbalR2LOB1EmpStatClinician1,xxIndexTeam)</f>
        <v>Full-Time</v>
      </c>
      <c r="AM10" s="532" t="s">
        <v>893</v>
      </c>
      <c r="AN10" s="368" t="str">
        <f>INDEX(cbalR2LOB1NameClinician1,xxIndexTeam)</f>
        <v>Tiana Teachout  </v>
      </c>
      <c r="AO10" s="532" t="s">
        <v>894</v>
      </c>
      <c r="AP10" s="368" t="s">
        <v>552</v>
      </c>
      <c r="AQ10" s="532" t="s">
        <v>895</v>
      </c>
      <c r="AR10" s="470">
        <f>INDEX(calcR2LOB1Clinician1BaseProd,xxIndexTeam)</f>
        <v>27</v>
      </c>
      <c r="AS10" s="532" t="s">
        <v>896</v>
      </c>
      <c r="AT10" s="470">
        <f>INDEX(calcR2LOB1Clinician1AllocatedProd,xxIndexTeam)</f>
        <v>30.866767377700608</v>
      </c>
      <c r="AU10" s="532" t="s">
        <v>4937</v>
      </c>
      <c r="AV10" s="526">
        <v>0</v>
      </c>
      <c r="AW10" s="532" t="s">
        <v>3387</v>
      </c>
      <c r="AX10" s="470">
        <f>INDEX(calcR2LOB1Clinician1GrossProd,xxIndexTeam)</f>
        <v>27</v>
      </c>
      <c r="AY10" s="532" t="s">
        <v>897</v>
      </c>
      <c r="AZ10" s="472">
        <f>INDEX(calcR2LOB1Clinician1MissVisits,xxIndexTeam)</f>
        <v>4.05</v>
      </c>
      <c r="BA10" s="532" t="s">
        <v>898</v>
      </c>
      <c r="BB10" s="470">
        <f>INDEX(cbalR2LOB1MileageClinician1,xxIndexTeam)</f>
        <v>175.5</v>
      </c>
      <c r="BC10" s="532" t="s">
        <v>899</v>
      </c>
      <c r="BD10" s="368">
        <f>INDEX(cbalR2LOB1AdminTimeClinician1,xxIndexTeam)</f>
        <v>3</v>
      </c>
      <c r="BE10" s="532" t="s">
        <v>900</v>
      </c>
      <c r="BF10" s="470">
        <f>INDEX(calcR2LOB1Clinician1OverTime,xxIndexTeam)</f>
        <v>0</v>
      </c>
      <c r="BG10" s="532" t="s">
        <v>901</v>
      </c>
    </row>
    <row r="11" spans="2:59" s="288" customFormat="1" ht="14.25" customHeight="1" thickBot="1">
      <c r="C11" s="372">
        <v>0</v>
      </c>
      <c r="D11" s="532" t="s">
        <v>902</v>
      </c>
      <c r="E11" s="717" t="s">
        <v>7901</v>
      </c>
      <c r="F11" s="532" t="s">
        <v>3105</v>
      </c>
      <c r="G11" s="369" t="str">
        <f>INDEX(cbalLOB1DiscClinician2,xxIndexTeam)</f>
        <v>RN</v>
      </c>
      <c r="H11" s="532" t="s">
        <v>903</v>
      </c>
      <c r="I11" s="369" t="str">
        <f>INDEX(cbalLOB1EmpStatClinician2,xxIndexTeam)</f>
        <v>Full-Time</v>
      </c>
      <c r="J11" s="532" t="s">
        <v>904</v>
      </c>
      <c r="K11" s="369" t="str">
        <f>INDEX(cbalLOB1NameClinician2,xxIndexTeam)</f>
        <v>Vernon Vale  </v>
      </c>
      <c r="L11" s="532" t="s">
        <v>905</v>
      </c>
      <c r="M11" s="638" t="s">
        <v>5050</v>
      </c>
      <c r="N11" s="532" t="s">
        <v>906</v>
      </c>
      <c r="O11" s="471">
        <f>INDEX(calcLOB1Clinician2BaseProd,xxIndexTeam)</f>
        <v>24</v>
      </c>
      <c r="P11" s="532" t="s">
        <v>907</v>
      </c>
      <c r="Q11" s="471">
        <f>INDEX(calcLOB1Clinician2AllocatedProd,xxIndexTeam)</f>
        <v>24.116746960636192</v>
      </c>
      <c r="R11" s="532" t="s">
        <v>4926</v>
      </c>
      <c r="S11" s="524">
        <v>0</v>
      </c>
      <c r="T11" s="532" t="s">
        <v>3376</v>
      </c>
      <c r="U11" s="471">
        <f>INDEX(calcLOB1Clinician2GrossProd,xxIndexTeam)</f>
        <v>24</v>
      </c>
      <c r="V11" s="532" t="s">
        <v>908</v>
      </c>
      <c r="W11" s="471">
        <f>INDEX(calcLOB1Clinician2MissVisits,xxIndexTeam)</f>
        <v>2.4000000000000004</v>
      </c>
      <c r="X11" s="532" t="s">
        <v>909</v>
      </c>
      <c r="Y11" s="471">
        <f>INDEX(cbalLOB1MileageClinician2,xxIndexTeam)</f>
        <v>127.19999999999999</v>
      </c>
      <c r="Z11" s="532" t="s">
        <v>910</v>
      </c>
      <c r="AA11" s="369">
        <f>INDEX(cbalLOB1AdminTimeClinician2,xxIndexTeam)</f>
        <v>2</v>
      </c>
      <c r="AB11" s="532" t="s">
        <v>911</v>
      </c>
      <c r="AC11" s="471">
        <f>INDEX(calcLOB1Clinician2OverTime,xxIndexTeam)</f>
        <v>0</v>
      </c>
      <c r="AD11" s="532" t="s">
        <v>912</v>
      </c>
      <c r="AF11" s="372">
        <v>0</v>
      </c>
      <c r="AG11" s="532" t="s">
        <v>913</v>
      </c>
      <c r="AH11" s="717" t="s">
        <v>7901</v>
      </c>
      <c r="AI11" s="532" t="s">
        <v>3115</v>
      </c>
      <c r="AJ11" s="369" t="str">
        <f>INDEX(cbalR2LOB1DiscClinician2,xxIndexTeam)</f>
        <v>RN</v>
      </c>
      <c r="AK11" s="532" t="s">
        <v>914</v>
      </c>
      <c r="AL11" s="369" t="str">
        <f>INDEX(cbalR2LOB1EmpStatClinician2,xxIndexTeam)</f>
        <v>Full-Time</v>
      </c>
      <c r="AM11" s="532" t="s">
        <v>915</v>
      </c>
      <c r="AN11" s="369" t="str">
        <f>INDEX(cbalR2LOB1NameClinician2,xxIndexTeam)</f>
        <v>Vernon Vale  </v>
      </c>
      <c r="AO11" s="532" t="s">
        <v>916</v>
      </c>
      <c r="AP11" s="638" t="s">
        <v>5050</v>
      </c>
      <c r="AQ11" s="532" t="s">
        <v>917</v>
      </c>
      <c r="AR11" s="471">
        <f>INDEX(calcR2LOB1Clinician2BaseProd,xxIndexTeam)</f>
        <v>24</v>
      </c>
      <c r="AS11" s="532" t="s">
        <v>918</v>
      </c>
      <c r="AT11" s="471">
        <f>INDEX(calcR2LOB1Clinician2AllocatedProd,xxIndexTeam)</f>
        <v>27.437126557956098</v>
      </c>
      <c r="AU11" s="532" t="s">
        <v>4938</v>
      </c>
      <c r="AV11" s="524">
        <v>0</v>
      </c>
      <c r="AW11" s="532" t="s">
        <v>3388</v>
      </c>
      <c r="AX11" s="471">
        <f>INDEX(calcR2LOB1Clinician2GrossProd,xxIndexTeam)</f>
        <v>24</v>
      </c>
      <c r="AY11" s="532" t="s">
        <v>919</v>
      </c>
      <c r="AZ11" s="471">
        <f>INDEX(calcR2LOB1Clinician2MissVisits,xxIndexTeam)</f>
        <v>2.4000000000000004</v>
      </c>
      <c r="BA11" s="532" t="s">
        <v>920</v>
      </c>
      <c r="BB11" s="471">
        <f>INDEX(cbalR2LOB1MileageClinician2,xxIndexTeam)</f>
        <v>127.19999999999999</v>
      </c>
      <c r="BC11" s="532" t="s">
        <v>921</v>
      </c>
      <c r="BD11" s="369">
        <f>INDEX(cbalR2LOB1AdminTimeClinician2,xxIndexTeam)</f>
        <v>2</v>
      </c>
      <c r="BE11" s="532" t="s">
        <v>922</v>
      </c>
      <c r="BF11" s="471">
        <f>INDEX(calcR2LOB1Clinician2OverTime,xxIndexTeam)</f>
        <v>0</v>
      </c>
      <c r="BG11" s="532" t="s">
        <v>923</v>
      </c>
    </row>
    <row r="12" spans="2:59" s="288" customFormat="1" ht="14.25" customHeight="1" thickBot="1">
      <c r="C12" s="372">
        <v>0</v>
      </c>
      <c r="D12" s="532" t="s">
        <v>924</v>
      </c>
      <c r="E12" s="717" t="s">
        <v>7901</v>
      </c>
      <c r="F12" s="532" t="s">
        <v>3106</v>
      </c>
      <c r="G12" s="370" t="str">
        <f>INDEX(cbalLOB1DiscClinician3,xxIndexTeam)</f>
        <v>RN</v>
      </c>
      <c r="H12" s="532" t="s">
        <v>925</v>
      </c>
      <c r="I12" s="370" t="str">
        <f>INDEX(cbalLOB1EmpStatClinician3,xxIndexTeam)</f>
        <v>Part-Time</v>
      </c>
      <c r="J12" s="532" t="s">
        <v>926</v>
      </c>
      <c r="K12" s="370" t="str">
        <f>INDEX(cbalLOB1NameClinician3,xxIndexTeam)</f>
        <v>Shelby Schoenfeld  </v>
      </c>
      <c r="L12" s="532" t="s">
        <v>927</v>
      </c>
      <c r="M12" s="370" t="s">
        <v>552</v>
      </c>
      <c r="N12" s="532" t="s">
        <v>928</v>
      </c>
      <c r="O12" s="472">
        <f>INDEX(calcLOB1Clinician3BaseProd,xxIndexTeam)</f>
        <v>12.526315789473685</v>
      </c>
      <c r="P12" s="532" t="s">
        <v>929</v>
      </c>
      <c r="Q12" s="472">
        <f>INDEX(calcLOB1Clinician3AllocatedProd,xxIndexTeam)</f>
        <v>12.58724951015661</v>
      </c>
      <c r="R12" s="532" t="s">
        <v>4927</v>
      </c>
      <c r="S12" s="524">
        <v>0</v>
      </c>
      <c r="T12" s="532" t="s">
        <v>3377</v>
      </c>
      <c r="U12" s="472">
        <f>INDEX(calcLOB1Clinician3GrossProd,xxIndexTeam)</f>
        <v>12.526315789473685</v>
      </c>
      <c r="V12" s="532" t="s">
        <v>930</v>
      </c>
      <c r="W12" s="472">
        <f>INDEX(calcLOB1Clinician3MissVisits,xxIndexTeam)</f>
        <v>0.62631578947368427</v>
      </c>
      <c r="X12" s="532" t="s">
        <v>931</v>
      </c>
      <c r="Y12" s="472">
        <f>INDEX(cbalLOB1MileageClinician3,xxIndexTeam)</f>
        <v>57.621052631578948</v>
      </c>
      <c r="Z12" s="532" t="s">
        <v>932</v>
      </c>
      <c r="AA12" s="370">
        <f>INDEX(cbalLOB1AdminTimeClinician3,xxIndexTeam)</f>
        <v>4</v>
      </c>
      <c r="AB12" s="532" t="s">
        <v>933</v>
      </c>
      <c r="AC12" s="472">
        <f>INDEX(calcLOB1Clinician3OverTime,xxIndexTeam)</f>
        <v>0</v>
      </c>
      <c r="AD12" s="532" t="s">
        <v>934</v>
      </c>
      <c r="AF12" s="372">
        <v>0</v>
      </c>
      <c r="AG12" s="532" t="s">
        <v>935</v>
      </c>
      <c r="AH12" s="717" t="s">
        <v>7901</v>
      </c>
      <c r="AI12" s="532" t="s">
        <v>3116</v>
      </c>
      <c r="AJ12" s="370" t="str">
        <f>INDEX(cbalR2LOB1DiscClinician3,xxIndexTeam)</f>
        <v>RN</v>
      </c>
      <c r="AK12" s="532" t="s">
        <v>936</v>
      </c>
      <c r="AL12" s="370" t="str">
        <f>INDEX(cbalR2LOB1EmpStatClinician3,xxIndexTeam)</f>
        <v>Part-Time</v>
      </c>
      <c r="AM12" s="532" t="s">
        <v>937</v>
      </c>
      <c r="AN12" s="370" t="str">
        <f>INDEX(cbalR2LOB1NameClinician3,xxIndexTeam)</f>
        <v>Shelby Schoenfeld  </v>
      </c>
      <c r="AO12" s="532" t="s">
        <v>938</v>
      </c>
      <c r="AP12" s="370" t="s">
        <v>552</v>
      </c>
      <c r="AQ12" s="532" t="s">
        <v>939</v>
      </c>
      <c r="AR12" s="472">
        <f>INDEX(calcR2LOB1Clinician3BaseProd,xxIndexTeam)</f>
        <v>12.526315789473685</v>
      </c>
      <c r="AS12" s="532" t="s">
        <v>940</v>
      </c>
      <c r="AT12" s="472">
        <f>INDEX(calcR2LOB1Clinician3AllocatedProd,xxIndexTeam)</f>
        <v>14.320254650863053</v>
      </c>
      <c r="AU12" s="532" t="s">
        <v>4939</v>
      </c>
      <c r="AV12" s="524">
        <v>0</v>
      </c>
      <c r="AW12" s="532" t="s">
        <v>3389</v>
      </c>
      <c r="AX12" s="472">
        <f>INDEX(calcR2LOB1Clinician3GrossProd,xxIndexTeam)</f>
        <v>12.526315789473685</v>
      </c>
      <c r="AY12" s="532" t="s">
        <v>941</v>
      </c>
      <c r="AZ12" s="472">
        <f>INDEX(calcR2LOB1Clinician3MissVisits,xxIndexTeam)</f>
        <v>0.62631578947368427</v>
      </c>
      <c r="BA12" s="532" t="s">
        <v>942</v>
      </c>
      <c r="BB12" s="472">
        <f>INDEX(cbalR2LOB1MileageClinician3,xxIndexTeam)</f>
        <v>57.621052631578948</v>
      </c>
      <c r="BC12" s="532" t="s">
        <v>943</v>
      </c>
      <c r="BD12" s="370">
        <f>INDEX(cbalR2LOB1AdminTimeClinician3,xxIndexTeam)</f>
        <v>4</v>
      </c>
      <c r="BE12" s="532" t="s">
        <v>944</v>
      </c>
      <c r="BF12" s="472">
        <f>INDEX(calcR2LOB1Clinician3OverTime,xxIndexTeam)</f>
        <v>0</v>
      </c>
      <c r="BG12" s="532" t="s">
        <v>945</v>
      </c>
    </row>
    <row r="13" spans="2:59" s="288" customFormat="1" ht="14.25" customHeight="1" thickBot="1">
      <c r="C13" s="372">
        <v>0</v>
      </c>
      <c r="D13" s="532" t="s">
        <v>946</v>
      </c>
      <c r="E13" s="717" t="s">
        <v>7901</v>
      </c>
      <c r="F13" s="532" t="s">
        <v>3107</v>
      </c>
      <c r="G13" s="369" t="str">
        <f>INDEX(cbalLOB1DiscClinician4,xxIndexTeam)</f>
        <v>LPN</v>
      </c>
      <c r="H13" s="532" t="s">
        <v>947</v>
      </c>
      <c r="I13" s="369" t="str">
        <f>INDEX(cbalLOB1EmpStatClinician4,xxIndexTeam)</f>
        <v>Full-Time</v>
      </c>
      <c r="J13" s="532" t="s">
        <v>948</v>
      </c>
      <c r="K13" s="369" t="str">
        <f>INDEX(cbalLOB1NameClinician4,xxIndexTeam)</f>
        <v>Edmond Estepp  </v>
      </c>
      <c r="L13" s="532" t="s">
        <v>949</v>
      </c>
      <c r="M13" s="369" t="s">
        <v>552</v>
      </c>
      <c r="N13" s="532" t="s">
        <v>950</v>
      </c>
      <c r="O13" s="471">
        <f>INDEX(calcLOB1Clinician4BaseProd,xxIndexTeam)</f>
        <v>33</v>
      </c>
      <c r="P13" s="532" t="s">
        <v>951</v>
      </c>
      <c r="Q13" s="471">
        <f>INDEX(calcLOB1Clinician4AllocatedProd,xxIndexTeam)</f>
        <v>33.160527070874764</v>
      </c>
      <c r="R13" s="532" t="s">
        <v>4928</v>
      </c>
      <c r="S13" s="524">
        <v>0</v>
      </c>
      <c r="T13" s="532" t="s">
        <v>3378</v>
      </c>
      <c r="U13" s="471">
        <f>INDEX(calcLOB1Clinician4GrossProd,xxIndexTeam)</f>
        <v>33</v>
      </c>
      <c r="V13" s="532" t="s">
        <v>952</v>
      </c>
      <c r="W13" s="471">
        <f>INDEX(calcLOB1Clinician4MissVisits,xxIndexTeam)</f>
        <v>0.33</v>
      </c>
      <c r="X13" s="532" t="s">
        <v>953</v>
      </c>
      <c r="Y13" s="471">
        <f>INDEX(cbalLOB1MileageClinician4,xxIndexTeam)</f>
        <v>102.3</v>
      </c>
      <c r="Z13" s="532" t="s">
        <v>954</v>
      </c>
      <c r="AA13" s="369">
        <f>INDEX(cbalLOB1AdminTimeClinician4,xxIndexTeam)</f>
        <v>2</v>
      </c>
      <c r="AB13" s="532" t="s">
        <v>955</v>
      </c>
      <c r="AC13" s="471">
        <f>INDEX(calcLOB1Clinician4OverTime,xxIndexTeam)</f>
        <v>0</v>
      </c>
      <c r="AD13" s="532" t="s">
        <v>956</v>
      </c>
      <c r="AF13" s="372">
        <v>0</v>
      </c>
      <c r="AG13" s="532" t="s">
        <v>957</v>
      </c>
      <c r="AH13" s="717" t="s">
        <v>7901</v>
      </c>
      <c r="AI13" s="532" t="s">
        <v>3117</v>
      </c>
      <c r="AJ13" s="369" t="str">
        <f>INDEX(cbalR2LOB1DiscClinician4,xxIndexTeam)</f>
        <v>LPN</v>
      </c>
      <c r="AK13" s="532" t="s">
        <v>958</v>
      </c>
      <c r="AL13" s="369" t="str">
        <f>INDEX(cbalR2LOB1EmpStatClinician4,xxIndexTeam)</f>
        <v>Full-Time</v>
      </c>
      <c r="AM13" s="532" t="s">
        <v>959</v>
      </c>
      <c r="AN13" s="369" t="str">
        <f>INDEX(cbalR2LOB1NameClinician4,xxIndexTeam)</f>
        <v>Edmond Estepp  </v>
      </c>
      <c r="AO13" s="532" t="s">
        <v>960</v>
      </c>
      <c r="AP13" s="369" t="s">
        <v>552</v>
      </c>
      <c r="AQ13" s="532" t="s">
        <v>961</v>
      </c>
      <c r="AR13" s="471">
        <f>INDEX(calcR2LOB1Clinician4BaseProd,xxIndexTeam)</f>
        <v>33</v>
      </c>
      <c r="AS13" s="532" t="s">
        <v>962</v>
      </c>
      <c r="AT13" s="471">
        <f>INDEX(calcR2LOB1Clinician4AllocatedProd,xxIndexTeam)</f>
        <v>37.726049017189631</v>
      </c>
      <c r="AU13" s="532" t="s">
        <v>4940</v>
      </c>
      <c r="AV13" s="524">
        <v>0</v>
      </c>
      <c r="AW13" s="532" t="s">
        <v>3390</v>
      </c>
      <c r="AX13" s="471">
        <f>INDEX(calcR2LOB1Clinician4GrossProd,xxIndexTeam)</f>
        <v>33</v>
      </c>
      <c r="AY13" s="532" t="s">
        <v>963</v>
      </c>
      <c r="AZ13" s="471">
        <f>INDEX(calcR2LOB1Clinician4MissVisits,xxIndexTeam)</f>
        <v>0.33</v>
      </c>
      <c r="BA13" s="532" t="s">
        <v>964</v>
      </c>
      <c r="BB13" s="471">
        <f>INDEX(cbalR2LOB1MileageClinician4,xxIndexTeam)</f>
        <v>102.3</v>
      </c>
      <c r="BC13" s="532" t="s">
        <v>965</v>
      </c>
      <c r="BD13" s="369">
        <f>INDEX(cbalR2LOB1AdminTimeClinician4,xxIndexTeam)</f>
        <v>2</v>
      </c>
      <c r="BE13" s="532" t="s">
        <v>966</v>
      </c>
      <c r="BF13" s="471">
        <f>INDEX(calcR2LOB1Clinician4OverTime,xxIndexTeam)</f>
        <v>0</v>
      </c>
      <c r="BG13" s="532" t="s">
        <v>967</v>
      </c>
    </row>
    <row r="14" spans="2:59" s="288" customFormat="1" ht="14.25" customHeight="1" thickBot="1">
      <c r="C14" s="372">
        <v>0</v>
      </c>
      <c r="D14" s="532" t="s">
        <v>968</v>
      </c>
      <c r="E14" s="717" t="s">
        <v>7901</v>
      </c>
      <c r="F14" s="532" t="s">
        <v>3108</v>
      </c>
      <c r="G14" s="370" t="str">
        <f>INDEX(cbalLOB1DiscClinician5,xxIndexTeam)</f>
        <v>LPN</v>
      </c>
      <c r="H14" s="532" t="s">
        <v>969</v>
      </c>
      <c r="I14" s="370" t="str">
        <f>INDEX(cbalLOB1EmpStatClinician5,xxIndexTeam)</f>
        <v>Full-Time</v>
      </c>
      <c r="J14" s="532" t="s">
        <v>970</v>
      </c>
      <c r="K14" s="370" t="str">
        <f>INDEX(cbalLOB1NameClinician5,xxIndexTeam)</f>
        <v>Beatrice Ballew  </v>
      </c>
      <c r="L14" s="532" t="s">
        <v>971</v>
      </c>
      <c r="M14" s="370" t="s">
        <v>552</v>
      </c>
      <c r="N14" s="532" t="s">
        <v>972</v>
      </c>
      <c r="O14" s="472">
        <f>INDEX(calcLOB1Clinician5BaseProd,xxIndexTeam)</f>
        <v>17.52577319587629</v>
      </c>
      <c r="P14" s="532" t="s">
        <v>973</v>
      </c>
      <c r="Q14" s="472">
        <f>INDEX(calcLOB1Clinician5AllocatedProd,xxIndexTeam)</f>
        <v>17.611026560602031</v>
      </c>
      <c r="R14" s="532" t="s">
        <v>4929</v>
      </c>
      <c r="S14" s="524">
        <v>0</v>
      </c>
      <c r="T14" s="532" t="s">
        <v>3379</v>
      </c>
      <c r="U14" s="472">
        <f>INDEX(calcLOB1Clinician5GrossProd,xxIndexTeam)</f>
        <v>17.52577319587629</v>
      </c>
      <c r="V14" s="532" t="s">
        <v>974</v>
      </c>
      <c r="W14" s="472">
        <f>INDEX(calcLOB1Clinician5MissVisits,xxIndexTeam)</f>
        <v>0.52577319587628868</v>
      </c>
      <c r="X14" s="532" t="s">
        <v>975</v>
      </c>
      <c r="Y14" s="472">
        <f>INDEX(cbalLOB1MileageClinician5,xxIndexTeam)</f>
        <v>52.577319587628871</v>
      </c>
      <c r="Z14" s="532" t="s">
        <v>976</v>
      </c>
      <c r="AA14" s="370">
        <f>INDEX(cbalLOB1AdminTimeClinician5,xxIndexTeam)</f>
        <v>1</v>
      </c>
      <c r="AB14" s="532" t="s">
        <v>977</v>
      </c>
      <c r="AC14" s="472">
        <f>INDEX(calcLOB1Clinician5OverTime,xxIndexTeam)</f>
        <v>0</v>
      </c>
      <c r="AD14" s="532" t="s">
        <v>978</v>
      </c>
      <c r="AF14" s="372">
        <v>0</v>
      </c>
      <c r="AG14" s="532" t="s">
        <v>979</v>
      </c>
      <c r="AH14" s="717" t="s">
        <v>7901</v>
      </c>
      <c r="AI14" s="532" t="s">
        <v>3118</v>
      </c>
      <c r="AJ14" s="370" t="str">
        <f>INDEX(cbalR2LOB1DiscClinician5,xxIndexTeam)</f>
        <v>LPN</v>
      </c>
      <c r="AK14" s="532" t="s">
        <v>980</v>
      </c>
      <c r="AL14" s="370" t="str">
        <f>INDEX(cbalR2LOB1EmpStatClinician5,xxIndexTeam)</f>
        <v>Full-Time</v>
      </c>
      <c r="AM14" s="532" t="s">
        <v>981</v>
      </c>
      <c r="AN14" s="370" t="str">
        <f>INDEX(cbalR2LOB1NameClinician5,xxIndexTeam)</f>
        <v>Beatrice Ballew  </v>
      </c>
      <c r="AO14" s="532" t="s">
        <v>982</v>
      </c>
      <c r="AP14" s="370" t="s">
        <v>552</v>
      </c>
      <c r="AQ14" s="532" t="s">
        <v>983</v>
      </c>
      <c r="AR14" s="472">
        <f>INDEX(calcR2LOB1Clinician5BaseProd,xxIndexTeam)</f>
        <v>17.52577319587629</v>
      </c>
      <c r="AS14" s="532" t="s">
        <v>984</v>
      </c>
      <c r="AT14" s="472">
        <f>INDEX(calcR2LOB1Clinician5AllocatedProd,xxIndexTeam)</f>
        <v>20.035702383387186</v>
      </c>
      <c r="AU14" s="532" t="s">
        <v>4941</v>
      </c>
      <c r="AV14" s="524">
        <v>0</v>
      </c>
      <c r="AW14" s="532" t="s">
        <v>3391</v>
      </c>
      <c r="AX14" s="472">
        <f>INDEX(calcR2LOB1Clinician5GrossProd,xxIndexTeam)</f>
        <v>17.52577319587629</v>
      </c>
      <c r="AY14" s="532" t="s">
        <v>985</v>
      </c>
      <c r="AZ14" s="472">
        <f>INDEX(calcR2LOB1Clinician5MissVisits,xxIndexTeam)</f>
        <v>0.52577319587628868</v>
      </c>
      <c r="BA14" s="532" t="s">
        <v>986</v>
      </c>
      <c r="BB14" s="472">
        <f>INDEX(cbalR2LOB1MileageClinician5,xxIndexTeam)</f>
        <v>52.577319587628871</v>
      </c>
      <c r="BC14" s="532" t="s">
        <v>987</v>
      </c>
      <c r="BD14" s="370">
        <f>INDEX(cbalR2LOB1AdminTimeClinician5,xxIndexTeam)</f>
        <v>1</v>
      </c>
      <c r="BE14" s="532" t="s">
        <v>988</v>
      </c>
      <c r="BF14" s="472">
        <f>INDEX(calcR2LOB1Clinician5OverTime,xxIndexTeam)</f>
        <v>0</v>
      </c>
      <c r="BG14" s="532" t="s">
        <v>989</v>
      </c>
    </row>
    <row r="15" spans="2:59" s="288" customFormat="1" ht="14.25" customHeight="1" thickBot="1">
      <c r="C15" s="372">
        <v>0</v>
      </c>
      <c r="D15" s="532" t="s">
        <v>990</v>
      </c>
      <c r="E15" s="717" t="s">
        <v>7901</v>
      </c>
      <c r="F15" s="532" t="s">
        <v>3109</v>
      </c>
      <c r="G15" s="369" t="str">
        <f>INDEX(cbalLOB1DiscClinician6,xxIndexTeam)</f>
        <v>PTA</v>
      </c>
      <c r="H15" s="532" t="s">
        <v>991</v>
      </c>
      <c r="I15" s="369" t="str">
        <f>INDEX(cbalLOB1EmpStatClinician6,xxIndexTeam)</f>
        <v>Full-Time</v>
      </c>
      <c r="J15" s="532" t="s">
        <v>992</v>
      </c>
      <c r="K15" s="369" t="str">
        <f>INDEX(cbalLOB1NameClinician6,xxIndexTeam)</f>
        <v>Joy Jernigan  </v>
      </c>
      <c r="L15" s="532" t="s">
        <v>993</v>
      </c>
      <c r="M15" s="369" t="s">
        <v>552</v>
      </c>
      <c r="N15" s="532" t="s">
        <v>994</v>
      </c>
      <c r="O15" s="471">
        <f>INDEX(calcLOB1Clinician6BaseProd,xxIndexTeam)</f>
        <v>30</v>
      </c>
      <c r="P15" s="532" t="s">
        <v>995</v>
      </c>
      <c r="Q15" s="471">
        <f>INDEX(calcLOB1Clinician6AllocatedProd,xxIndexTeam)</f>
        <v>30.75745015364825</v>
      </c>
      <c r="R15" s="532" t="s">
        <v>4930</v>
      </c>
      <c r="S15" s="524">
        <v>0</v>
      </c>
      <c r="T15" s="532" t="s">
        <v>3380</v>
      </c>
      <c r="U15" s="471">
        <f>INDEX(calcLOB1Clinician6GrossProd,xxIndexTeam)</f>
        <v>30</v>
      </c>
      <c r="V15" s="532" t="s">
        <v>996</v>
      </c>
      <c r="W15" s="471">
        <f>INDEX(calcLOB1Clinician6MissVisits,xxIndexTeam)</f>
        <v>3.9000000000000004</v>
      </c>
      <c r="X15" s="532" t="s">
        <v>997</v>
      </c>
      <c r="Y15" s="471">
        <f>INDEX(cbalLOB1MileageClinician6,xxIndexTeam)</f>
        <v>171</v>
      </c>
      <c r="Z15" s="532" t="s">
        <v>998</v>
      </c>
      <c r="AA15" s="369">
        <f>INDEX(cbalLOB1AdminTimeClinician6,xxIndexTeam)</f>
        <v>3</v>
      </c>
      <c r="AB15" s="532" t="s">
        <v>999</v>
      </c>
      <c r="AC15" s="471">
        <f>INDEX(calcLOB1Clinician6OverTime,xxIndexTeam)</f>
        <v>0</v>
      </c>
      <c r="AD15" s="532" t="s">
        <v>1000</v>
      </c>
      <c r="AF15" s="372">
        <v>0</v>
      </c>
      <c r="AG15" s="532" t="s">
        <v>1001</v>
      </c>
      <c r="AH15" s="717" t="s">
        <v>7901</v>
      </c>
      <c r="AI15" s="532" t="s">
        <v>3119</v>
      </c>
      <c r="AJ15" s="369" t="str">
        <f>INDEX(cbalR2LOB1DiscClinician6,xxIndexTeam)</f>
        <v>PTA</v>
      </c>
      <c r="AK15" s="532" t="s">
        <v>1002</v>
      </c>
      <c r="AL15" s="369" t="str">
        <f>INDEX(cbalR2LOB1EmpStatClinician6,xxIndexTeam)</f>
        <v>Full-Time</v>
      </c>
      <c r="AM15" s="532" t="s">
        <v>1003</v>
      </c>
      <c r="AN15" s="369" t="str">
        <f>INDEX(cbalR2LOB1NameClinician6,xxIndexTeam)</f>
        <v>Joy Jernigan  </v>
      </c>
      <c r="AO15" s="532" t="s">
        <v>1004</v>
      </c>
      <c r="AP15" s="369" t="s">
        <v>552</v>
      </c>
      <c r="AQ15" s="532" t="s">
        <v>1005</v>
      </c>
      <c r="AR15" s="471">
        <f>INDEX(calcR2LOB1Clinician6BaseProd,xxIndexTeam)</f>
        <v>30</v>
      </c>
      <c r="AS15" s="532" t="s">
        <v>1006</v>
      </c>
      <c r="AT15" s="471">
        <f>INDEX(calcR2LOB1Clinician6AllocatedProd,xxIndexTeam)</f>
        <v>35.11090042062213</v>
      </c>
      <c r="AU15" s="532" t="s">
        <v>4942</v>
      </c>
      <c r="AV15" s="524">
        <v>0</v>
      </c>
      <c r="AW15" s="532" t="s">
        <v>3392</v>
      </c>
      <c r="AX15" s="471">
        <f>INDEX(calcR2LOB1Clinician6GrossProd,xxIndexTeam)</f>
        <v>30</v>
      </c>
      <c r="AY15" s="532" t="s">
        <v>1007</v>
      </c>
      <c r="AZ15" s="471">
        <f>INDEX(calcR2LOB1Clinician6MissVisits,xxIndexTeam)</f>
        <v>3.9000000000000004</v>
      </c>
      <c r="BA15" s="532" t="s">
        <v>1008</v>
      </c>
      <c r="BB15" s="471">
        <f>INDEX(cbalR2LOB1MileageClinician6,xxIndexTeam)</f>
        <v>171</v>
      </c>
      <c r="BC15" s="532" t="s">
        <v>1009</v>
      </c>
      <c r="BD15" s="369">
        <f>INDEX(cbalR2LOB1AdminTimeClinician6,xxIndexTeam)</f>
        <v>3</v>
      </c>
      <c r="BE15" s="532" t="s">
        <v>1010</v>
      </c>
      <c r="BF15" s="471">
        <f>INDEX(calcR2LOB1Clinician6OverTime,xxIndexTeam)</f>
        <v>0</v>
      </c>
      <c r="BG15" s="532" t="s">
        <v>1011</v>
      </c>
    </row>
    <row r="16" spans="2:59" s="288" customFormat="1" ht="14.25" customHeight="1" thickBot="1">
      <c r="C16" s="372">
        <v>0</v>
      </c>
      <c r="D16" s="532" t="s">
        <v>1012</v>
      </c>
      <c r="E16" s="717" t="s">
        <v>7901</v>
      </c>
      <c r="F16" s="532" t="s">
        <v>3110</v>
      </c>
      <c r="G16" s="370" t="str">
        <f>INDEX(cbalLOB1DiscClinician7,xxIndexTeam)</f>
        <v>PT</v>
      </c>
      <c r="H16" s="532" t="s">
        <v>1013</v>
      </c>
      <c r="I16" s="370" t="str">
        <f>INDEX(cbalLOB1EmpStatClinician7,xxIndexTeam)</f>
        <v>Full-Time</v>
      </c>
      <c r="J16" s="532" t="s">
        <v>1014</v>
      </c>
      <c r="K16" s="370" t="str">
        <f>INDEX(cbalLOB1NameClinician7,xxIndexTeam)</f>
        <v>Ellie Elizalde  </v>
      </c>
      <c r="L16" s="532" t="s">
        <v>1015</v>
      </c>
      <c r="M16" s="370" t="s">
        <v>552</v>
      </c>
      <c r="N16" s="532" t="s">
        <v>1016</v>
      </c>
      <c r="O16" s="472">
        <f>INDEX(calcLOB1Clinician7BaseProd,xxIndexTeam)</f>
        <v>28</v>
      </c>
      <c r="P16" s="532" t="s">
        <v>1017</v>
      </c>
      <c r="Q16" s="472">
        <f>INDEX(calcLOB1Clinician7AllocatedProd,xxIndexTeam)</f>
        <v>28.70695347673837</v>
      </c>
      <c r="R16" s="532" t="s">
        <v>4931</v>
      </c>
      <c r="S16" s="524">
        <v>0</v>
      </c>
      <c r="T16" s="532" t="s">
        <v>3381</v>
      </c>
      <c r="U16" s="472">
        <f>INDEX(calcLOB1Clinician7GrossProd,xxIndexTeam)</f>
        <v>28</v>
      </c>
      <c r="V16" s="532" t="s">
        <v>1018</v>
      </c>
      <c r="W16" s="472">
        <f>INDEX(calcLOB1Clinician7MissVisits,xxIndexTeam)</f>
        <v>1.68</v>
      </c>
      <c r="X16" s="532" t="s">
        <v>1019</v>
      </c>
      <c r="Y16" s="472">
        <f>INDEX(cbalLOB1MileageClinician7,xxIndexTeam)</f>
        <v>100.8</v>
      </c>
      <c r="Z16" s="532" t="s">
        <v>1020</v>
      </c>
      <c r="AA16" s="370">
        <f>INDEX(cbalLOB1AdminTimeClinician7,xxIndexTeam)</f>
        <v>4</v>
      </c>
      <c r="AB16" s="532" t="s">
        <v>1021</v>
      </c>
      <c r="AC16" s="472">
        <f>INDEX(calcLOB1Clinician7OverTime,xxIndexTeam)</f>
        <v>0</v>
      </c>
      <c r="AD16" s="532" t="s">
        <v>1022</v>
      </c>
      <c r="AF16" s="372">
        <v>0</v>
      </c>
      <c r="AG16" s="532" t="s">
        <v>1023</v>
      </c>
      <c r="AH16" s="717" t="s">
        <v>7901</v>
      </c>
      <c r="AI16" s="532" t="s">
        <v>3120</v>
      </c>
      <c r="AJ16" s="370" t="str">
        <f>INDEX(cbalR2LOB1DiscClinician7,xxIndexTeam)</f>
        <v>PT</v>
      </c>
      <c r="AK16" s="532" t="s">
        <v>1024</v>
      </c>
      <c r="AL16" s="370" t="str">
        <f>INDEX(cbalR2LOB1EmpStatClinician7,xxIndexTeam)</f>
        <v>Full-Time</v>
      </c>
      <c r="AM16" s="532" t="s">
        <v>1025</v>
      </c>
      <c r="AN16" s="370" t="str">
        <f>INDEX(cbalR2LOB1NameClinician7,xxIndexTeam)</f>
        <v>Ellie Elizalde  </v>
      </c>
      <c r="AO16" s="532" t="s">
        <v>1026</v>
      </c>
      <c r="AP16" s="370" t="s">
        <v>552</v>
      </c>
      <c r="AQ16" s="532" t="s">
        <v>1027</v>
      </c>
      <c r="AR16" s="472">
        <f>INDEX(calcR2LOB1Clinician7BaseProd,xxIndexTeam)</f>
        <v>28</v>
      </c>
      <c r="AS16" s="532" t="s">
        <v>1028</v>
      </c>
      <c r="AT16" s="472">
        <f>INDEX(calcR2LOB1Clinician7AllocatedProd,xxIndexTeam)</f>
        <v>32.770173725913992</v>
      </c>
      <c r="AU16" s="532" t="s">
        <v>4943</v>
      </c>
      <c r="AV16" s="524">
        <v>0</v>
      </c>
      <c r="AW16" s="532" t="s">
        <v>3393</v>
      </c>
      <c r="AX16" s="472">
        <f>INDEX(calcR2LOB1Clinician7GrossProd,xxIndexTeam)</f>
        <v>28</v>
      </c>
      <c r="AY16" s="532" t="s">
        <v>1029</v>
      </c>
      <c r="AZ16" s="472">
        <f>INDEX(calcR2LOB1Clinician7MissVisits,xxIndexTeam)</f>
        <v>1.68</v>
      </c>
      <c r="BA16" s="532" t="s">
        <v>1030</v>
      </c>
      <c r="BB16" s="472">
        <f>INDEX(cbalR2LOB1MileageClinician7,xxIndexTeam)</f>
        <v>100.8</v>
      </c>
      <c r="BC16" s="532" t="s">
        <v>1031</v>
      </c>
      <c r="BD16" s="370">
        <f>INDEX(cbalR2LOB1AdminTimeClinician7,xxIndexTeam)</f>
        <v>4</v>
      </c>
      <c r="BE16" s="532" t="s">
        <v>1032</v>
      </c>
      <c r="BF16" s="472">
        <f>INDEX(calcR2LOB1Clinician7OverTime,xxIndexTeam)</f>
        <v>0</v>
      </c>
      <c r="BG16" s="532" t="s">
        <v>1033</v>
      </c>
    </row>
    <row r="17" spans="3:59" s="288" customFormat="1" ht="14.25" customHeight="1" thickBot="1">
      <c r="C17" s="372">
        <v>0</v>
      </c>
      <c r="D17" s="532" t="s">
        <v>1034</v>
      </c>
      <c r="E17" s="717" t="s">
        <v>7901</v>
      </c>
      <c r="F17" s="532" t="s">
        <v>3111</v>
      </c>
      <c r="G17" s="369" t="str">
        <f>INDEX(cbalLOB1DiscClinician8,xxIndexTeam)</f>
        <v>PT</v>
      </c>
      <c r="H17" s="532" t="s">
        <v>1035</v>
      </c>
      <c r="I17" s="369" t="str">
        <f>INDEX(cbalLOB1EmpStatClinician8,xxIndexTeam)</f>
        <v>Full-Time</v>
      </c>
      <c r="J17" s="532" t="s">
        <v>1036</v>
      </c>
      <c r="K17" s="369" t="str">
        <f>INDEX(cbalLOB1NameClinician8,xxIndexTeam)</f>
        <v>Jestine Jeffers  </v>
      </c>
      <c r="L17" s="532" t="s">
        <v>1037</v>
      </c>
      <c r="M17" s="369" t="s">
        <v>552</v>
      </c>
      <c r="N17" s="532" t="s">
        <v>1038</v>
      </c>
      <c r="O17" s="471">
        <f>INDEX(calcLOB1Clinician8BaseProd,xxIndexTeam)</f>
        <v>29</v>
      </c>
      <c r="P17" s="532" t="s">
        <v>1039</v>
      </c>
      <c r="Q17" s="471">
        <f>INDEX(calcLOB1Clinician8AllocatedProd,xxIndexTeam)</f>
        <v>29.73220181519331</v>
      </c>
      <c r="R17" s="532" t="s">
        <v>4932</v>
      </c>
      <c r="S17" s="524">
        <v>0</v>
      </c>
      <c r="T17" s="532" t="s">
        <v>3382</v>
      </c>
      <c r="U17" s="471">
        <f>INDEX(calcLOB1Clinician8GrossProd,xxIndexTeam)</f>
        <v>29</v>
      </c>
      <c r="V17" s="532" t="s">
        <v>1040</v>
      </c>
      <c r="W17" s="471">
        <f>INDEX(calcLOB1Clinician8MissVisits,xxIndexTeam)</f>
        <v>4.0600000000000005</v>
      </c>
      <c r="X17" s="532" t="s">
        <v>1041</v>
      </c>
      <c r="Y17" s="471">
        <f>INDEX(cbalLOB1MileageClinician8,xxIndexTeam)</f>
        <v>179.8</v>
      </c>
      <c r="Z17" s="532" t="s">
        <v>1042</v>
      </c>
      <c r="AA17" s="369">
        <f>INDEX(cbalLOB1AdminTimeClinician8,xxIndexTeam)</f>
        <v>2</v>
      </c>
      <c r="AB17" s="532" t="s">
        <v>1043</v>
      </c>
      <c r="AC17" s="471">
        <f>INDEX(calcLOB1Clinician8OverTime,xxIndexTeam)</f>
        <v>0</v>
      </c>
      <c r="AD17" s="532" t="s">
        <v>1044</v>
      </c>
      <c r="AF17" s="372">
        <v>0</v>
      </c>
      <c r="AG17" s="532" t="s">
        <v>1045</v>
      </c>
      <c r="AH17" s="717" t="s">
        <v>7901</v>
      </c>
      <c r="AI17" s="532" t="s">
        <v>3121</v>
      </c>
      <c r="AJ17" s="369" t="str">
        <f>INDEX(cbalR2LOB1DiscClinician8,xxIndexTeam)</f>
        <v>PT</v>
      </c>
      <c r="AK17" s="532" t="s">
        <v>1046</v>
      </c>
      <c r="AL17" s="369" t="str">
        <f>INDEX(cbalR2LOB1EmpStatClinician8,xxIndexTeam)</f>
        <v>Full-Time</v>
      </c>
      <c r="AM17" s="532" t="s">
        <v>1047</v>
      </c>
      <c r="AN17" s="369" t="str">
        <f>INDEX(cbalR2LOB1NameClinician8,xxIndexTeam)</f>
        <v>Jestine Jeffers  </v>
      </c>
      <c r="AO17" s="532" t="s">
        <v>1048</v>
      </c>
      <c r="AP17" s="369" t="s">
        <v>552</v>
      </c>
      <c r="AQ17" s="532" t="s">
        <v>1049</v>
      </c>
      <c r="AR17" s="471">
        <f>INDEX(calcR2LOB1Clinician8BaseProd,xxIndexTeam)</f>
        <v>29</v>
      </c>
      <c r="AS17" s="532" t="s">
        <v>1050</v>
      </c>
      <c r="AT17" s="471">
        <f>INDEX(calcR2LOB1Clinician8AllocatedProd,xxIndexTeam)</f>
        <v>33.940537073268061</v>
      </c>
      <c r="AU17" s="532" t="s">
        <v>4944</v>
      </c>
      <c r="AV17" s="524">
        <v>0</v>
      </c>
      <c r="AW17" s="532" t="s">
        <v>3394</v>
      </c>
      <c r="AX17" s="471">
        <f>INDEX(calcR2LOB1Clinician8GrossProd,xxIndexTeam)</f>
        <v>29</v>
      </c>
      <c r="AY17" s="532" t="s">
        <v>1051</v>
      </c>
      <c r="AZ17" s="471">
        <f>INDEX(calcR2LOB1Clinician8MissVisits,xxIndexTeam)</f>
        <v>4.0600000000000005</v>
      </c>
      <c r="BA17" s="532" t="s">
        <v>1052</v>
      </c>
      <c r="BB17" s="471">
        <f>INDEX(cbalR2LOB1MileageClinician8,xxIndexTeam)</f>
        <v>179.8</v>
      </c>
      <c r="BC17" s="532" t="s">
        <v>1053</v>
      </c>
      <c r="BD17" s="369">
        <f>INDEX(cbalR2LOB1AdminTimeClinician8,xxIndexTeam)</f>
        <v>2</v>
      </c>
      <c r="BE17" s="532" t="s">
        <v>1054</v>
      </c>
      <c r="BF17" s="471">
        <f>INDEX(calcR2LOB1Clinician8OverTime,xxIndexTeam)</f>
        <v>0</v>
      </c>
      <c r="BG17" s="532" t="s">
        <v>1055</v>
      </c>
    </row>
    <row r="18" spans="3:59" s="288" customFormat="1" ht="14.25" customHeight="1" thickBot="1">
      <c r="C18" s="372">
        <v>0</v>
      </c>
      <c r="D18" s="532" t="s">
        <v>1056</v>
      </c>
      <c r="E18" s="717" t="s">
        <v>7901</v>
      </c>
      <c r="F18" s="532" t="s">
        <v>3112</v>
      </c>
      <c r="G18" s="370" t="str">
        <f>INDEX(cbalLOB1DiscClinician9,xxIndexTeam)</f>
        <v>PT</v>
      </c>
      <c r="H18" s="532" t="s">
        <v>1057</v>
      </c>
      <c r="I18" s="370" t="str">
        <f>INDEX(cbalLOB1EmpStatClinician9,xxIndexTeam)</f>
        <v>Part-Time</v>
      </c>
      <c r="J18" s="532" t="s">
        <v>1058</v>
      </c>
      <c r="K18" s="370" t="str">
        <f>INDEX(cbalLOB1NameClinician9,xxIndexTeam)</f>
        <v>Elease Esters  </v>
      </c>
      <c r="L18" s="532" t="s">
        <v>1059</v>
      </c>
      <c r="M18" s="370" t="s">
        <v>552</v>
      </c>
      <c r="N18" s="532" t="s">
        <v>1060</v>
      </c>
      <c r="O18" s="472">
        <f>INDEX(calcLOB1Clinician9BaseProd,xxIndexTeam)</f>
        <v>15.773195876288661</v>
      </c>
      <c r="P18" s="532" t="s">
        <v>1061</v>
      </c>
      <c r="Q18" s="472">
        <f>INDEX(calcLOB1Clinician9AllocatedProd,xxIndexTeam)</f>
        <v>16.171442864289286</v>
      </c>
      <c r="R18" s="532" t="s">
        <v>4933</v>
      </c>
      <c r="S18" s="524">
        <v>0</v>
      </c>
      <c r="T18" s="532" t="s">
        <v>3383</v>
      </c>
      <c r="U18" s="472">
        <f>INDEX(calcLOB1Clinician9GrossProd,xxIndexTeam)</f>
        <v>15.773195876288661</v>
      </c>
      <c r="V18" s="532" t="s">
        <v>1062</v>
      </c>
      <c r="W18" s="472">
        <f>INDEX(calcLOB1Clinician9MissVisits,xxIndexTeam)</f>
        <v>0.47319587628865978</v>
      </c>
      <c r="X18" s="532" t="s">
        <v>1063</v>
      </c>
      <c r="Y18" s="472">
        <f>INDEX(cbalLOB1MileageClinician9,xxIndexTeam)</f>
        <v>50.474226804123717</v>
      </c>
      <c r="Z18" s="532" t="s">
        <v>1064</v>
      </c>
      <c r="AA18" s="370">
        <f>INDEX(cbalLOB1AdminTimeClinician9,xxIndexTeam)</f>
        <v>1</v>
      </c>
      <c r="AB18" s="532" t="s">
        <v>1065</v>
      </c>
      <c r="AC18" s="472">
        <f>INDEX(calcLOB1Clinician9OverTime,xxIndexTeam)</f>
        <v>0</v>
      </c>
      <c r="AD18" s="532" t="s">
        <v>1066</v>
      </c>
      <c r="AF18" s="372">
        <v>0</v>
      </c>
      <c r="AG18" s="532" t="s">
        <v>1067</v>
      </c>
      <c r="AH18" s="717" t="s">
        <v>7901</v>
      </c>
      <c r="AI18" s="532" t="s">
        <v>3122</v>
      </c>
      <c r="AJ18" s="370" t="str">
        <f>INDEX(cbalR2LOB1DiscClinician9,xxIndexTeam)</f>
        <v>PT</v>
      </c>
      <c r="AK18" s="532" t="s">
        <v>1068</v>
      </c>
      <c r="AL18" s="370" t="str">
        <f>INDEX(cbalR2LOB1EmpStatClinician9,xxIndexTeam)</f>
        <v>Part-Time</v>
      </c>
      <c r="AM18" s="532" t="s">
        <v>1069</v>
      </c>
      <c r="AN18" s="370" t="str">
        <f>INDEX(cbalR2LOB1NameClinician9,xxIndexTeam)</f>
        <v>Elease Esters  </v>
      </c>
      <c r="AO18" s="532" t="s">
        <v>1070</v>
      </c>
      <c r="AP18" s="370" t="s">
        <v>552</v>
      </c>
      <c r="AQ18" s="532" t="s">
        <v>1071</v>
      </c>
      <c r="AR18" s="472">
        <f>INDEX(calcR2LOB1Clinician9BaseProd,xxIndexTeam)</f>
        <v>15.773195876288661</v>
      </c>
      <c r="AS18" s="532" t="s">
        <v>1072</v>
      </c>
      <c r="AT18" s="472">
        <f>INDEX(calcR2LOB1Clinician9AllocatedProd,xxIndexTeam)</f>
        <v>18.460370324244629</v>
      </c>
      <c r="AU18" s="532" t="s">
        <v>4945</v>
      </c>
      <c r="AV18" s="524">
        <v>0</v>
      </c>
      <c r="AW18" s="532" t="s">
        <v>3395</v>
      </c>
      <c r="AX18" s="472">
        <f>INDEX(calcR2LOB1Clinician9GrossProd,xxIndexTeam)</f>
        <v>15.773195876288661</v>
      </c>
      <c r="AY18" s="532" t="s">
        <v>1073</v>
      </c>
      <c r="AZ18" s="472">
        <f>INDEX(calcR2LOB1Clinician9MissVisits,xxIndexTeam)</f>
        <v>0.47319587628865978</v>
      </c>
      <c r="BA18" s="532" t="s">
        <v>1074</v>
      </c>
      <c r="BB18" s="472">
        <f>INDEX(cbalR2LOB1MileageClinician9,xxIndexTeam)</f>
        <v>50.474226804123717</v>
      </c>
      <c r="BC18" s="532" t="s">
        <v>1075</v>
      </c>
      <c r="BD18" s="370">
        <f>INDEX(cbalR2LOB1AdminTimeClinician9,xxIndexTeam)</f>
        <v>1</v>
      </c>
      <c r="BE18" s="532" t="s">
        <v>1076</v>
      </c>
      <c r="BF18" s="472">
        <f>INDEX(calcR2LOB1Clinician9OverTime,xxIndexTeam)</f>
        <v>0</v>
      </c>
      <c r="BG18" s="532" t="s">
        <v>1077</v>
      </c>
    </row>
    <row r="19" spans="3:59" s="288" customFormat="1" ht="14.25" customHeight="1" thickBot="1">
      <c r="C19" s="372">
        <v>0</v>
      </c>
      <c r="D19" s="532" t="s">
        <v>1078</v>
      </c>
      <c r="E19" s="717" t="s">
        <v>7901</v>
      </c>
      <c r="F19" s="532" t="s">
        <v>3113</v>
      </c>
      <c r="G19" s="369" t="str">
        <f>INDEX(cbalLOB1DiscClinician10,xxIndexTeam)</f>
        <v>OT</v>
      </c>
      <c r="H19" s="532" t="s">
        <v>1079</v>
      </c>
      <c r="I19" s="369" t="str">
        <f>INDEX(cbalLOB1EmpStatClinician10,xxIndexTeam)</f>
        <v>Full-Time</v>
      </c>
      <c r="J19" s="532" t="s">
        <v>1080</v>
      </c>
      <c r="K19" s="369" t="str">
        <f>INDEX(cbalLOB1NameClinician10,xxIndexTeam)</f>
        <v>Ginger Gault  </v>
      </c>
      <c r="L19" s="532" t="s">
        <v>1081</v>
      </c>
      <c r="M19" s="369" t="s">
        <v>552</v>
      </c>
      <c r="N19" s="532" t="s">
        <v>1082</v>
      </c>
      <c r="O19" s="471">
        <f>INDEX(calcLOB1Clinician10BaseProd,xxIndexTeam)</f>
        <v>25.05263157894737</v>
      </c>
      <c r="P19" s="532" t="s">
        <v>1083</v>
      </c>
      <c r="Q19" s="471">
        <f>INDEX(calcLOB1Clinician10AllocatedProd,xxIndexTeam)</f>
        <v>25.529943635509632</v>
      </c>
      <c r="R19" s="532" t="s">
        <v>4934</v>
      </c>
      <c r="S19" s="524">
        <v>0</v>
      </c>
      <c r="T19" s="532" t="s">
        <v>3384</v>
      </c>
      <c r="U19" s="471">
        <f>INDEX(calcLOB1Clinician10GrossProd,xxIndexTeam)</f>
        <v>25.05263157894737</v>
      </c>
      <c r="V19" s="532" t="s">
        <v>1084</v>
      </c>
      <c r="W19" s="471">
        <f>INDEX(calcLOB1Clinician10MissVisits,xxIndexTeam)</f>
        <v>1.2526315789473685</v>
      </c>
      <c r="X19" s="532" t="s">
        <v>1085</v>
      </c>
      <c r="Y19" s="471">
        <f>INDEX(cbalLOB1MileageClinician10,xxIndexTeam)</f>
        <v>77.663157894736855</v>
      </c>
      <c r="Z19" s="532" t="s">
        <v>1086</v>
      </c>
      <c r="AA19" s="369">
        <f>INDEX(cbalLOB1AdminTimeClinician10,xxIndexTeam)</f>
        <v>2</v>
      </c>
      <c r="AB19" s="532" t="s">
        <v>1087</v>
      </c>
      <c r="AC19" s="471">
        <f>INDEX(calcLOB1Clinician10OverTime,xxIndexTeam)</f>
        <v>0</v>
      </c>
      <c r="AD19" s="532" t="s">
        <v>1088</v>
      </c>
      <c r="AF19" s="372">
        <v>0</v>
      </c>
      <c r="AG19" s="532" t="s">
        <v>1089</v>
      </c>
      <c r="AH19" s="717" t="s">
        <v>7901</v>
      </c>
      <c r="AI19" s="532" t="s">
        <v>3123</v>
      </c>
      <c r="AJ19" s="369" t="str">
        <f>INDEX(cbalR2LOB1DiscClinician10,xxIndexTeam)</f>
        <v>OT</v>
      </c>
      <c r="AK19" s="532" t="s">
        <v>1090</v>
      </c>
      <c r="AL19" s="369" t="str">
        <f>INDEX(cbalR2LOB1EmpStatClinician10,xxIndexTeam)</f>
        <v>Full-Time</v>
      </c>
      <c r="AM19" s="532" t="s">
        <v>1091</v>
      </c>
      <c r="AN19" s="369" t="str">
        <f>INDEX(cbalR2LOB1NameClinician10,xxIndexTeam)</f>
        <v>Ginger Gault  </v>
      </c>
      <c r="AO19" s="532" t="s">
        <v>1092</v>
      </c>
      <c r="AP19" s="369" t="s">
        <v>552</v>
      </c>
      <c r="AQ19" s="532" t="s">
        <v>1093</v>
      </c>
      <c r="AR19" s="471">
        <f>INDEX(calcR2LOB1Clinician10BaseProd,xxIndexTeam)</f>
        <v>25.05263157894737</v>
      </c>
      <c r="AS19" s="532" t="s">
        <v>1094</v>
      </c>
      <c r="AT19" s="471">
        <f>INDEX(calcR2LOB1Clinician10AllocatedProd,xxIndexTeam)</f>
        <v>29.209660644201733</v>
      </c>
      <c r="AU19" s="532" t="s">
        <v>4946</v>
      </c>
      <c r="AV19" s="524">
        <v>0</v>
      </c>
      <c r="AW19" s="532" t="s">
        <v>3396</v>
      </c>
      <c r="AX19" s="471">
        <f>INDEX(calcR2LOB1Clinician10GrossProd,xxIndexTeam)</f>
        <v>25.05263157894737</v>
      </c>
      <c r="AY19" s="532" t="s">
        <v>1095</v>
      </c>
      <c r="AZ19" s="471">
        <f>INDEX(calcR2LOB1Clinician10MissVisits,xxIndexTeam)</f>
        <v>1.2526315789473685</v>
      </c>
      <c r="BA19" s="532" t="s">
        <v>1096</v>
      </c>
      <c r="BB19" s="471">
        <f>INDEX(cbalR2LOB1MileageClinician10,xxIndexTeam)</f>
        <v>77.663157894736855</v>
      </c>
      <c r="BC19" s="532" t="s">
        <v>1097</v>
      </c>
      <c r="BD19" s="369">
        <f>INDEX(cbalR2LOB1AdminTimeClinician10,xxIndexTeam)</f>
        <v>2</v>
      </c>
      <c r="BE19" s="532" t="s">
        <v>1098</v>
      </c>
      <c r="BF19" s="471">
        <f>INDEX(calcR2LOB1Clinician10OverTime,xxIndexTeam)</f>
        <v>0</v>
      </c>
      <c r="BG19" s="532" t="s">
        <v>1099</v>
      </c>
    </row>
    <row r="20" spans="3:59" s="288" customFormat="1" ht="14.25" customHeight="1" thickBot="1">
      <c r="C20" s="372">
        <v>0</v>
      </c>
      <c r="D20" s="532" t="s">
        <v>3367</v>
      </c>
      <c r="E20" s="717" t="s">
        <v>7901</v>
      </c>
      <c r="F20" s="532" t="s">
        <v>3368</v>
      </c>
      <c r="G20" s="492" t="s">
        <v>32</v>
      </c>
      <c r="H20" s="532" t="s">
        <v>2831</v>
      </c>
      <c r="I20" s="492" t="s">
        <v>32</v>
      </c>
      <c r="J20" s="532" t="s">
        <v>2832</v>
      </c>
      <c r="K20" s="370">
        <f>INDEX(cbalLOB1NameClinician11,xxIndexTeam)</f>
        <v>0</v>
      </c>
      <c r="L20" s="532" t="s">
        <v>2815</v>
      </c>
      <c r="M20" s="370" t="s">
        <v>552</v>
      </c>
      <c r="N20" s="532" t="s">
        <v>2816</v>
      </c>
      <c r="O20" s="472">
        <f>INDEX(calcLOB1Clinician11BaseProd,xxIndexTeam)</f>
        <v>0</v>
      </c>
      <c r="P20" s="532" t="s">
        <v>2817</v>
      </c>
      <c r="Q20" s="472">
        <f>INDEX(calcLOB1Clinician11AllocatedProd,xxIndexTeam)</f>
        <v>0</v>
      </c>
      <c r="R20" s="532" t="s">
        <v>4935</v>
      </c>
      <c r="S20" s="524">
        <v>0</v>
      </c>
      <c r="T20" s="532" t="s">
        <v>3385</v>
      </c>
      <c r="U20" s="472">
        <f>INDEX(calcLOB1Clinician11GrossProd,xxIndexTeam)</f>
        <v>0</v>
      </c>
      <c r="V20" s="532" t="s">
        <v>2818</v>
      </c>
      <c r="W20" s="472">
        <f>INDEX(calcLOB1Clinician11MissVisits,xxIndexTeam)</f>
        <v>0</v>
      </c>
      <c r="X20" s="532" t="s">
        <v>2819</v>
      </c>
      <c r="Y20" s="472">
        <f>INDEX(cbalLOB1MileageClinician11,xxIndexTeam)</f>
        <v>0</v>
      </c>
      <c r="Z20" s="532" t="s">
        <v>2820</v>
      </c>
      <c r="AA20" s="370">
        <f>INDEX(cbalLOB1AdminTimeClinician11,xxIndexTeam)</f>
        <v>0</v>
      </c>
      <c r="AB20" s="532" t="s">
        <v>2821</v>
      </c>
      <c r="AC20" s="472">
        <f>INDEX(calcLOB1Clinician11OverTime,xxIndexTeam)</f>
        <v>0</v>
      </c>
      <c r="AD20" s="532" t="s">
        <v>2822</v>
      </c>
      <c r="AF20" s="372">
        <v>0</v>
      </c>
      <c r="AG20" s="532" t="s">
        <v>3371</v>
      </c>
      <c r="AH20" s="717" t="s">
        <v>7901</v>
      </c>
      <c r="AI20" s="532" t="s">
        <v>3372</v>
      </c>
      <c r="AJ20" s="492" t="s">
        <v>32</v>
      </c>
      <c r="AK20" s="532" t="s">
        <v>2833</v>
      </c>
      <c r="AL20" s="492" t="s">
        <v>32</v>
      </c>
      <c r="AM20" s="532" t="s">
        <v>2834</v>
      </c>
      <c r="AN20" s="370">
        <f>INDEX(cbalR2LOB1NameClinician11,xxIndexTeam)</f>
        <v>0</v>
      </c>
      <c r="AO20" s="532" t="s">
        <v>2823</v>
      </c>
      <c r="AP20" s="370" t="s">
        <v>552</v>
      </c>
      <c r="AQ20" s="532" t="s">
        <v>2824</v>
      </c>
      <c r="AR20" s="472">
        <f>INDEX(calcR2LOB1Clinician11BaseProd,xxIndexTeam)</f>
        <v>0</v>
      </c>
      <c r="AS20" s="532" t="s">
        <v>2825</v>
      </c>
      <c r="AT20" s="472">
        <f>INDEX(calcR2LOB1Clinician11AllocatedProd,xxIndexTeam)</f>
        <v>0</v>
      </c>
      <c r="AU20" s="532" t="s">
        <v>4947</v>
      </c>
      <c r="AV20" s="524">
        <v>0</v>
      </c>
      <c r="AW20" s="532" t="s">
        <v>3397</v>
      </c>
      <c r="AX20" s="472">
        <f>INDEX(calcR2LOB1Clinician11GrossProd,xxIndexTeam)</f>
        <v>0</v>
      </c>
      <c r="AY20" s="532" t="s">
        <v>2826</v>
      </c>
      <c r="AZ20" s="472">
        <f>INDEX(calcR2LOB1Clinician11MissVisits,xxIndexTeam)</f>
        <v>0</v>
      </c>
      <c r="BA20" s="532" t="s">
        <v>2827</v>
      </c>
      <c r="BB20" s="472">
        <f>INDEX(cbalR2LOB1MileageClinician11,xxIndexTeam)</f>
        <v>0</v>
      </c>
      <c r="BC20" s="532" t="s">
        <v>2828</v>
      </c>
      <c r="BD20" s="370">
        <f>INDEX(cbalR2LOB1AdminTimeClinician11,xxIndexTeam)</f>
        <v>0</v>
      </c>
      <c r="BE20" s="532" t="s">
        <v>2829</v>
      </c>
      <c r="BF20" s="472">
        <f>INDEX(calcR2LOB1Clinician11OverTime,xxIndexTeam)</f>
        <v>0</v>
      </c>
      <c r="BG20" s="532" t="s">
        <v>2830</v>
      </c>
    </row>
    <row r="21" spans="3:59" s="288" customFormat="1" ht="14.25" customHeight="1" thickBot="1">
      <c r="C21" s="372">
        <v>0</v>
      </c>
      <c r="D21" s="532" t="s">
        <v>3369</v>
      </c>
      <c r="E21" s="717" t="s">
        <v>7901</v>
      </c>
      <c r="F21" s="532" t="s">
        <v>3370</v>
      </c>
      <c r="G21" s="492" t="s">
        <v>32</v>
      </c>
      <c r="H21" s="532" t="s">
        <v>2868</v>
      </c>
      <c r="I21" s="492" t="s">
        <v>32</v>
      </c>
      <c r="J21" s="532" t="s">
        <v>2869</v>
      </c>
      <c r="K21" s="369">
        <f>INDEX(cbalLOB1NameClinician12,xxIndexTeam)</f>
        <v>0</v>
      </c>
      <c r="L21" s="532" t="s">
        <v>2872</v>
      </c>
      <c r="M21" s="369" t="s">
        <v>552</v>
      </c>
      <c r="N21" s="532" t="s">
        <v>2873</v>
      </c>
      <c r="O21" s="471">
        <f>INDEX(calcLOB1Clinician12BaseProd,xxIndexTeam)</f>
        <v>0</v>
      </c>
      <c r="P21" s="532" t="s">
        <v>2874</v>
      </c>
      <c r="Q21" s="471">
        <f>INDEX(calcLOB1Clinician12AllocatedProd,xxIndexTeam)</f>
        <v>0</v>
      </c>
      <c r="R21" s="532" t="s">
        <v>4936</v>
      </c>
      <c r="S21" s="524">
        <v>0</v>
      </c>
      <c r="T21" s="532" t="s">
        <v>3386</v>
      </c>
      <c r="U21" s="471">
        <f>INDEX(calcLOB1Clinician12GrossProd,xxIndexTeam)</f>
        <v>0</v>
      </c>
      <c r="V21" s="532" t="s">
        <v>2875</v>
      </c>
      <c r="W21" s="471">
        <f>INDEX(calcLOB1Clinician12MissVisits,xxIndexTeam)</f>
        <v>0</v>
      </c>
      <c r="X21" s="532" t="s">
        <v>2876</v>
      </c>
      <c r="Y21" s="471">
        <f>INDEX(cbalLOB1MileageClinician12,xxIndexTeam)</f>
        <v>0</v>
      </c>
      <c r="Z21" s="532" t="s">
        <v>2877</v>
      </c>
      <c r="AA21" s="369">
        <f>INDEX(cbalLOB1AdminTimeClinician12,xxIndexTeam)</f>
        <v>0</v>
      </c>
      <c r="AB21" s="532" t="s">
        <v>2878</v>
      </c>
      <c r="AC21" s="471">
        <f>INDEX(calcLOB1Clinician12OverTime,xxIndexTeam)</f>
        <v>0</v>
      </c>
      <c r="AD21" s="532" t="s">
        <v>2879</v>
      </c>
      <c r="AF21" s="372">
        <v>0</v>
      </c>
      <c r="AG21" s="297" t="s">
        <v>3373</v>
      </c>
      <c r="AH21" s="717" t="s">
        <v>7901</v>
      </c>
      <c r="AI21" s="297" t="s">
        <v>3374</v>
      </c>
      <c r="AJ21" s="492" t="s">
        <v>32</v>
      </c>
      <c r="AK21" s="532" t="s">
        <v>2870</v>
      </c>
      <c r="AL21" s="492" t="s">
        <v>32</v>
      </c>
      <c r="AM21" s="532" t="s">
        <v>2871</v>
      </c>
      <c r="AN21" s="369">
        <f>INDEX(cbalR2LOB1NameClinician12,xxIndexTeam)</f>
        <v>0</v>
      </c>
      <c r="AO21" s="532" t="s">
        <v>2880</v>
      </c>
      <c r="AP21" s="369" t="s">
        <v>552</v>
      </c>
      <c r="AQ21" s="532" t="s">
        <v>2881</v>
      </c>
      <c r="AR21" s="471">
        <f>INDEX(calcR2LOB1Clinician12BaseProd,xxIndexTeam)</f>
        <v>0</v>
      </c>
      <c r="AS21" s="532" t="s">
        <v>2882</v>
      </c>
      <c r="AT21" s="471">
        <f>INDEX(calcR2LOB1Clinician12AllocatedProd,xxIndexTeam)</f>
        <v>0</v>
      </c>
      <c r="AU21" s="532" t="s">
        <v>4948</v>
      </c>
      <c r="AV21" s="524">
        <v>0</v>
      </c>
      <c r="AW21" s="532" t="s">
        <v>3398</v>
      </c>
      <c r="AX21" s="471">
        <f>INDEX(calcR2LOB1Clinician12GrossProd,xxIndexTeam)</f>
        <v>0</v>
      </c>
      <c r="AY21" s="532" t="s">
        <v>2883</v>
      </c>
      <c r="AZ21" s="471">
        <f>INDEX(calcR2LOB1Clinician12MissVisits,xxIndexTeam)</f>
        <v>0</v>
      </c>
      <c r="BA21" s="532" t="s">
        <v>2884</v>
      </c>
      <c r="BB21" s="471">
        <f>INDEX(cbalR2LOB1MileageClinician12,xxIndexTeam)</f>
        <v>0</v>
      </c>
      <c r="BC21" s="532" t="s">
        <v>2885</v>
      </c>
      <c r="BD21" s="369">
        <f>INDEX(cbalR2LOB1AdminTimeClinician12,xxIndexTeam)</f>
        <v>0</v>
      </c>
      <c r="BE21" s="532" t="s">
        <v>2886</v>
      </c>
      <c r="BF21" s="471">
        <f>INDEX(calcR2LOB1Clinician12OverTime,xxIndexTeam)</f>
        <v>0</v>
      </c>
      <c r="BG21" s="297" t="s">
        <v>2887</v>
      </c>
    </row>
    <row r="22" spans="3:59" s="288" customFormat="1" ht="14.25" customHeight="1">
      <c r="V22" s="532"/>
      <c r="X22" s="532"/>
      <c r="Z22" s="532"/>
      <c r="AB22" s="532"/>
      <c r="AD22" s="532"/>
    </row>
    <row r="23" spans="3:59" s="288" customFormat="1" ht="14.25" customHeight="1">
      <c r="R23" s="340" t="s">
        <v>4705</v>
      </c>
      <c r="U23" s="288" t="s">
        <v>8253</v>
      </c>
      <c r="W23" s="288" t="s">
        <v>8338</v>
      </c>
      <c r="Y23" s="288" t="s">
        <v>8345</v>
      </c>
      <c r="AU23" s="340" t="s">
        <v>4705</v>
      </c>
      <c r="AX23" s="288" t="s">
        <v>8253</v>
      </c>
      <c r="AZ23" s="288" t="s">
        <v>8338</v>
      </c>
      <c r="BB23" s="288" t="s">
        <v>8345</v>
      </c>
    </row>
    <row r="24" spans="3:59" s="288" customFormat="1" ht="14.25" customHeight="1">
      <c r="R24" s="340" t="str">
        <f>nmEmp1</f>
        <v>Skilled Nursing</v>
      </c>
      <c r="S24" s="488">
        <f>1-INDEX(caclLOB1Emp1Utilization,1)</f>
        <v>-0.12595755214253779</v>
      </c>
      <c r="U24" s="754">
        <f>INDEX(calcLOB1Emp1Count,xxIndexTeam)</f>
        <v>14.405000000000001</v>
      </c>
      <c r="V24" s="532" t="s">
        <v>8380</v>
      </c>
      <c r="W24" s="755">
        <f>INDEX(calcLOB1Emp1AllocatedProd,xxIndexTeam)/INDEX(calcLOB1Emp1Count,xxIndexTeam)</f>
        <v>30.801804928844152</v>
      </c>
      <c r="X24" s="532" t="s">
        <v>8383</v>
      </c>
      <c r="Y24" s="755">
        <f>INDEX(calcLOB1Emp1GrossProdCapacity,xxIndexTeam)/INDEX(calcLOB1Emp1Count,xxIndexTeam)</f>
        <v>27.356097812242275</v>
      </c>
      <c r="Z24" s="532" t="s">
        <v>8386</v>
      </c>
      <c r="AA24" s="483"/>
      <c r="AU24" s="340" t="str">
        <f>nmEmp1</f>
        <v>Skilled Nursing</v>
      </c>
      <c r="AV24" s="488">
        <f>1-INDEX(calcR2LOB1Emp1Utilization,1)</f>
        <v>-0.30552855678251811</v>
      </c>
      <c r="AX24" s="754">
        <f>INDEX(calcR2LOB1Emp1Count,xxIndexTeam)</f>
        <v>12.759412657182299</v>
      </c>
      <c r="AY24" s="532" t="s">
        <v>8389</v>
      </c>
      <c r="AZ24" s="755">
        <f>INDEX(calcR2LOB1Emp1AllocatedProd,xxIndexTeam)/INDEX(calcR2LOB1Emp1Count,xxIndexTeam)</f>
        <v>35.307267826815888</v>
      </c>
      <c r="BA24" s="532" t="s">
        <v>8392</v>
      </c>
      <c r="BB24" s="755">
        <f>INDEX(calcR2LOB1Emp1GrossProdCapacity,xxIndexTeam)/INDEX(calcR2LOB1Emp1Count,xxIndexTeam)</f>
        <v>27.04442399470053</v>
      </c>
      <c r="BC24" s="532" t="s">
        <v>8395</v>
      </c>
      <c r="BD24" s="483"/>
    </row>
    <row r="25" spans="3:59" s="288" customFormat="1" ht="14.25" customHeight="1">
      <c r="R25" s="340" t="str">
        <f>nmEmp2</f>
        <v>Occupational Therapy</v>
      </c>
      <c r="S25" s="488">
        <f>1-INDEX(caclLOB1Emp2Utilization,1)</f>
        <v>-0.14833286138097668</v>
      </c>
      <c r="U25" s="754">
        <f>INDEX(calcLOB1Disc4EmpCount,xxIndexTeam)</f>
        <v>3.5649999999999999</v>
      </c>
      <c r="V25" s="532" t="s">
        <v>8381</v>
      </c>
      <c r="W25" s="755">
        <f>INDEX(calcLOB1Emp2AllocatedProd,xxIndexTeam)/INDEX(calcLOB1Disc4EmpCount,xxIndexTeam)</f>
        <v>32.030154277699857</v>
      </c>
      <c r="X25" s="532" t="s">
        <v>8384</v>
      </c>
      <c r="Y25" s="755">
        <f>INDEX(calcLOB1Emp2GrossProdCapacity,xxIndexTeam)/INDEX(calcLOB1Disc4EmpCount,xxIndexTeam)</f>
        <v>27.892743780910905</v>
      </c>
      <c r="Z25" s="532" t="s">
        <v>8387</v>
      </c>
      <c r="AA25" s="483"/>
      <c r="AU25" s="340" t="str">
        <f>nmEmp2</f>
        <v>Occupational Therapy</v>
      </c>
      <c r="AV25" s="488">
        <f>1-INDEX(calcR2LOB1Emp2Utilization,1)</f>
        <v>-0.34151936698138696</v>
      </c>
      <c r="AX25" s="754">
        <f>INDEX(calcR2LOB1Disc4EmpCount,xxIndexTeam)</f>
        <v>3.1162034519588091</v>
      </c>
      <c r="AY25" s="532" t="s">
        <v>8390</v>
      </c>
      <c r="AZ25" s="755">
        <f>INDEX(calcR2LOB1Emp2AllocatedProd,xxIndexTeam)/INDEX(calcR2LOB1Disc4EmpCount,xxIndexTeam)</f>
        <v>37.204727415061122</v>
      </c>
      <c r="BA25" s="532" t="s">
        <v>8393</v>
      </c>
      <c r="BB25" s="755">
        <f>INDEX(calcR2LOB1Emp2GrossProdCapacity,xxIndexTeam)/INDEX(calcR2LOB1Disc4EmpCount,xxIndexTeam)</f>
        <v>27.73327641089308</v>
      </c>
      <c r="BC25" s="532" t="s">
        <v>8396</v>
      </c>
      <c r="BD25" s="483"/>
    </row>
    <row r="26" spans="3:59" s="288" customFormat="1" ht="14.25" customHeight="1">
      <c r="R26" s="340" t="str">
        <f>nmEmp3</f>
        <v>Physical Therapy</v>
      </c>
      <c r="S26" s="488">
        <f>1-INDEX(caclLOB1Emp3Utilization,1)</f>
        <v>-0.15269748550721718</v>
      </c>
      <c r="U26" s="754">
        <f>INDEX(calcLOB1Disc3EmpCount,xxIndexTeam)</f>
        <v>12.55</v>
      </c>
      <c r="V26" s="532" t="s">
        <v>8382</v>
      </c>
      <c r="W26" s="755">
        <f>INDEX(calcLOB1Emp3AllocatedProd,xxIndexTeam)/INDEX(calcLOB1Disc3EmpCount,xxIndexTeam)</f>
        <v>35.354581673306768</v>
      </c>
      <c r="X26" s="532" t="s">
        <v>8385</v>
      </c>
      <c r="Y26" s="755">
        <f>INDEX(calcLOB1Emp3GrossProdCapacity,xxIndexTeam)/INDEX(calcLOB1Disc3EmpCount,xxIndexTeam)</f>
        <v>30.671170986158458</v>
      </c>
      <c r="Z26" s="532" t="s">
        <v>8388</v>
      </c>
      <c r="AA26" s="483"/>
      <c r="AU26" s="340" t="str">
        <f>nmEmp3</f>
        <v>Physical Therapy</v>
      </c>
      <c r="AV26" s="488">
        <f>1-INDEX(calcR2LOB1Emp3Utilization,1)</f>
        <v>-0.34254958870981644</v>
      </c>
      <c r="AX26" s="754">
        <f>INDEX(calcR2LOB1Disc3EmpCount,xxIndexTeam)</f>
        <v>11.054011506529363</v>
      </c>
      <c r="AY26" s="532" t="s">
        <v>8391</v>
      </c>
      <c r="AZ26" s="755">
        <f>INDEX(calcR2LOB1Emp3AllocatedProd,xxIndexTeam)/INDEX(calcR2LOB1Disc3EmpCount,xxIndexTeam)</f>
        <v>40.754435594164114</v>
      </c>
      <c r="BA26" s="532" t="s">
        <v>8394</v>
      </c>
      <c r="BB26" s="755">
        <f>INDEX(calcR2LOB1Emp3GrossProdCapacity,xxIndexTeam)/INDEX(calcR2LOB1Disc3EmpCount,xxIndexTeam)</f>
        <v>30.356000208028764</v>
      </c>
      <c r="BC26" s="532" t="s">
        <v>8397</v>
      </c>
      <c r="BD26" s="483"/>
    </row>
    <row r="27" spans="3:59" s="288" customFormat="1" ht="14.25" customHeight="1">
      <c r="R27" s="340"/>
      <c r="W27" s="338"/>
      <c r="AU27" s="340"/>
    </row>
    <row r="28" spans="3:59" s="288" customFormat="1" ht="14.25" customHeight="1">
      <c r="R28" s="340"/>
      <c r="AU28" s="340"/>
    </row>
    <row r="29" spans="3:59" s="288" customFormat="1" ht="14.25" customHeight="1">
      <c r="R29" s="340"/>
      <c r="AU29" s="340"/>
    </row>
    <row r="30" spans="3:59" s="30" customFormat="1" ht="15" customHeight="1">
      <c r="I30" s="541"/>
      <c r="K30" s="541"/>
      <c r="M30" s="548"/>
    </row>
    <row r="31" spans="3:59" s="30" customFormat="1" ht="15" customHeight="1">
      <c r="I31" s="541"/>
      <c r="K31" s="541"/>
      <c r="M31" s="547"/>
      <c r="Q31" s="547"/>
    </row>
    <row r="32" spans="3:59" s="288" customFormat="1" ht="14.25" customHeight="1">
      <c r="W32" s="288" t="s">
        <v>4908</v>
      </c>
      <c r="AZ32" s="288" t="s">
        <v>4908</v>
      </c>
    </row>
    <row r="33" spans="3:59" s="288" customFormat="1" ht="14.25" customHeight="1">
      <c r="C33" s="288" t="s">
        <v>8172</v>
      </c>
      <c r="F33" s="300">
        <f>IF(INDEX(paramLOB1ClinicianRecruitment,xxIndexTeam)=1,0,1)</f>
        <v>0</v>
      </c>
      <c r="G33" s="288" t="s">
        <v>8174</v>
      </c>
      <c r="W33" s="288" t="str">
        <f>nmDisc1</f>
        <v>RN</v>
      </c>
      <c r="Y33" s="658">
        <f>INDEX(calcLOB1Disc1TotalVisitsPerc,xxIndexTeam)</f>
        <v>0.53194496796079904</v>
      </c>
      <c r="Z33" s="288" t="s">
        <v>5065</v>
      </c>
      <c r="AI33" s="300">
        <f>IF(INDEX(paramR2LOB1ClinicianRecruitment,xxIndexTeam)=1,0,1)</f>
        <v>0</v>
      </c>
      <c r="AJ33" s="288" t="s">
        <v>8175</v>
      </c>
      <c r="AZ33" s="288" t="str">
        <f>nmDisc1</f>
        <v>RN</v>
      </c>
      <c r="BB33" s="658">
        <f>INDEX(calcR2LOB1Disc1TotalVisitsPerc,xxIndexTeam)</f>
        <v>0.53194496796079904</v>
      </c>
      <c r="BC33" s="288" t="s">
        <v>5073</v>
      </c>
    </row>
    <row r="34" spans="3:59" s="288" customFormat="1" ht="14.25" customHeight="1">
      <c r="C34" s="288" t="s">
        <v>8173</v>
      </c>
      <c r="F34" s="300">
        <f>IF(INDEX(paramLOB1ClinicianRecruitment,xxIndexTeam)&gt;1,0,1)</f>
        <v>1</v>
      </c>
      <c r="G34" s="288" t="s">
        <v>8177</v>
      </c>
      <c r="W34" s="288" t="str">
        <f>nmDisc2</f>
        <v>LPN</v>
      </c>
      <c r="Y34" s="658">
        <f>INDEX(calcLOB1Disc2TotalVisitsPerc,xxIndexTeam)</f>
        <v>0.4680550320392009</v>
      </c>
      <c r="Z34" s="288" t="s">
        <v>5066</v>
      </c>
      <c r="AI34" s="300">
        <f>IF(INDEX(paramR2LOB1ClinicianRecruitment,xxIndexTeam)&gt;1,0,1)</f>
        <v>1</v>
      </c>
      <c r="AJ34" s="288" t="s">
        <v>8176</v>
      </c>
      <c r="AZ34" s="288" t="str">
        <f>nmDisc2</f>
        <v>LPN</v>
      </c>
      <c r="BB34" s="658">
        <f>INDEX(calcR2LOB1Disc2TotalVisitsPerc,xxIndexTeam)</f>
        <v>0.4680550320392009</v>
      </c>
      <c r="BC34" s="288" t="s">
        <v>5074</v>
      </c>
    </row>
    <row r="35" spans="3:59" s="288" customFormat="1" ht="14.25" customHeight="1">
      <c r="C35" s="288" t="s">
        <v>4911</v>
      </c>
      <c r="F35" s="300">
        <f>3-INDEX(calcLOB1MeetingCount,xxIndexTeam)</f>
        <v>3</v>
      </c>
      <c r="G35" s="532" t="s">
        <v>4912</v>
      </c>
      <c r="W35" s="288" t="s">
        <v>7674</v>
      </c>
      <c r="Y35" s="658">
        <f>INDEX(calcLOB1Disc2BelowLicsenceVisits,xxIndexTeam)</f>
        <v>6.1944967960799124E-2</v>
      </c>
      <c r="Z35" s="288" t="s">
        <v>5064</v>
      </c>
      <c r="AF35" s="288" t="s">
        <v>4911</v>
      </c>
      <c r="AI35" s="300">
        <f>3-INDEX(calcR2LOB1MeetingCount,xxIndexTeam)</f>
        <v>3</v>
      </c>
      <c r="AJ35" s="532" t="s">
        <v>4913</v>
      </c>
      <c r="AZ35" s="288" t="s">
        <v>7674</v>
      </c>
      <c r="BB35" s="658">
        <f>INDEX(calcR2LOB1Disc2BelowLicsenceVisits,xxIndexTeam)</f>
        <v>6.1944967960799124E-2</v>
      </c>
      <c r="BC35" s="288" t="s">
        <v>5075</v>
      </c>
    </row>
    <row r="36" spans="3:59" s="288" customFormat="1" ht="14.25" customHeight="1">
      <c r="C36" s="288" t="s">
        <v>4131</v>
      </c>
      <c r="F36" s="300">
        <f>INDEX(calcLOB1MeetingCount,xxIndexTeam)</f>
        <v>0</v>
      </c>
      <c r="G36" s="532" t="s">
        <v>4134</v>
      </c>
      <c r="V36" s="532"/>
      <c r="X36" s="532"/>
      <c r="Z36" s="532"/>
      <c r="AB36" s="532"/>
      <c r="AD36" s="532"/>
      <c r="AF36" s="288" t="s">
        <v>4131</v>
      </c>
      <c r="AI36" s="300">
        <f>INDEX(calcR2LOB1MeetingCount,xxIndexTeam)</f>
        <v>0</v>
      </c>
      <c r="AJ36" s="532" t="s">
        <v>4135</v>
      </c>
    </row>
    <row r="37" spans="3:59" s="288" customFormat="1" ht="14.25" customHeight="1">
      <c r="C37" s="288" t="s">
        <v>4350</v>
      </c>
      <c r="F37" s="300">
        <v>0</v>
      </c>
      <c r="G37" s="532" t="s">
        <v>5056</v>
      </c>
      <c r="AF37" s="288" t="s">
        <v>4350</v>
      </c>
      <c r="AI37" s="300">
        <v>0</v>
      </c>
      <c r="AJ37" s="532" t="s">
        <v>4976</v>
      </c>
    </row>
    <row r="38" spans="3:59" ht="22" customHeight="1">
      <c r="I38" s="542"/>
      <c r="K38" s="331"/>
      <c r="M38" s="545"/>
      <c r="Q38" s="545"/>
      <c r="AE38" s="29" t="s">
        <v>408</v>
      </c>
      <c r="AF38" s="29" t="s">
        <v>408</v>
      </c>
      <c r="AG38" s="29" t="s">
        <v>408</v>
      </c>
      <c r="AJ38" s="29" t="s">
        <v>408</v>
      </c>
      <c r="AK38" s="29" t="s">
        <v>408</v>
      </c>
      <c r="AL38" s="29" t="s">
        <v>408</v>
      </c>
      <c r="AM38" s="29" t="s">
        <v>408</v>
      </c>
    </row>
    <row r="39" spans="3:59">
      <c r="I39" s="542"/>
      <c r="J39" s="288"/>
      <c r="K39" s="288"/>
      <c r="L39" s="288"/>
      <c r="M39" s="543"/>
      <c r="N39" s="582"/>
      <c r="O39" s="288"/>
      <c r="P39" s="288"/>
      <c r="Q39" s="546"/>
      <c r="U39" s="288"/>
      <c r="V39" s="288"/>
      <c r="Y39" s="288"/>
      <c r="Z39" s="288"/>
      <c r="AB39" s="288"/>
      <c r="AE39" s="29" t="s">
        <v>408</v>
      </c>
      <c r="AF39" s="29" t="s">
        <v>408</v>
      </c>
      <c r="AG39" s="29" t="s">
        <v>408</v>
      </c>
      <c r="AI39" s="288"/>
      <c r="AJ39" s="29" t="s">
        <v>408</v>
      </c>
      <c r="AK39" s="29" t="s">
        <v>408</v>
      </c>
      <c r="AL39" s="29" t="s">
        <v>408</v>
      </c>
      <c r="AM39" s="29" t="s">
        <v>408</v>
      </c>
      <c r="AN39" s="288"/>
      <c r="AO39" s="288"/>
      <c r="AR39" s="288"/>
      <c r="AS39" s="288"/>
      <c r="AX39" s="288"/>
      <c r="AY39" s="288"/>
      <c r="BB39" s="288"/>
      <c r="BC39" s="288"/>
      <c r="BE39" s="288"/>
      <c r="BG39" s="288"/>
    </row>
    <row r="40" spans="3:59">
      <c r="I40" s="542"/>
      <c r="K40" s="331"/>
      <c r="M40" s="543"/>
      <c r="Q40" s="543"/>
      <c r="W40" s="29" t="s">
        <v>408</v>
      </c>
      <c r="AE40" s="29" t="s">
        <v>408</v>
      </c>
      <c r="AF40" s="29" t="s">
        <v>408</v>
      </c>
      <c r="AG40" s="29" t="s">
        <v>408</v>
      </c>
      <c r="AJ40" s="29" t="s">
        <v>408</v>
      </c>
      <c r="AK40" s="29" t="s">
        <v>408</v>
      </c>
      <c r="AL40" s="29" t="s">
        <v>408</v>
      </c>
      <c r="AM40" s="29" t="s">
        <v>408</v>
      </c>
      <c r="AZ40" s="29" t="s">
        <v>408</v>
      </c>
    </row>
    <row r="41" spans="3:59">
      <c r="I41" s="542"/>
      <c r="K41" s="331"/>
      <c r="M41" s="543"/>
      <c r="Q41" s="543"/>
    </row>
    <row r="42" spans="3:59">
      <c r="K42" s="331"/>
      <c r="M42" s="544"/>
    </row>
    <row r="46" spans="3:59">
      <c r="G46" s="197"/>
    </row>
    <row r="47" spans="3:59">
      <c r="G47" s="197"/>
    </row>
    <row r="48" spans="3:59">
      <c r="C48" s="288"/>
      <c r="D48" s="291" t="s">
        <v>457</v>
      </c>
      <c r="E48" s="291"/>
      <c r="F48" s="288" t="s">
        <v>232</v>
      </c>
    </row>
    <row r="50" spans="4:5">
      <c r="D50" s="197" t="s">
        <v>32</v>
      </c>
      <c r="E50" s="197" t="s">
        <v>32</v>
      </c>
    </row>
    <row r="51" spans="4:5">
      <c r="D51" s="197" t="s">
        <v>550</v>
      </c>
      <c r="E51" s="197" t="s">
        <v>551</v>
      </c>
    </row>
    <row r="52" spans="4:5">
      <c r="D52" s="197" t="s">
        <v>554</v>
      </c>
      <c r="E52" s="197" t="s">
        <v>553</v>
      </c>
    </row>
    <row r="53" spans="4:5">
      <c r="D53" s="197" t="s">
        <v>556</v>
      </c>
    </row>
    <row r="54" spans="4:5">
      <c r="D54" s="197" t="s">
        <v>8485</v>
      </c>
    </row>
    <row r="55" spans="4:5">
      <c r="D55" s="197" t="s">
        <v>555</v>
      </c>
    </row>
    <row r="56" spans="4:5">
      <c r="D56" s="197" t="s">
        <v>8486</v>
      </c>
    </row>
  </sheetData>
  <dataValidations count="2">
    <dataValidation type="list" allowBlank="1" showInputMessage="1" showErrorMessage="1" sqref="I20:I21 AL20:AL21">
      <formula1>$E$50:$E$52</formula1>
    </dataValidation>
    <dataValidation type="list" allowBlank="1" showInputMessage="1" showErrorMessage="1" sqref="G20:G21 AJ20:AJ21">
      <formula1>$D$50:$D$56</formula1>
    </dataValidation>
  </dataValidations>
  <pageMargins left="0.7" right="0.7" top="0.75" bottom="0.75" header="0.3" footer="0.3"/>
  <pageSetup orientation="portrait" horizontalDpi="4294967292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/>
  </sheetPr>
  <dimension ref="B1:X50"/>
  <sheetViews>
    <sheetView showGridLines="0" zoomScaleNormal="100" workbookViewId="0">
      <selection activeCell="E18" sqref="E18"/>
    </sheetView>
  </sheetViews>
  <sheetFormatPr defaultColWidth="9" defaultRowHeight="15"/>
  <cols>
    <col min="1" max="2" width="2.77734375" style="29" customWidth="1"/>
    <col min="3" max="3" width="20.77734375" style="29" customWidth="1"/>
    <col min="4" max="4" width="8.33203125" style="29" customWidth="1"/>
    <col min="5" max="5" width="33.44140625" style="29" customWidth="1"/>
    <col min="6" max="6" width="11.33203125" style="29" customWidth="1"/>
    <col min="7" max="7" width="17.33203125" style="29" customWidth="1"/>
    <col min="8" max="8" width="7.77734375" style="29" customWidth="1"/>
    <col min="9" max="9" width="12.44140625" style="29" customWidth="1"/>
    <col min="10" max="11" width="7.77734375" style="29" customWidth="1"/>
    <col min="12" max="12" width="5.77734375" style="29" customWidth="1"/>
    <col min="13" max="13" width="20.77734375" style="29" customWidth="1"/>
    <col min="14" max="14" width="8.109375" style="29" customWidth="1"/>
    <col min="15" max="15" width="33.44140625" style="29" customWidth="1"/>
    <col min="16" max="16" width="11.33203125" style="29" customWidth="1"/>
    <col min="17" max="17" width="17.33203125" style="29" customWidth="1"/>
    <col min="18" max="18" width="7.77734375" style="29" customWidth="1"/>
    <col min="19" max="19" width="12.44140625" style="29" customWidth="1"/>
    <col min="20" max="21" width="7.77734375" style="29" customWidth="1"/>
    <col min="22" max="16384" width="9" style="29"/>
  </cols>
  <sheetData>
    <row r="1" spans="2:24" s="31" customFormat="1" ht="6" customHeight="1">
      <c r="C1" s="285"/>
      <c r="D1" s="285"/>
      <c r="M1" s="285"/>
      <c r="N1" s="285"/>
    </row>
    <row r="2" spans="2:24" s="31" customFormat="1" ht="26.25" customHeight="1">
      <c r="C2" s="286" t="str">
        <f>xxProgramName</f>
        <v>Care Center Simulation Experience</v>
      </c>
      <c r="D2" s="286"/>
      <c r="M2" s="286" t="str">
        <f>xxProgramName</f>
        <v>Care Center Simulation Experience</v>
      </c>
      <c r="N2" s="286"/>
    </row>
    <row r="3" spans="2:24" s="31" customFormat="1" ht="15" customHeight="1">
      <c r="B3" s="347"/>
      <c r="C3" s="349" t="s">
        <v>473</v>
      </c>
      <c r="D3" s="349"/>
      <c r="E3" s="348"/>
      <c r="F3" s="348"/>
      <c r="G3" s="348"/>
      <c r="H3" s="348"/>
      <c r="I3" s="348"/>
      <c r="J3" s="348"/>
      <c r="K3" s="348"/>
      <c r="L3" s="377"/>
      <c r="M3" s="377" t="s">
        <v>474</v>
      </c>
      <c r="N3" s="377"/>
      <c r="O3" s="377"/>
      <c r="P3" s="377"/>
      <c r="Q3" s="377"/>
      <c r="R3" s="377"/>
      <c r="S3" s="377"/>
      <c r="T3" s="377"/>
      <c r="U3" s="377"/>
      <c r="V3" s="377"/>
      <c r="W3" s="377"/>
      <c r="X3" s="377"/>
    </row>
    <row r="4" spans="2:24" s="32" customFormat="1" ht="15.75" customHeight="1">
      <c r="C4" s="359" t="s">
        <v>8212</v>
      </c>
      <c r="D4" s="359"/>
      <c r="E4" s="741">
        <f>tlOutputDBRevGrowth_R1</f>
        <v>8.7486130057792266E-3</v>
      </c>
      <c r="F4" s="358" t="s">
        <v>487</v>
      </c>
      <c r="G4" s="740">
        <f>tlOutputDBNIFO_R1</f>
        <v>2038635.0538766291</v>
      </c>
      <c r="H4" s="522">
        <f>tlOutputDBStars_R1</f>
        <v>0.72786859688195993</v>
      </c>
      <c r="I4" s="522">
        <f>tlOutputDBESAT_R1</f>
        <v>0.7</v>
      </c>
      <c r="J4" s="522">
        <f>tlOutputDBCSAT_R1</f>
        <v>0.76669554565701548</v>
      </c>
      <c r="K4" s="358"/>
      <c r="M4" s="359" t="s">
        <v>8212</v>
      </c>
      <c r="N4" s="359"/>
      <c r="O4" s="739">
        <f>tlOutputDBRevGrowth_R2</f>
        <v>2.6423246492234265E-2</v>
      </c>
      <c r="P4" s="358" t="s">
        <v>487</v>
      </c>
      <c r="Q4" s="740">
        <f>tlOutputDBNIFO_R2</f>
        <v>2424318.0780725498</v>
      </c>
      <c r="R4" s="522">
        <f>tlOutputDBStars_R2</f>
        <v>0.7181057129963645</v>
      </c>
      <c r="S4" s="522">
        <f>tlOutputDBESAT_R2</f>
        <v>0.68023703712147898</v>
      </c>
      <c r="T4" s="522">
        <f>tlOutputDBCSAT_R2</f>
        <v>0.75776133110113975</v>
      </c>
      <c r="U4" s="358"/>
    </row>
    <row r="5" spans="2:24" s="32" customFormat="1" ht="15.75" customHeight="1">
      <c r="C5" s="359" t="s">
        <v>8213</v>
      </c>
      <c r="D5" s="359"/>
      <c r="E5" s="741">
        <f>tlOutputDBLOB2RevGrowth_R1</f>
        <v>2.4752971230853182E-2</v>
      </c>
      <c r="F5" s="358" t="s">
        <v>487</v>
      </c>
      <c r="G5" s="740">
        <f>tlOutputDBLOB2NIFO_R1</f>
        <v>902312.16742663039</v>
      </c>
      <c r="H5" s="522">
        <f>tlOutputDBLOB2Stars_R1</f>
        <v>0.6429999999999999</v>
      </c>
      <c r="I5" s="522">
        <f>tlOutputDBLOB2ESAT_R1</f>
        <v>0.65</v>
      </c>
      <c r="J5" s="522">
        <f>tlOutputDBLOB2CSAT_R1</f>
        <v>0.63729999999999987</v>
      </c>
      <c r="K5" s="358"/>
      <c r="M5" s="359" t="s">
        <v>8213</v>
      </c>
      <c r="N5" s="359"/>
      <c r="O5" s="739">
        <f>tlOutputDBLOB2RevGrowth_R2</f>
        <v>4.0316901988656673E-2</v>
      </c>
      <c r="P5" s="358" t="s">
        <v>487</v>
      </c>
      <c r="Q5" s="740">
        <f>tlOutputDBLOB2NIFO_R2</f>
        <v>686458.24234997015</v>
      </c>
      <c r="R5" s="522">
        <f>tlOutputDBLOB2Stars_R2</f>
        <v>0.64121040838303567</v>
      </c>
      <c r="S5" s="522">
        <f>tlOutputDBLOB2ESAT_R2</f>
        <v>0.64552602095758949</v>
      </c>
      <c r="T5" s="522">
        <f>tlOutputDBLOB2CSAT_R2</f>
        <v>0.6357788471255803</v>
      </c>
      <c r="U5" s="358"/>
    </row>
    <row r="6" spans="2:24" s="288" customFormat="1" ht="9" customHeight="1"/>
    <row r="7" spans="2:24" s="288" customFormat="1" ht="14.25" customHeight="1">
      <c r="C7" s="290" t="str">
        <f>nmLOB2&amp;" - DOO Focus"</f>
        <v>Pleasentville - DOO Focus</v>
      </c>
      <c r="D7" s="290"/>
      <c r="E7" s="289"/>
      <c r="F7" s="289"/>
      <c r="G7" s="289"/>
      <c r="H7" s="289"/>
      <c r="I7" s="289"/>
      <c r="J7" s="289"/>
      <c r="K7" s="289"/>
      <c r="L7" s="289"/>
      <c r="M7" s="290" t="str">
        <f>nmLOB2&amp;" - DOO Focus"</f>
        <v>Pleasentville - DOO Focus</v>
      </c>
      <c r="N7" s="290"/>
      <c r="O7" s="289"/>
      <c r="P7" s="289"/>
      <c r="Q7" s="289"/>
      <c r="R7" s="289"/>
      <c r="S7" s="289"/>
      <c r="T7" s="289"/>
      <c r="U7" s="289"/>
    </row>
    <row r="8" spans="2:24" s="288" customFormat="1" ht="8.25" customHeight="1"/>
    <row r="9" spans="2:24" s="288" customFormat="1" ht="14.25" customHeight="1">
      <c r="C9" s="288" t="s">
        <v>558</v>
      </c>
      <c r="D9" s="288">
        <v>1</v>
      </c>
      <c r="E9" s="300">
        <v>0</v>
      </c>
      <c r="F9" s="532" t="s">
        <v>1100</v>
      </c>
      <c r="G9" s="299"/>
      <c r="M9" s="288" t="s">
        <v>558</v>
      </c>
      <c r="N9" s="288">
        <v>1</v>
      </c>
      <c r="O9" s="300">
        <v>0</v>
      </c>
      <c r="P9" s="532" t="s">
        <v>1101</v>
      </c>
      <c r="Q9" s="299"/>
    </row>
    <row r="10" spans="2:24" s="288" customFormat="1" ht="7.5" customHeight="1">
      <c r="E10" s="294"/>
      <c r="F10" s="532"/>
      <c r="G10" s="299"/>
      <c r="O10" s="294"/>
      <c r="P10" s="532"/>
      <c r="Q10" s="299"/>
    </row>
    <row r="11" spans="2:24" s="288" customFormat="1" ht="14.25" customHeight="1">
      <c r="C11" s="288" t="s">
        <v>559</v>
      </c>
      <c r="D11" s="288">
        <v>1</v>
      </c>
      <c r="E11" s="300">
        <v>0</v>
      </c>
      <c r="F11" s="532" t="s">
        <v>1102</v>
      </c>
      <c r="G11" s="297"/>
      <c r="M11" s="288" t="s">
        <v>559</v>
      </c>
      <c r="N11" s="288">
        <v>1</v>
      </c>
      <c r="O11" s="300">
        <v>0</v>
      </c>
      <c r="P11" s="532" t="s">
        <v>1103</v>
      </c>
      <c r="Q11" s="297"/>
    </row>
    <row r="12" spans="2:24" s="288" customFormat="1" ht="7.5" customHeight="1">
      <c r="E12" s="294"/>
      <c r="F12" s="532"/>
      <c r="G12" s="299"/>
      <c r="O12" s="294"/>
      <c r="P12" s="532"/>
      <c r="Q12" s="299"/>
    </row>
    <row r="13" spans="2:24" s="288" customFormat="1" ht="14.25" customHeight="1">
      <c r="C13" s="288" t="s">
        <v>560</v>
      </c>
      <c r="D13" s="288">
        <v>1</v>
      </c>
      <c r="E13" s="300">
        <v>0</v>
      </c>
      <c r="F13" s="532" t="s">
        <v>1104</v>
      </c>
      <c r="G13" s="299"/>
      <c r="M13" s="288" t="s">
        <v>560</v>
      </c>
      <c r="N13" s="288">
        <v>1</v>
      </c>
      <c r="O13" s="300">
        <v>0</v>
      </c>
      <c r="P13" s="532" t="s">
        <v>1105</v>
      </c>
      <c r="Q13" s="299"/>
    </row>
    <row r="14" spans="2:24" s="288" customFormat="1" ht="7.5" customHeight="1">
      <c r="E14" s="294"/>
      <c r="F14" s="532"/>
      <c r="G14" s="299"/>
      <c r="O14" s="294"/>
      <c r="P14" s="532"/>
      <c r="Q14" s="299"/>
    </row>
    <row r="15" spans="2:24" s="288" customFormat="1" ht="14.25" customHeight="1">
      <c r="C15" s="288" t="s">
        <v>616</v>
      </c>
      <c r="D15" s="288">
        <v>1</v>
      </c>
      <c r="E15" s="300">
        <v>0</v>
      </c>
      <c r="F15" s="532" t="s">
        <v>1106</v>
      </c>
      <c r="G15" s="299"/>
      <c r="M15" s="288" t="s">
        <v>616</v>
      </c>
      <c r="N15" s="288">
        <v>1</v>
      </c>
      <c r="O15" s="300">
        <v>0</v>
      </c>
      <c r="P15" s="532" t="s">
        <v>1107</v>
      </c>
      <c r="Q15" s="299"/>
    </row>
    <row r="16" spans="2:24" s="288" customFormat="1" ht="7.5" customHeight="1">
      <c r="F16" s="532"/>
      <c r="G16" s="299"/>
      <c r="P16" s="532"/>
      <c r="Q16" s="299"/>
    </row>
    <row r="17" spans="3:21" s="288" customFormat="1" ht="14.25" customHeight="1">
      <c r="F17" s="532"/>
      <c r="G17" s="299"/>
      <c r="P17" s="532"/>
      <c r="Q17" s="299"/>
    </row>
    <row r="18" spans="3:21" s="288" customFormat="1" ht="14.25" customHeight="1">
      <c r="F18" s="532"/>
      <c r="P18" s="532"/>
    </row>
    <row r="19" spans="3:21" s="288" customFormat="1" ht="14.25" customHeight="1">
      <c r="C19" s="330" t="s">
        <v>567</v>
      </c>
      <c r="D19" s="330"/>
      <c r="E19" s="374" t="s">
        <v>568</v>
      </c>
      <c r="F19" s="738"/>
      <c r="G19" s="374" t="s">
        <v>417</v>
      </c>
      <c r="I19" s="374" t="s">
        <v>569</v>
      </c>
      <c r="M19" s="330" t="s">
        <v>567</v>
      </c>
      <c r="N19" s="330"/>
      <c r="O19" s="374" t="s">
        <v>568</v>
      </c>
      <c r="P19" s="738"/>
      <c r="Q19" s="374" t="s">
        <v>417</v>
      </c>
      <c r="S19" s="374" t="s">
        <v>569</v>
      </c>
    </row>
    <row r="20" spans="3:21" s="288" customFormat="1" ht="14.25" customHeight="1">
      <c r="C20" s="288" t="s">
        <v>561</v>
      </c>
      <c r="E20" s="376">
        <f>INDEX(calcLOB2DOOActionTime1,xxIndexTeam)</f>
        <v>0.8</v>
      </c>
      <c r="F20" s="532" t="s">
        <v>1108</v>
      </c>
      <c r="G20" s="375">
        <v>0</v>
      </c>
      <c r="H20" s="532" t="s">
        <v>1109</v>
      </c>
      <c r="I20" s="376">
        <f>INDEX(calcLOB2DOOPlanTime1,xxIndexTeam)</f>
        <v>0.8</v>
      </c>
      <c r="J20" s="532" t="s">
        <v>1110</v>
      </c>
      <c r="M20" s="288" t="s">
        <v>561</v>
      </c>
      <c r="O20" s="376">
        <f>INDEX(calcR2LOB2DOOActionTime1,xxIndexTeam)</f>
        <v>0.748</v>
      </c>
      <c r="P20" s="532" t="s">
        <v>1111</v>
      </c>
      <c r="Q20" s="375">
        <v>0</v>
      </c>
      <c r="R20" s="532" t="s">
        <v>1112</v>
      </c>
      <c r="S20" s="376">
        <f>INDEX(calcR2LOB2DOOPlanTime1,xxIndexTeam)</f>
        <v>0.748</v>
      </c>
      <c r="T20" s="532" t="s">
        <v>1113</v>
      </c>
    </row>
    <row r="21" spans="3:21" s="288" customFormat="1" ht="14.25" customHeight="1">
      <c r="C21" s="288" t="s">
        <v>562</v>
      </c>
      <c r="E21" s="376">
        <f>INDEX(calcLOB2DOOActionTime2,xxIndexTeam)</f>
        <v>0</v>
      </c>
      <c r="F21" s="532" t="s">
        <v>1114</v>
      </c>
      <c r="G21" s="375">
        <v>0</v>
      </c>
      <c r="H21" s="532" t="s">
        <v>1115</v>
      </c>
      <c r="I21" s="376">
        <f>INDEX(calcLOB2DOOPlanTime2,xxIndexTeam)</f>
        <v>0</v>
      </c>
      <c r="J21" s="532" t="s">
        <v>1116</v>
      </c>
      <c r="M21" s="288" t="s">
        <v>562</v>
      </c>
      <c r="O21" s="376">
        <f>INDEX(calcR2LOB2DOOActionTime2,xxIndexTeam)</f>
        <v>0</v>
      </c>
      <c r="P21" s="532" t="s">
        <v>1117</v>
      </c>
      <c r="Q21" s="375">
        <v>0</v>
      </c>
      <c r="R21" s="532" t="s">
        <v>1118</v>
      </c>
      <c r="S21" s="376">
        <f>INDEX(calcR2LOB2DOOPlanTime2,xxIndexTeam)</f>
        <v>0</v>
      </c>
      <c r="T21" s="532" t="s">
        <v>1119</v>
      </c>
    </row>
    <row r="22" spans="3:21" s="288" customFormat="1" ht="14.25" customHeight="1">
      <c r="C22" s="288" t="s">
        <v>563</v>
      </c>
      <c r="E22" s="376">
        <f>INDEX(calcLOB2DOOActionTime3,xxIndexTeam)</f>
        <v>0</v>
      </c>
      <c r="F22" s="532" t="s">
        <v>1120</v>
      </c>
      <c r="G22" s="375">
        <v>0</v>
      </c>
      <c r="H22" s="532" t="s">
        <v>1121</v>
      </c>
      <c r="I22" s="376">
        <f>INDEX(calcLOB2DOOPlanTime3,xxIndexTeam)</f>
        <v>0</v>
      </c>
      <c r="J22" s="532" t="s">
        <v>1122</v>
      </c>
      <c r="M22" s="288" t="s">
        <v>563</v>
      </c>
      <c r="O22" s="376">
        <f>INDEX(calcR2LOB2DOOActionTime3,xxIndexTeam)</f>
        <v>0</v>
      </c>
      <c r="P22" s="532" t="s">
        <v>1123</v>
      </c>
      <c r="Q22" s="375">
        <v>0</v>
      </c>
      <c r="R22" s="532" t="s">
        <v>1124</v>
      </c>
      <c r="S22" s="376">
        <f>INDEX(calcR2LOB2DOOPlanTime3,xxIndexTeam)</f>
        <v>0</v>
      </c>
      <c r="T22" s="532" t="s">
        <v>1125</v>
      </c>
    </row>
    <row r="23" spans="3:21" s="288" customFormat="1" ht="14.25" customHeight="1">
      <c r="C23" s="288" t="s">
        <v>564</v>
      </c>
      <c r="E23" s="376">
        <f>INDEX(calcLOB2DOOActionTime4,xxIndexTeam)</f>
        <v>0</v>
      </c>
      <c r="F23" s="532" t="s">
        <v>1126</v>
      </c>
      <c r="G23" s="375">
        <v>0</v>
      </c>
      <c r="H23" s="532" t="s">
        <v>1127</v>
      </c>
      <c r="I23" s="376">
        <f>INDEX(calcLOB2DOOPlanTime4,xxIndexTeam)</f>
        <v>0</v>
      </c>
      <c r="J23" s="532" t="s">
        <v>1128</v>
      </c>
      <c r="M23" s="288" t="s">
        <v>564</v>
      </c>
      <c r="O23" s="376">
        <f>INDEX(calcR2LOB2DOOActionTime4,xxIndexTeam)</f>
        <v>0</v>
      </c>
      <c r="P23" s="532" t="s">
        <v>1129</v>
      </c>
      <c r="Q23" s="375">
        <v>0</v>
      </c>
      <c r="R23" s="532" t="s">
        <v>1130</v>
      </c>
      <c r="S23" s="376">
        <f>INDEX(calcR2LOB2DOOPlanTime4,xxIndexTeam)</f>
        <v>0</v>
      </c>
      <c r="T23" s="532" t="s">
        <v>1131</v>
      </c>
    </row>
    <row r="24" spans="3:21" s="288" customFormat="1" ht="14.25" customHeight="1">
      <c r="C24" s="288" t="s">
        <v>565</v>
      </c>
      <c r="E24" s="376">
        <f>INDEX(calcLOB2DOOActionTime5,xxIndexTeam)</f>
        <v>0</v>
      </c>
      <c r="F24" s="532" t="s">
        <v>1132</v>
      </c>
      <c r="G24" s="375">
        <v>0</v>
      </c>
      <c r="H24" s="532" t="s">
        <v>1133</v>
      </c>
      <c r="I24" s="376">
        <f>INDEX(calcLOB2DOOPlanTime5,xxIndexTeam)</f>
        <v>0</v>
      </c>
      <c r="J24" s="532" t="s">
        <v>1134</v>
      </c>
      <c r="M24" s="288" t="s">
        <v>565</v>
      </c>
      <c r="O24" s="376">
        <f>INDEX(calcR2LOB2DOOActionTime5,xxIndexTeam)</f>
        <v>0</v>
      </c>
      <c r="P24" s="532" t="s">
        <v>1135</v>
      </c>
      <c r="Q24" s="375">
        <v>0</v>
      </c>
      <c r="R24" s="532" t="s">
        <v>1136</v>
      </c>
      <c r="S24" s="376">
        <f>INDEX(calcR2LOB2DOOPlanTime5,xxIndexTeam)</f>
        <v>0</v>
      </c>
      <c r="T24" s="532" t="s">
        <v>1137</v>
      </c>
    </row>
    <row r="25" spans="3:21" s="288" customFormat="1" ht="14.25" customHeight="1">
      <c r="C25" s="288" t="s">
        <v>566</v>
      </c>
      <c r="E25" s="376">
        <f>INDEX(calcLOB2DOOActionTime6,xxIndexTeam)</f>
        <v>0</v>
      </c>
      <c r="F25" s="532" t="s">
        <v>1138</v>
      </c>
      <c r="G25" s="375">
        <v>0</v>
      </c>
      <c r="H25" s="532" t="s">
        <v>1139</v>
      </c>
      <c r="I25" s="376">
        <f>INDEX(calcLOB2DOOPlanTime6,xxIndexTeam)</f>
        <v>0</v>
      </c>
      <c r="J25" s="532" t="s">
        <v>1140</v>
      </c>
      <c r="M25" s="288" t="s">
        <v>566</v>
      </c>
      <c r="O25" s="376">
        <f>INDEX(calcR2LOB2DOOActionTime6,xxIndexTeam)</f>
        <v>0</v>
      </c>
      <c r="P25" s="532" t="s">
        <v>1141</v>
      </c>
      <c r="Q25" s="375">
        <v>0</v>
      </c>
      <c r="R25" s="532" t="s">
        <v>1142</v>
      </c>
      <c r="S25" s="376">
        <f>INDEX(calcR2LOB2DOOPlanTime6,xxIndexTeam)</f>
        <v>0</v>
      </c>
      <c r="T25" s="532" t="s">
        <v>1143</v>
      </c>
    </row>
    <row r="26" spans="3:21" s="288" customFormat="1" ht="14.25" customHeight="1">
      <c r="C26" s="288" t="s">
        <v>13</v>
      </c>
      <c r="E26" s="376">
        <f>INDEX(calcLOB2DOOTotalActionTime,xxIndexTeam)</f>
        <v>0.8</v>
      </c>
      <c r="F26" s="532" t="s">
        <v>1144</v>
      </c>
      <c r="H26" s="532"/>
      <c r="I26" s="376">
        <f>INDEX(calcLOB2DOOTotalPlanTime,xxIndexTeam)</f>
        <v>0.8</v>
      </c>
      <c r="J26" s="532" t="s">
        <v>1145</v>
      </c>
      <c r="M26" s="288" t="s">
        <v>13</v>
      </c>
      <c r="O26" s="376">
        <f>INDEX(calcR2LOB2DOOTotalActionTime,xxIndexTeam)</f>
        <v>0.748</v>
      </c>
      <c r="P26" s="532" t="s">
        <v>1146</v>
      </c>
      <c r="R26" s="532"/>
      <c r="S26" s="376">
        <f>INDEX(calcR2LOB2DOOTotalPlanTime,xxIndexTeam)</f>
        <v>0.748</v>
      </c>
      <c r="T26" s="532" t="s">
        <v>1147</v>
      </c>
    </row>
    <row r="28" spans="3:21" s="288" customFormat="1" ht="14.25" customHeight="1"/>
    <row r="29" spans="3:21" s="30" customFormat="1" ht="15" customHeight="1"/>
    <row r="30" spans="3:21" s="30" customFormat="1" ht="15" customHeight="1"/>
    <row r="31" spans="3:21" ht="22" customHeight="1">
      <c r="L31" s="29" t="s">
        <v>408</v>
      </c>
    </row>
    <row r="32" spans="3:21">
      <c r="C32" s="291" t="s">
        <v>457</v>
      </c>
      <c r="D32" s="291"/>
      <c r="E32" s="288" t="s">
        <v>232</v>
      </c>
      <c r="F32" s="288"/>
      <c r="G32" s="197">
        <v>4</v>
      </c>
      <c r="H32" s="606" t="s">
        <v>4777</v>
      </c>
      <c r="J32" s="288"/>
      <c r="K32" s="288"/>
      <c r="L32" s="288"/>
      <c r="M32" s="288"/>
      <c r="N32" s="288"/>
      <c r="O32" s="288"/>
      <c r="P32" s="288"/>
      <c r="Q32" s="197">
        <v>4</v>
      </c>
      <c r="R32" s="606" t="s">
        <v>4779</v>
      </c>
      <c r="T32" s="288"/>
      <c r="U32" s="288"/>
    </row>
    <row r="33" spans="3:18">
      <c r="G33" s="197">
        <f>G32-SUMIF(E9:E15, "&lt;&gt;0", D9:D15)</f>
        <v>4</v>
      </c>
      <c r="H33" s="197" t="s">
        <v>4778</v>
      </c>
      <c r="L33" s="29" t="s">
        <v>408</v>
      </c>
      <c r="Q33" s="197">
        <f>Q32-SUMIF(O9:O15, "&lt;&gt;0", N9:N15)</f>
        <v>4</v>
      </c>
      <c r="R33" s="197" t="s">
        <v>4780</v>
      </c>
    </row>
    <row r="34" spans="3:18" s="288" customFormat="1" ht="14.25" customHeight="1">
      <c r="C34" s="288" t="s">
        <v>4349</v>
      </c>
      <c r="E34" s="300">
        <v>0</v>
      </c>
      <c r="F34" s="532" t="s">
        <v>5057</v>
      </c>
      <c r="H34" s="532"/>
      <c r="M34" s="542" t="s">
        <v>4349</v>
      </c>
      <c r="N34" s="542"/>
      <c r="O34" s="300">
        <v>0</v>
      </c>
      <c r="P34" s="743" t="s">
        <v>4974</v>
      </c>
    </row>
    <row r="35" spans="3:18">
      <c r="C35" s="331"/>
      <c r="D35" s="331"/>
      <c r="M35" s="331"/>
      <c r="N35" s="331"/>
    </row>
    <row r="36" spans="3:18">
      <c r="C36" s="331"/>
      <c r="D36" s="331"/>
      <c r="M36" s="331"/>
      <c r="N36" s="331"/>
    </row>
    <row r="37" spans="3:18">
      <c r="C37" s="331"/>
      <c r="D37" s="331"/>
      <c r="M37" s="331"/>
      <c r="N37" s="331"/>
    </row>
    <row r="38" spans="3:18">
      <c r="C38" s="331"/>
      <c r="D38" s="331"/>
      <c r="M38" s="331"/>
      <c r="N38" s="331"/>
    </row>
    <row r="39" spans="3:18">
      <c r="C39" s="331"/>
      <c r="D39" s="331"/>
      <c r="M39" s="331"/>
      <c r="N39" s="331"/>
    </row>
    <row r="40" spans="3:18">
      <c r="C40" s="331"/>
      <c r="D40" s="331"/>
      <c r="M40" s="331"/>
      <c r="N40" s="331"/>
    </row>
    <row r="41" spans="3:18">
      <c r="C41" s="331"/>
      <c r="D41" s="331"/>
      <c r="M41" s="331"/>
      <c r="N41" s="331"/>
    </row>
    <row r="42" spans="3:18">
      <c r="C42" s="331"/>
      <c r="D42" s="331"/>
      <c r="M42" s="331"/>
      <c r="N42" s="331"/>
    </row>
    <row r="43" spans="3:18">
      <c r="C43" s="331"/>
      <c r="D43" s="331"/>
      <c r="M43" s="331"/>
      <c r="N43" s="331"/>
    </row>
    <row r="44" spans="3:18">
      <c r="C44" s="331"/>
      <c r="D44" s="331"/>
      <c r="M44" s="331"/>
      <c r="N44" s="331"/>
    </row>
    <row r="45" spans="3:18">
      <c r="C45" s="331"/>
      <c r="D45" s="331"/>
      <c r="M45" s="331"/>
      <c r="N45" s="331"/>
    </row>
    <row r="46" spans="3:18">
      <c r="C46" s="331"/>
      <c r="D46" s="331"/>
      <c r="M46" s="331"/>
      <c r="N46" s="331"/>
    </row>
    <row r="47" spans="3:18">
      <c r="C47" s="331"/>
      <c r="D47" s="331"/>
      <c r="M47" s="331"/>
      <c r="N47" s="331"/>
    </row>
    <row r="48" spans="3:18">
      <c r="C48" s="331"/>
      <c r="D48" s="331"/>
      <c r="M48" s="331"/>
      <c r="N48" s="331"/>
    </row>
    <row r="49" spans="3:14">
      <c r="C49" s="331"/>
      <c r="D49" s="331"/>
      <c r="M49" s="331"/>
      <c r="N49" s="331"/>
    </row>
    <row r="50" spans="3:14">
      <c r="C50" s="331"/>
      <c r="D50" s="331"/>
      <c r="M50" s="331"/>
      <c r="N50" s="33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</sheetPr>
  <dimension ref="B1:AP46"/>
  <sheetViews>
    <sheetView showGridLines="0" topLeftCell="B1" zoomScaleNormal="100" workbookViewId="0">
      <selection activeCell="L19" sqref="L19"/>
    </sheetView>
  </sheetViews>
  <sheetFormatPr defaultColWidth="9" defaultRowHeight="15"/>
  <cols>
    <col min="1" max="2" width="2.77734375" style="29" customWidth="1"/>
    <col min="3" max="3" width="20.77734375" style="29" customWidth="1"/>
    <col min="4" max="4" width="12.44140625" style="29" customWidth="1"/>
    <col min="5" max="5" width="7.77734375" style="29" customWidth="1"/>
    <col min="6" max="6" width="12.44140625" style="29" customWidth="1"/>
    <col min="7" max="7" width="8.6640625" style="29" customWidth="1"/>
    <col min="8" max="8" width="12.44140625" style="29" customWidth="1"/>
    <col min="9" max="9" width="7.77734375" style="29" customWidth="1"/>
    <col min="10" max="10" width="12.44140625" style="29" customWidth="1"/>
    <col min="11" max="11" width="7.77734375" style="29" customWidth="1"/>
    <col min="12" max="12" width="12.44140625" style="29" customWidth="1"/>
    <col min="13" max="13" width="7.77734375" style="29" customWidth="1"/>
    <col min="14" max="14" width="12.44140625" style="29" customWidth="1"/>
    <col min="15" max="15" width="7.77734375" style="29" customWidth="1"/>
    <col min="16" max="16" width="12.44140625" style="29" customWidth="1"/>
    <col min="17" max="17" width="7.77734375" style="29" customWidth="1"/>
    <col min="18" max="18" width="3.77734375" style="29" customWidth="1"/>
    <col min="19" max="19" width="20.77734375" style="29" customWidth="1"/>
    <col min="20" max="20" width="12.44140625" style="29" customWidth="1"/>
    <col min="21" max="21" width="7.77734375" style="29" customWidth="1"/>
    <col min="22" max="22" width="12.44140625" style="29" customWidth="1"/>
    <col min="23" max="23" width="8.6640625" style="29" customWidth="1"/>
    <col min="24" max="24" width="12.44140625" style="29" customWidth="1"/>
    <col min="25" max="25" width="7.77734375" style="29" customWidth="1"/>
    <col min="26" max="26" width="12.44140625" style="29" customWidth="1"/>
    <col min="27" max="27" width="9.33203125" style="29" customWidth="1"/>
    <col min="28" max="28" width="12.44140625" style="29" customWidth="1"/>
    <col min="29" max="29" width="7.77734375" style="29" customWidth="1"/>
    <col min="30" max="30" width="12.44140625" style="29" customWidth="1"/>
    <col min="31" max="31" width="7.77734375" style="29" customWidth="1"/>
    <col min="32" max="32" width="12.44140625" style="29" customWidth="1"/>
    <col min="33" max="33" width="7.77734375" style="29" customWidth="1"/>
    <col min="34" max="34" width="10" style="29" customWidth="1"/>
    <col min="35" max="35" width="3.77734375" style="29" customWidth="1"/>
    <col min="36" max="40" width="10" style="29" customWidth="1"/>
    <col min="41" max="16384" width="9" style="29"/>
  </cols>
  <sheetData>
    <row r="1" spans="2:42" s="31" customFormat="1" ht="6" customHeight="1">
      <c r="C1" s="285"/>
      <c r="S1" s="285"/>
    </row>
    <row r="2" spans="2:42" s="31" customFormat="1" ht="26.25" customHeight="1">
      <c r="C2" s="286" t="str">
        <f>xxProgramName</f>
        <v>Care Center Simulation Experience</v>
      </c>
      <c r="S2" s="286" t="str">
        <f>xxProgramName</f>
        <v>Care Center Simulation Experience</v>
      </c>
    </row>
    <row r="3" spans="2:42" s="31" customFormat="1" ht="15" customHeight="1">
      <c r="B3" s="347"/>
      <c r="C3" s="349" t="s">
        <v>473</v>
      </c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5"/>
      <c r="S3" s="350" t="s">
        <v>474</v>
      </c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286"/>
      <c r="AP3" s="286"/>
    </row>
    <row r="4" spans="2:42" s="32" customFormat="1" ht="15.75" customHeight="1">
      <c r="C4" s="359" t="s">
        <v>8217</v>
      </c>
      <c r="D4" s="359" t="s">
        <v>8214</v>
      </c>
      <c r="E4" s="522">
        <f>tlOutputDBRevGrowth_R1</f>
        <v>8.7486130057792266E-3</v>
      </c>
      <c r="F4" s="523" t="s">
        <v>487</v>
      </c>
      <c r="G4" s="742">
        <f>tlOutputDBNIFO_R1</f>
        <v>2038635.0538766291</v>
      </c>
      <c r="H4" s="523" t="s">
        <v>488</v>
      </c>
      <c r="I4" s="522">
        <f>tlOutputDBStars_R1</f>
        <v>0.72786859688195993</v>
      </c>
      <c r="J4" s="359" t="s">
        <v>8215</v>
      </c>
      <c r="K4" s="521">
        <f>tlOutputDBESAT_R1</f>
        <v>0.7</v>
      </c>
      <c r="L4" s="359" t="s">
        <v>8216</v>
      </c>
      <c r="M4" s="521">
        <f>tlOutputDBCSAT_R1</f>
        <v>0.76669554565701548</v>
      </c>
      <c r="O4" s="358"/>
      <c r="Q4" s="358"/>
      <c r="S4" s="359" t="s">
        <v>8217</v>
      </c>
      <c r="T4" s="359" t="s">
        <v>8214</v>
      </c>
      <c r="U4" s="522">
        <f>tlOutputDBRevGrowth_R2</f>
        <v>2.6423246492234265E-2</v>
      </c>
      <c r="V4" s="523" t="s">
        <v>487</v>
      </c>
      <c r="W4" s="742">
        <f>tlOutputDBNIFO_R2</f>
        <v>2424318.0780725498</v>
      </c>
      <c r="X4" s="523" t="s">
        <v>488</v>
      </c>
      <c r="Y4" s="522">
        <f>tlOutputDBStars_R2</f>
        <v>0.7181057129963645</v>
      </c>
      <c r="Z4" s="359" t="s">
        <v>8215</v>
      </c>
      <c r="AA4" s="521">
        <f>tlOutputDBESAT_R2</f>
        <v>0.68023703712147898</v>
      </c>
      <c r="AB4" s="359" t="s">
        <v>8216</v>
      </c>
      <c r="AC4" s="521">
        <f>tlOutputDBCSAT_R2</f>
        <v>0.75776133110113975</v>
      </c>
      <c r="AE4" s="358"/>
      <c r="AG4" s="358"/>
    </row>
    <row r="5" spans="2:42" s="32" customFormat="1" ht="15.75" customHeight="1">
      <c r="C5" s="359" t="s">
        <v>8218</v>
      </c>
      <c r="D5" s="359" t="s">
        <v>8214</v>
      </c>
      <c r="E5" s="522">
        <f>tlOutputDBLOB2RevGrowth_R1</f>
        <v>2.4752971230853182E-2</v>
      </c>
      <c r="F5" s="523" t="s">
        <v>487</v>
      </c>
      <c r="G5" s="742">
        <f>tlOutputDBLOB2NIFO_R1</f>
        <v>902312.16742663039</v>
      </c>
      <c r="H5" s="523" t="s">
        <v>488</v>
      </c>
      <c r="I5" s="522">
        <f>tlOutputDBLOB2Stars_R1</f>
        <v>0.6429999999999999</v>
      </c>
      <c r="J5" s="359" t="s">
        <v>8215</v>
      </c>
      <c r="K5" s="521">
        <f>tlOutputDBLOB2ESAT_R1</f>
        <v>0.65</v>
      </c>
      <c r="L5" s="359" t="s">
        <v>8216</v>
      </c>
      <c r="M5" s="521">
        <f>tlOutputDBLOB2CSAT_R1</f>
        <v>0.63729999999999987</v>
      </c>
      <c r="O5" s="358"/>
      <c r="Q5" s="358"/>
      <c r="S5" s="359" t="s">
        <v>8218</v>
      </c>
      <c r="T5" s="359" t="s">
        <v>8214</v>
      </c>
      <c r="U5" s="522">
        <f>tlOutputDBLOB2RevGrowth_R2</f>
        <v>4.0316901988656673E-2</v>
      </c>
      <c r="V5" s="523" t="s">
        <v>487</v>
      </c>
      <c r="W5" s="742">
        <f>tlOutputDBLOB2NIFO_R2</f>
        <v>686458.24234997015</v>
      </c>
      <c r="X5" s="523" t="s">
        <v>488</v>
      </c>
      <c r="Y5" s="522">
        <f>tlOutputDBLOB2Stars_R2</f>
        <v>0.64121040838303567</v>
      </c>
      <c r="Z5" s="359" t="s">
        <v>8215</v>
      </c>
      <c r="AA5" s="521">
        <f>tlOutputDBLOB2ESAT_R2</f>
        <v>0.64552602095758949</v>
      </c>
      <c r="AB5" s="359" t="s">
        <v>8216</v>
      </c>
      <c r="AC5" s="521">
        <f>tlOutputDBLOB2CSAT_R2</f>
        <v>0.6357788471255803</v>
      </c>
      <c r="AE5" s="358"/>
      <c r="AG5" s="358"/>
    </row>
    <row r="6" spans="2:42" s="288" customFormat="1" ht="9" customHeight="1"/>
    <row r="7" spans="2:42" s="288" customFormat="1" ht="14.25" customHeight="1">
      <c r="C7" s="290" t="str">
        <f>nmLOB2&amp;" - Forecast"</f>
        <v>Pleasentville - Forecast</v>
      </c>
      <c r="D7" s="289"/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90" t="str">
        <f>nmLOB2&amp;" - Forecast"</f>
        <v>Pleasentville - Forecast</v>
      </c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</row>
    <row r="8" spans="2:42" s="288" customFormat="1" ht="8.25" customHeight="1" thickBot="1"/>
    <row r="9" spans="2:42" s="288" customFormat="1" ht="14.25" customHeight="1" thickBot="1">
      <c r="C9" s="355"/>
      <c r="D9" s="828" t="s">
        <v>529</v>
      </c>
      <c r="E9" s="829"/>
      <c r="F9" s="829"/>
      <c r="G9" s="829"/>
      <c r="H9" s="830"/>
      <c r="I9" s="362"/>
      <c r="J9" s="828" t="s">
        <v>530</v>
      </c>
      <c r="K9" s="829"/>
      <c r="L9" s="829"/>
      <c r="M9" s="829"/>
      <c r="N9" s="830"/>
      <c r="S9" s="355"/>
      <c r="T9" s="828" t="s">
        <v>529</v>
      </c>
      <c r="U9" s="829"/>
      <c r="V9" s="829"/>
      <c r="W9" s="829"/>
      <c r="X9" s="830"/>
      <c r="Y9" s="362"/>
      <c r="Z9" s="828" t="s">
        <v>530</v>
      </c>
      <c r="AA9" s="829"/>
      <c r="AB9" s="829"/>
      <c r="AC9" s="829"/>
      <c r="AD9" s="830"/>
    </row>
    <row r="10" spans="2:42" s="288" customFormat="1" ht="14.25" customHeight="1" thickTop="1" thickBot="1">
      <c r="C10" s="363" t="s">
        <v>531</v>
      </c>
      <c r="D10" s="357" t="s">
        <v>4922</v>
      </c>
      <c r="E10" s="532" t="s">
        <v>1148</v>
      </c>
      <c r="F10" s="357" t="s">
        <v>5034</v>
      </c>
      <c r="G10" s="532" t="s">
        <v>1149</v>
      </c>
      <c r="H10" s="357" t="s">
        <v>5035</v>
      </c>
      <c r="I10" s="532" t="s">
        <v>1150</v>
      </c>
      <c r="J10" s="356" t="s">
        <v>532</v>
      </c>
      <c r="K10" s="297"/>
      <c r="L10" s="360" t="s">
        <v>533</v>
      </c>
      <c r="M10" s="297"/>
      <c r="N10" s="356" t="s">
        <v>251</v>
      </c>
      <c r="O10" s="297"/>
      <c r="P10" s="356" t="s">
        <v>4907</v>
      </c>
      <c r="Q10" s="297"/>
      <c r="S10" s="363" t="s">
        <v>531</v>
      </c>
      <c r="T10" s="357" t="s">
        <v>4922</v>
      </c>
      <c r="U10" s="532" t="s">
        <v>1151</v>
      </c>
      <c r="V10" s="357" t="s">
        <v>5034</v>
      </c>
      <c r="W10" s="532" t="s">
        <v>1152</v>
      </c>
      <c r="X10" s="357" t="s">
        <v>5035</v>
      </c>
      <c r="Y10" s="532" t="s">
        <v>1153</v>
      </c>
      <c r="Z10" s="356" t="s">
        <v>532</v>
      </c>
      <c r="AA10" s="297"/>
      <c r="AB10" s="360" t="s">
        <v>533</v>
      </c>
      <c r="AC10" s="297"/>
      <c r="AD10" s="356" t="s">
        <v>251</v>
      </c>
      <c r="AE10" s="297"/>
      <c r="AF10" s="356" t="s">
        <v>4907</v>
      </c>
      <c r="AG10" s="297"/>
    </row>
    <row r="11" spans="2:42" s="288" customFormat="1" ht="14.25" customHeight="1" thickBot="1">
      <c r="C11" s="364" t="s">
        <v>534</v>
      </c>
      <c r="D11" s="466">
        <f>INDEX(calcLOB2Prod1Seg1RunRateM3,xxIndexTeam)</f>
        <v>143</v>
      </c>
      <c r="E11" s="532" t="s">
        <v>1164</v>
      </c>
      <c r="F11" s="466">
        <f>INDEX(calcLOB2Prod1Seg1RunRateM2,xxIndexTeam)</f>
        <v>137</v>
      </c>
      <c r="G11" s="532" t="s">
        <v>1165</v>
      </c>
      <c r="H11" s="466">
        <f>INDEX(calcLOB2Prod1Seg1RunRateM1,xxIndexTeam)</f>
        <v>139</v>
      </c>
      <c r="I11" s="532" t="s">
        <v>1166</v>
      </c>
      <c r="J11" s="466">
        <f>INDEX(calcLOB2Prod1Seg1RunRateMM,xxIndexTeam)</f>
        <v>134</v>
      </c>
      <c r="K11" s="532" t="s">
        <v>1167</v>
      </c>
      <c r="L11" s="361">
        <v>134</v>
      </c>
      <c r="M11" s="532" t="s">
        <v>1168</v>
      </c>
      <c r="N11" s="466">
        <f>INDEX(calcLOB2Prod1Seg1Patients,xxIndexTeam)/INDEX(paramTimeConversion,xxIndexTeam)</f>
        <v>134</v>
      </c>
      <c r="O11" s="532" t="s">
        <v>1169</v>
      </c>
      <c r="P11" s="466">
        <f>INDEX(calcLOB2Prod1Seg1BudgetMM,xxIndexTeam)</f>
        <v>146</v>
      </c>
      <c r="Q11" s="532" t="s">
        <v>5036</v>
      </c>
      <c r="S11" s="364" t="s">
        <v>534</v>
      </c>
      <c r="T11" s="466">
        <f>INDEX(calcR2LOB2Prod1Seg1RunRateM3,xxIndexTeam)</f>
        <v>147</v>
      </c>
      <c r="U11" s="532" t="s">
        <v>1170</v>
      </c>
      <c r="V11" s="466">
        <f>INDEX(calcR2LOB2Prod1Seg1RunRateM2,xxIndexTeam)</f>
        <v>142</v>
      </c>
      <c r="W11" s="532" t="s">
        <v>1171</v>
      </c>
      <c r="X11" s="466">
        <f>INDEX(calcR2LOB2Prod1Seg1RunRateM1,xxIndexTeam)</f>
        <v>143</v>
      </c>
      <c r="Y11" s="532" t="s">
        <v>1172</v>
      </c>
      <c r="Z11" s="466">
        <f>INDEX(calcR2LOB2Prod1Seg1RunRateMM,xxIndexTeam)</f>
        <v>138</v>
      </c>
      <c r="AA11" s="532" t="s">
        <v>1173</v>
      </c>
      <c r="AB11" s="361">
        <v>138</v>
      </c>
      <c r="AC11" s="532" t="s">
        <v>1174</v>
      </c>
      <c r="AD11" s="466">
        <f>INDEX(calcR2LOB2Prod1Seg1Patients,xxIndexTeam)/INDEX(paramR2TimeConversion,xxIndexTeam)</f>
        <v>138</v>
      </c>
      <c r="AE11" s="532" t="s">
        <v>1175</v>
      </c>
      <c r="AF11" s="466">
        <f>INDEX(calcR2LOB2Prod1Seg1BudgetMM,xxIndexTeam)</f>
        <v>151</v>
      </c>
      <c r="AG11" s="532" t="s">
        <v>5043</v>
      </c>
    </row>
    <row r="12" spans="2:42" s="288" customFormat="1" ht="14.25" customHeight="1" thickBot="1">
      <c r="C12" s="365" t="s">
        <v>535</v>
      </c>
      <c r="D12" s="467">
        <f>INDEX(calcLOB2Prod1Seg2RunRateM3,xxIndexTeam)</f>
        <v>7</v>
      </c>
      <c r="E12" s="532" t="s">
        <v>1176</v>
      </c>
      <c r="F12" s="467">
        <f>INDEX(calcLOB2Prod1Seg2RunRateM2,xxIndexTeam)</f>
        <v>6</v>
      </c>
      <c r="G12" s="532" t="s">
        <v>1177</v>
      </c>
      <c r="H12" s="467">
        <f>INDEX(calcLOB2Prod1Seg2RunRateM1,xxIndexTeam)</f>
        <v>4</v>
      </c>
      <c r="I12" s="532" t="s">
        <v>1178</v>
      </c>
      <c r="J12" s="467">
        <f>INDEX(calcLOB2Prod1Seg2RunRateMM,xxIndexTeam)</f>
        <v>7</v>
      </c>
      <c r="K12" s="532" t="s">
        <v>1179</v>
      </c>
      <c r="L12" s="361">
        <v>7</v>
      </c>
      <c r="M12" s="532" t="s">
        <v>1180</v>
      </c>
      <c r="N12" s="467">
        <f>INDEX(calcLOB2Prod1Seg2Patients,xxIndexTeam)/INDEX(paramTimeConversion,xxIndexTeam)</f>
        <v>7</v>
      </c>
      <c r="O12" s="532" t="s">
        <v>1181</v>
      </c>
      <c r="P12" s="467">
        <f>INDEX(calcLOB2Prod1Seg2BudgetMM,xxIndexTeam)</f>
        <v>8</v>
      </c>
      <c r="Q12" s="532" t="s">
        <v>5037</v>
      </c>
      <c r="S12" s="365" t="s">
        <v>535</v>
      </c>
      <c r="T12" s="467">
        <f>INDEX(calcR2LOB2Prod1Seg2RunRateM3,xxIndexTeam)</f>
        <v>7</v>
      </c>
      <c r="U12" s="532" t="s">
        <v>1182</v>
      </c>
      <c r="V12" s="467">
        <f>INDEX(calcR2LOB2Prod1Seg2RunRateM2,xxIndexTeam)</f>
        <v>7</v>
      </c>
      <c r="W12" s="532" t="s">
        <v>1183</v>
      </c>
      <c r="X12" s="467">
        <f>INDEX(calcR2LOB2Prod1Seg2RunRateM1,xxIndexTeam)</f>
        <v>4</v>
      </c>
      <c r="Y12" s="532" t="s">
        <v>1184</v>
      </c>
      <c r="Z12" s="467">
        <f>INDEX(calcR2LOB2Prod1Seg2RunRateMM,xxIndexTeam)</f>
        <v>8</v>
      </c>
      <c r="AA12" s="532" t="s">
        <v>1185</v>
      </c>
      <c r="AB12" s="361">
        <v>8</v>
      </c>
      <c r="AC12" s="532" t="s">
        <v>1186</v>
      </c>
      <c r="AD12" s="467">
        <f>INDEX(calcR2LOB2Prod1Seg2Patients,xxIndexTeam)/INDEX(paramR2TimeConversion,xxIndexTeam)</f>
        <v>8</v>
      </c>
      <c r="AE12" s="532" t="s">
        <v>1187</v>
      </c>
      <c r="AF12" s="467">
        <f>INDEX(calcR2LOB2Prod1Seg2BudgetMM,xxIndexTeam)</f>
        <v>8</v>
      </c>
      <c r="AG12" s="532" t="s">
        <v>5044</v>
      </c>
    </row>
    <row r="13" spans="2:42" s="288" customFormat="1" ht="14.25" customHeight="1" thickBot="1">
      <c r="C13" s="364" t="s">
        <v>536</v>
      </c>
      <c r="D13" s="466">
        <f>INDEX(calcLOB2Prod1Seg3RunRateM3,xxIndexTeam)</f>
        <v>5</v>
      </c>
      <c r="E13" s="532" t="s">
        <v>1188</v>
      </c>
      <c r="F13" s="466">
        <f>INDEX(calcLOB2Prod1Seg3RunRateM2,xxIndexTeam)</f>
        <v>3</v>
      </c>
      <c r="G13" s="532" t="s">
        <v>1189</v>
      </c>
      <c r="H13" s="466">
        <f>INDEX(calcLOB2Prod1Seg3RunRateM1,xxIndexTeam)</f>
        <v>5</v>
      </c>
      <c r="I13" s="532" t="s">
        <v>1190</v>
      </c>
      <c r="J13" s="466">
        <f>INDEX(calcLOB2Prod1Seg3RunRateMM,xxIndexTeam)</f>
        <v>4</v>
      </c>
      <c r="K13" s="532" t="s">
        <v>1191</v>
      </c>
      <c r="L13" s="361">
        <v>4</v>
      </c>
      <c r="M13" s="532" t="s">
        <v>1192</v>
      </c>
      <c r="N13" s="466">
        <f>INDEX(calcLOB2Prod1Seg3Patients,xxIndexTeam)/INDEX(paramTimeConversion,xxIndexTeam)</f>
        <v>4</v>
      </c>
      <c r="O13" s="532" t="s">
        <v>1193</v>
      </c>
      <c r="P13" s="466">
        <f>INDEX(calcLOB2Prod1Seg3BudgetMM,xxIndexTeam)</f>
        <v>5</v>
      </c>
      <c r="Q13" s="532" t="s">
        <v>5038</v>
      </c>
      <c r="S13" s="364" t="s">
        <v>536</v>
      </c>
      <c r="T13" s="466">
        <f>INDEX(calcR2LOB2Prod1Seg3RunRateM3,xxIndexTeam)</f>
        <v>6</v>
      </c>
      <c r="U13" s="532" t="s">
        <v>1194</v>
      </c>
      <c r="V13" s="466">
        <f>INDEX(calcR2LOB2Prod1Seg3RunRateM2,xxIndexTeam)</f>
        <v>3</v>
      </c>
      <c r="W13" s="532" t="s">
        <v>1195</v>
      </c>
      <c r="X13" s="466">
        <f>INDEX(calcR2LOB2Prod1Seg3RunRateM1,xxIndexTeam)</f>
        <v>6</v>
      </c>
      <c r="Y13" s="532" t="s">
        <v>1196</v>
      </c>
      <c r="Z13" s="466">
        <f>INDEX(calcR2LOB2Prod1Seg3RunRateMM,xxIndexTeam)</f>
        <v>5</v>
      </c>
      <c r="AA13" s="532" t="s">
        <v>1197</v>
      </c>
      <c r="AB13" s="361">
        <v>5</v>
      </c>
      <c r="AC13" s="532" t="s">
        <v>1198</v>
      </c>
      <c r="AD13" s="466">
        <f>INDEX(calcR2LOB2Prod1Seg3Patients,xxIndexTeam)/INDEX(paramR2TimeConversion,xxIndexTeam)</f>
        <v>5</v>
      </c>
      <c r="AE13" s="532" t="s">
        <v>1199</v>
      </c>
      <c r="AF13" s="466">
        <f>INDEX(calcR2LOB2Prod1Seg3BudgetMM,xxIndexTeam)</f>
        <v>5</v>
      </c>
      <c r="AG13" s="532" t="s">
        <v>5045</v>
      </c>
    </row>
    <row r="14" spans="2:42" s="288" customFormat="1" ht="14.25" customHeight="1" thickBot="1">
      <c r="C14" s="365" t="s">
        <v>537</v>
      </c>
      <c r="D14" s="467">
        <f>INDEX(calcLOB2Prod2Seg1RunRateM3,xxIndexTeam)</f>
        <v>36</v>
      </c>
      <c r="E14" s="532" t="s">
        <v>1200</v>
      </c>
      <c r="F14" s="467">
        <f>INDEX(calcLOB2Prod2Seg1RunRateM2,xxIndexTeam)</f>
        <v>41</v>
      </c>
      <c r="G14" s="532" t="s">
        <v>1201</v>
      </c>
      <c r="H14" s="467">
        <f>INDEX(calcLOB2Prod2Seg1RunRateM1,xxIndexTeam)</f>
        <v>49</v>
      </c>
      <c r="I14" s="532" t="s">
        <v>1202</v>
      </c>
      <c r="J14" s="467">
        <f>INDEX(calcLOB2Prod2Seg1RunRateMM,xxIndexTeam)</f>
        <v>40</v>
      </c>
      <c r="K14" s="532" t="s">
        <v>1203</v>
      </c>
      <c r="L14" s="361">
        <v>40</v>
      </c>
      <c r="M14" s="532" t="s">
        <v>1204</v>
      </c>
      <c r="N14" s="467">
        <f>INDEX(calcLOB2Prod2Seg1Patients,xxIndexTeam)/INDEX(paramTimeConversion,xxIndexTeam)</f>
        <v>40</v>
      </c>
      <c r="O14" s="532" t="s">
        <v>1205</v>
      </c>
      <c r="P14" s="467">
        <f>INDEX(calcLOB2Prod2Seg1BudgetMM,xxIndexTeam)</f>
        <v>44</v>
      </c>
      <c r="Q14" s="532" t="s">
        <v>5039</v>
      </c>
      <c r="S14" s="365" t="s">
        <v>537</v>
      </c>
      <c r="T14" s="467">
        <f>INDEX(calcR2LOB2Prod2Seg1RunRateM3,xxIndexTeam)</f>
        <v>37</v>
      </c>
      <c r="U14" s="532" t="s">
        <v>1206</v>
      </c>
      <c r="V14" s="467">
        <f>INDEX(calcR2LOB2Prod2Seg1RunRateM2,xxIndexTeam)</f>
        <v>42</v>
      </c>
      <c r="W14" s="532" t="s">
        <v>1207</v>
      </c>
      <c r="X14" s="467">
        <f>INDEX(calcR2LOB2Prod2Seg1RunRateM1,xxIndexTeam)</f>
        <v>50</v>
      </c>
      <c r="Y14" s="532" t="s">
        <v>1208</v>
      </c>
      <c r="Z14" s="467">
        <f>INDEX(calcR2LOB2Prod2Seg1RunRateMM,xxIndexTeam)</f>
        <v>42</v>
      </c>
      <c r="AA14" s="532" t="s">
        <v>1209</v>
      </c>
      <c r="AB14" s="361">
        <v>42</v>
      </c>
      <c r="AC14" s="532" t="s">
        <v>1210</v>
      </c>
      <c r="AD14" s="467">
        <f>INDEX(calcR2LOB2Prod2Seg1Patients,xxIndexTeam)/INDEX(paramR2TimeConversion,xxIndexTeam)</f>
        <v>42</v>
      </c>
      <c r="AE14" s="532" t="s">
        <v>1211</v>
      </c>
      <c r="AF14" s="467">
        <f>INDEX(calcR2LOB2Prod2Seg1BudgetMM,xxIndexTeam)</f>
        <v>45</v>
      </c>
      <c r="AG14" s="532" t="s">
        <v>5046</v>
      </c>
    </row>
    <row r="15" spans="2:42" s="288" customFormat="1" ht="14.25" customHeight="1" thickBot="1">
      <c r="C15" s="364" t="s">
        <v>538</v>
      </c>
      <c r="D15" s="466">
        <f>INDEX(calcLOB2Prod2Seg2RunRateM3,xxIndexTeam)</f>
        <v>2</v>
      </c>
      <c r="E15" s="532" t="s">
        <v>1212</v>
      </c>
      <c r="F15" s="466">
        <f>INDEX(calcLOB2Prod2Seg2RunRateM2,xxIndexTeam)</f>
        <v>1</v>
      </c>
      <c r="G15" s="532" t="s">
        <v>1213</v>
      </c>
      <c r="H15" s="466">
        <f>INDEX(calcLOB2Prod2Seg2RunRateM1,xxIndexTeam)</f>
        <v>2</v>
      </c>
      <c r="I15" s="532" t="s">
        <v>1214</v>
      </c>
      <c r="J15" s="466">
        <f>INDEX(calcLOB2Prod2Seg2RunRateMM,xxIndexTeam)</f>
        <v>2</v>
      </c>
      <c r="K15" s="532" t="s">
        <v>1215</v>
      </c>
      <c r="L15" s="361">
        <v>2</v>
      </c>
      <c r="M15" s="532" t="s">
        <v>1216</v>
      </c>
      <c r="N15" s="466">
        <f>INDEX(calcLOB2Prod2Seg2Patients,xxIndexTeam)/INDEX(paramTimeConversion,xxIndexTeam)</f>
        <v>2</v>
      </c>
      <c r="O15" s="532" t="s">
        <v>1217</v>
      </c>
      <c r="P15" s="466">
        <f>INDEX(calcLOB2Prod2Seg2BudgetMM,xxIndexTeam)</f>
        <v>2</v>
      </c>
      <c r="Q15" s="532" t="s">
        <v>5040</v>
      </c>
      <c r="S15" s="364" t="s">
        <v>538</v>
      </c>
      <c r="T15" s="466">
        <f>INDEX(calcR2LOB2Prod2Seg2RunRateM3,xxIndexTeam)</f>
        <v>2</v>
      </c>
      <c r="U15" s="532" t="s">
        <v>1218</v>
      </c>
      <c r="V15" s="466">
        <f>INDEX(calcR2LOB2Prod2Seg2RunRateM2,xxIndexTeam)</f>
        <v>1</v>
      </c>
      <c r="W15" s="532" t="s">
        <v>1219</v>
      </c>
      <c r="X15" s="466">
        <f>INDEX(calcR2LOB2Prod2Seg2RunRateM1,xxIndexTeam)</f>
        <v>2</v>
      </c>
      <c r="Y15" s="532" t="s">
        <v>1220</v>
      </c>
      <c r="Z15" s="466">
        <f>INDEX(calcR2LOB2Prod2Seg2RunRateMM,xxIndexTeam)</f>
        <v>2</v>
      </c>
      <c r="AA15" s="532" t="s">
        <v>1221</v>
      </c>
      <c r="AB15" s="361">
        <v>2</v>
      </c>
      <c r="AC15" s="532" t="s">
        <v>1222</v>
      </c>
      <c r="AD15" s="466">
        <f>INDEX(calcR2LOB2Prod2Seg2Patients,xxIndexTeam)/INDEX(paramR2TimeConversion,xxIndexTeam)</f>
        <v>2</v>
      </c>
      <c r="AE15" s="532" t="s">
        <v>1223</v>
      </c>
      <c r="AF15" s="466">
        <f>INDEX(calcR2LOB2Prod2Seg2BudgetMM,xxIndexTeam)</f>
        <v>2</v>
      </c>
      <c r="AG15" s="532" t="s">
        <v>5047</v>
      </c>
    </row>
    <row r="16" spans="2:42" s="288" customFormat="1" ht="14.25" customHeight="1" thickBot="1">
      <c r="C16" s="366" t="s">
        <v>539</v>
      </c>
      <c r="D16" s="468">
        <f>INDEX(calcLOB2Prod2Seg3RunRateM3,xxIndexTeam)</f>
        <v>1</v>
      </c>
      <c r="E16" s="532" t="s">
        <v>1224</v>
      </c>
      <c r="F16" s="468">
        <f>INDEX(calcLOB2Prod2Seg3RunRateM2,xxIndexTeam)</f>
        <v>1</v>
      </c>
      <c r="G16" s="532" t="s">
        <v>1225</v>
      </c>
      <c r="H16" s="468">
        <f>INDEX(calcLOB2Prod2Seg3RunRateM1,xxIndexTeam)</f>
        <v>1</v>
      </c>
      <c r="I16" s="532" t="s">
        <v>1226</v>
      </c>
      <c r="J16" s="468">
        <f>INDEX(calcLOB2Prod2Seg3RunRateMM,xxIndexTeam)</f>
        <v>1</v>
      </c>
      <c r="K16" s="532" t="s">
        <v>1227</v>
      </c>
      <c r="L16" s="361">
        <v>1</v>
      </c>
      <c r="M16" s="532" t="s">
        <v>1228</v>
      </c>
      <c r="N16" s="468">
        <f>INDEX(calcLOB2Prod2Seg3Patients,xxIndexTeam)/INDEX(paramTimeConversion,xxIndexTeam)</f>
        <v>1</v>
      </c>
      <c r="O16" s="532" t="s">
        <v>1229</v>
      </c>
      <c r="P16" s="468">
        <f>INDEX(calcLOB2Prod2Seg3BudgetMM,xxIndexTeam)</f>
        <v>1</v>
      </c>
      <c r="Q16" s="532" t="s">
        <v>5041</v>
      </c>
      <c r="S16" s="366" t="s">
        <v>539</v>
      </c>
      <c r="T16" s="468">
        <f>INDEX(calcR2LOB2Prod2Seg3RunRateM3,xxIndexTeam)</f>
        <v>1</v>
      </c>
      <c r="U16" s="532" t="s">
        <v>1230</v>
      </c>
      <c r="V16" s="468">
        <f>INDEX(calcR2LOB2Prod2Seg3RunRateM2,xxIndexTeam)</f>
        <v>1</v>
      </c>
      <c r="W16" s="532" t="s">
        <v>1231</v>
      </c>
      <c r="X16" s="468">
        <f>INDEX(calcR2LOB2Prod2Seg3RunRateM1,xxIndexTeam)</f>
        <v>1</v>
      </c>
      <c r="Y16" s="532" t="s">
        <v>1232</v>
      </c>
      <c r="Z16" s="468">
        <f>INDEX(calcR2LOB2Prod2Seg3RunRateMM,xxIndexTeam)</f>
        <v>1</v>
      </c>
      <c r="AA16" s="532" t="s">
        <v>1233</v>
      </c>
      <c r="AB16" s="361">
        <v>1</v>
      </c>
      <c r="AC16" s="532" t="s">
        <v>1234</v>
      </c>
      <c r="AD16" s="468">
        <f>INDEX(calcR2LOB2Prod2Seg3Patients,xxIndexTeam)/INDEX(paramR2TimeConversion,xxIndexTeam)</f>
        <v>1</v>
      </c>
      <c r="AE16" s="532" t="s">
        <v>1235</v>
      </c>
      <c r="AF16" s="468">
        <f>INDEX(calcR2LOB2Prod2Seg3BudgetMM,xxIndexTeam)</f>
        <v>2</v>
      </c>
      <c r="AG16" s="532" t="s">
        <v>5048</v>
      </c>
    </row>
    <row r="17" spans="3:33" s="288" customFormat="1" ht="14.25" customHeight="1" thickTop="1" thickBot="1">
      <c r="C17" s="367" t="s">
        <v>13</v>
      </c>
      <c r="D17" s="469">
        <f>INDEX(calcLOB2RunRateM3,xxIndexTeam)</f>
        <v>194</v>
      </c>
      <c r="E17" s="532" t="s">
        <v>1154</v>
      </c>
      <c r="F17" s="469">
        <f>INDEX(calcLOB2RunRateM2,xxIndexTeam)</f>
        <v>189</v>
      </c>
      <c r="G17" s="532" t="s">
        <v>1155</v>
      </c>
      <c r="H17" s="469">
        <f>INDEX(calcLOB2RunRateM1,xxIndexTeam)</f>
        <v>200</v>
      </c>
      <c r="I17" s="532" t="s">
        <v>1156</v>
      </c>
      <c r="J17" s="469">
        <f>INDEX(calcLOB2RunRateMM,xxIndexTeam)</f>
        <v>188</v>
      </c>
      <c r="K17" s="532" t="s">
        <v>1157</v>
      </c>
      <c r="L17" s="469">
        <f>INDEX(calcLOB2Patients,xxIndexTeam)/INDEX(paramTimeConversion,xxIndexTeam)</f>
        <v>188</v>
      </c>
      <c r="M17" s="532" t="s">
        <v>4335</v>
      </c>
      <c r="N17" s="469">
        <f>INDEX(calcLOB2Patients,xxIndexTeam)/INDEX(paramTimeConversion,xxIndexTeam)</f>
        <v>188</v>
      </c>
      <c r="O17" s="532" t="s">
        <v>1158</v>
      </c>
      <c r="P17" s="469">
        <f>INDEX(calcLOB2BudgetMM,xxIndexTeam)</f>
        <v>206</v>
      </c>
      <c r="Q17" s="532" t="s">
        <v>5042</v>
      </c>
      <c r="S17" s="367" t="s">
        <v>13</v>
      </c>
      <c r="T17" s="469">
        <f>INDEX(calcR2LOB2RunRateM3,xxIndexTeam)</f>
        <v>200</v>
      </c>
      <c r="U17" s="532" t="s">
        <v>1159</v>
      </c>
      <c r="V17" s="469">
        <f>INDEX(calcR2LOB2RunRateM2,xxIndexTeam)</f>
        <v>196</v>
      </c>
      <c r="W17" s="532" t="s">
        <v>1160</v>
      </c>
      <c r="X17" s="469">
        <f>INDEX(calcR2LOB2RunRateM1,xxIndexTeam)</f>
        <v>206</v>
      </c>
      <c r="Y17" s="532" t="s">
        <v>1161</v>
      </c>
      <c r="Z17" s="469">
        <f>INDEX(calcR2LOB2RunRate,xxIndexTeam)/INDEX(paramR2TimeConversion,xxIndexTeam)</f>
        <v>195.33333333333334</v>
      </c>
      <c r="AA17" s="532" t="s">
        <v>1162</v>
      </c>
      <c r="AB17" s="469">
        <f>INDEX(calcR2LOB2Patients,xxIndexTeam)/INDEX(paramR2TimeConversion,xxIndexTeam)</f>
        <v>196</v>
      </c>
      <c r="AC17" s="532" t="s">
        <v>4336</v>
      </c>
      <c r="AD17" s="469">
        <f>INDEX(calcR2LOB2Patients,xxIndexTeam)/INDEX(paramR2TimeConversion,xxIndexTeam)</f>
        <v>196</v>
      </c>
      <c r="AE17" s="532" t="s">
        <v>1163</v>
      </c>
      <c r="AF17" s="469">
        <f>INDEX(calcR2LOB2Budget,xxIndexTeam)/INDEX(paramR2TimeConversion,xxIndexTeam)</f>
        <v>213</v>
      </c>
      <c r="AG17" s="532" t="s">
        <v>5049</v>
      </c>
    </row>
    <row r="18" spans="3:33" s="288" customFormat="1" ht="14.25" customHeight="1"/>
    <row r="19" spans="3:33" s="288" customFormat="1" ht="14.25" customHeight="1">
      <c r="J19" s="288" t="s">
        <v>4705</v>
      </c>
      <c r="Z19" s="288" t="s">
        <v>4705</v>
      </c>
    </row>
    <row r="20" spans="3:33" s="288" customFormat="1" ht="14.25" customHeight="1">
      <c r="J20" s="340" t="str">
        <f>nmEmp1</f>
        <v>Skilled Nursing</v>
      </c>
      <c r="L20" s="488">
        <f>1-INDEX(caclLOB2Emp1Utilization,1)</f>
        <v>-5.0864981930618391E-3</v>
      </c>
      <c r="M20" s="532" t="s">
        <v>4767</v>
      </c>
      <c r="Z20" s="340" t="str">
        <f>nmEmp1</f>
        <v>Skilled Nursing</v>
      </c>
      <c r="AB20" s="488">
        <f>1-INDEX(calcR2LOB2Emp1Utilization,1)</f>
        <v>-8.7284885591700112E-2</v>
      </c>
      <c r="AC20" s="532" t="s">
        <v>4768</v>
      </c>
    </row>
    <row r="21" spans="3:33" s="288" customFormat="1" ht="14.25" customHeight="1">
      <c r="J21" s="340" t="str">
        <f>nmEmp2</f>
        <v>Occupational Therapy</v>
      </c>
      <c r="L21" s="488">
        <f>1-INDEX(caclLOB2Emp2Utilization,1)</f>
        <v>-8.3959264550022006E-3</v>
      </c>
      <c r="M21" s="532" t="s">
        <v>4769</v>
      </c>
      <c r="Z21" s="340" t="str">
        <f>nmEmp2</f>
        <v>Occupational Therapy</v>
      </c>
      <c r="AB21" s="488">
        <f>1-INDEX(calcR2LOB2Emp2Utilization,1)</f>
        <v>-8.6342209876472564E-2</v>
      </c>
      <c r="AC21" s="532" t="s">
        <v>4770</v>
      </c>
    </row>
    <row r="22" spans="3:33" s="288" customFormat="1" ht="14.25" customHeight="1">
      <c r="J22" s="340" t="str">
        <f>nmEmp3</f>
        <v>Physical Therapy</v>
      </c>
      <c r="L22" s="488">
        <f>1-INDEX(caclLOB2Emp3Utilization,1)</f>
        <v>-5.2042529378847346E-2</v>
      </c>
      <c r="M22" s="532" t="s">
        <v>4771</v>
      </c>
      <c r="Z22" s="340" t="str">
        <f>nmEmp3</f>
        <v>Physical Therapy</v>
      </c>
      <c r="AB22" s="488">
        <f>1-INDEX(calcR2LOB2Emp3Utilization,1)</f>
        <v>-0.13477398476610802</v>
      </c>
      <c r="AC22" s="532" t="s">
        <v>4772</v>
      </c>
    </row>
    <row r="23" spans="3:33" s="288" customFormat="1" ht="14.25" customHeight="1">
      <c r="J23" s="340"/>
      <c r="L23" s="488"/>
      <c r="M23" s="297"/>
      <c r="Z23" s="340"/>
      <c r="AB23" s="488"/>
      <c r="AC23" s="297"/>
    </row>
    <row r="24" spans="3:33" s="288" customFormat="1" ht="14.25" customHeight="1">
      <c r="J24" s="340"/>
      <c r="L24" s="488"/>
      <c r="M24" s="297"/>
      <c r="Z24" s="340"/>
      <c r="AB24" s="488"/>
      <c r="AC24" s="297"/>
    </row>
    <row r="25" spans="3:33" s="288" customFormat="1" ht="14.25" customHeight="1">
      <c r="J25" s="340"/>
      <c r="L25" s="488"/>
      <c r="M25" s="297"/>
      <c r="Z25" s="340"/>
      <c r="AB25" s="488"/>
      <c r="AC25" s="297"/>
    </row>
    <row r="26" spans="3:33" s="288" customFormat="1" ht="14.25" customHeight="1">
      <c r="J26" s="340"/>
      <c r="L26" s="488"/>
      <c r="M26" s="297"/>
      <c r="Z26" s="340"/>
      <c r="AB26" s="488"/>
      <c r="AC26" s="297"/>
    </row>
    <row r="27" spans="3:33" s="288" customFormat="1" ht="14.25" customHeight="1">
      <c r="J27" s="340"/>
      <c r="L27" s="488"/>
      <c r="M27" s="297"/>
      <c r="Z27" s="340"/>
      <c r="AB27" s="488"/>
      <c r="AC27" s="297"/>
    </row>
    <row r="28" spans="3:33" s="288" customFormat="1" ht="14.25" customHeight="1">
      <c r="J28" s="340"/>
      <c r="L28" s="488"/>
      <c r="M28" s="297"/>
      <c r="Z28" s="340"/>
      <c r="AB28" s="488"/>
      <c r="AC28" s="297"/>
    </row>
    <row r="29" spans="3:33" s="288" customFormat="1" ht="14.25" customHeight="1">
      <c r="J29" s="340"/>
      <c r="L29" s="488"/>
      <c r="M29" s="297"/>
      <c r="Z29" s="340"/>
      <c r="AB29" s="488"/>
      <c r="AC29" s="297"/>
    </row>
    <row r="30" spans="3:33" s="288" customFormat="1" ht="14.25" customHeight="1">
      <c r="J30" s="340"/>
      <c r="L30" s="488"/>
      <c r="M30" s="297"/>
      <c r="Z30" s="340"/>
      <c r="AB30" s="488"/>
      <c r="AC30" s="297"/>
    </row>
    <row r="31" spans="3:33" s="30" customFormat="1" ht="15" customHeight="1">
      <c r="P31" s="548"/>
    </row>
    <row r="32" spans="3:33" s="30" customFormat="1" ht="15" customHeight="1">
      <c r="F32" s="541"/>
      <c r="H32" s="541"/>
      <c r="J32" s="548"/>
      <c r="L32" s="548"/>
      <c r="P32" s="547"/>
    </row>
    <row r="33" spans="3:33" s="288" customFormat="1" ht="14.25" customHeight="1">
      <c r="C33" s="288" t="s">
        <v>4350</v>
      </c>
      <c r="D33" s="300">
        <v>0</v>
      </c>
      <c r="E33" s="297" t="s">
        <v>5058</v>
      </c>
      <c r="P33" s="29"/>
      <c r="Q33" s="29"/>
      <c r="S33" s="288" t="s">
        <v>4350</v>
      </c>
      <c r="T33" s="300">
        <v>0</v>
      </c>
      <c r="U33" s="297" t="s">
        <v>4977</v>
      </c>
      <c r="AF33" s="29"/>
      <c r="AG33" s="29"/>
    </row>
    <row r="34" spans="3:33" ht="22" customHeight="1"/>
    <row r="35" spans="3:33">
      <c r="C35" s="291" t="s">
        <v>457</v>
      </c>
      <c r="D35" s="288" t="s">
        <v>232</v>
      </c>
      <c r="E35" s="288"/>
      <c r="F35" s="542"/>
      <c r="H35" s="331"/>
      <c r="J35" s="545"/>
      <c r="L35" s="545"/>
      <c r="M35" s="288"/>
      <c r="O35" s="288"/>
      <c r="P35" s="288"/>
      <c r="Q35" s="288"/>
      <c r="R35" s="29" t="s">
        <v>408</v>
      </c>
      <c r="U35" s="288"/>
      <c r="W35" s="288"/>
      <c r="Y35" s="288"/>
      <c r="AA35" s="288"/>
      <c r="AC35" s="288"/>
      <c r="AE35" s="288"/>
      <c r="AF35" s="288"/>
      <c r="AG35" s="288"/>
    </row>
    <row r="36" spans="3:33" ht="15.5" thickBot="1">
      <c r="F36" s="542"/>
      <c r="G36" s="288"/>
      <c r="H36" s="288"/>
      <c r="I36" s="288"/>
      <c r="J36" s="543"/>
      <c r="K36" s="582"/>
      <c r="L36" s="288" t="s">
        <v>8501</v>
      </c>
      <c r="P36" s="288"/>
      <c r="Q36" s="288"/>
      <c r="R36" s="29" t="s">
        <v>408</v>
      </c>
      <c r="Z36" s="29" t="s">
        <v>408</v>
      </c>
      <c r="AB36" s="288" t="s">
        <v>8501</v>
      </c>
      <c r="AF36" s="288"/>
      <c r="AG36" s="288"/>
    </row>
    <row r="37" spans="3:33" ht="15.5" thickBot="1">
      <c r="C37" s="364" t="s">
        <v>534</v>
      </c>
      <c r="F37" s="542"/>
      <c r="H37" s="331"/>
      <c r="J37" s="543"/>
      <c r="L37" s="288">
        <v>175</v>
      </c>
      <c r="M37" s="532" t="s">
        <v>8514</v>
      </c>
      <c r="P37" s="288"/>
      <c r="Q37" s="288"/>
      <c r="S37" s="364" t="s">
        <v>534</v>
      </c>
      <c r="AB37" s="288">
        <v>200</v>
      </c>
      <c r="AC37" s="532" t="s">
        <v>8520</v>
      </c>
      <c r="AF37" s="288"/>
      <c r="AG37" s="288"/>
    </row>
    <row r="38" spans="3:33" ht="15.5" thickBot="1">
      <c r="C38" s="365" t="s">
        <v>535</v>
      </c>
      <c r="F38" s="542"/>
      <c r="H38" s="331"/>
      <c r="J38" s="543"/>
      <c r="L38" s="288">
        <v>10</v>
      </c>
      <c r="M38" s="532" t="s">
        <v>8515</v>
      </c>
      <c r="P38" s="542"/>
      <c r="Q38" s="542"/>
      <c r="S38" s="365" t="s">
        <v>535</v>
      </c>
      <c r="AB38" s="288">
        <v>20</v>
      </c>
      <c r="AC38" s="532" t="s">
        <v>8521</v>
      </c>
      <c r="AF38" s="288"/>
      <c r="AG38" s="288"/>
    </row>
    <row r="39" spans="3:33" ht="15.5" thickBot="1">
      <c r="C39" s="364" t="s">
        <v>536</v>
      </c>
      <c r="L39" s="288">
        <v>10</v>
      </c>
      <c r="M39" s="532" t="s">
        <v>8516</v>
      </c>
      <c r="P39" s="288"/>
      <c r="Q39" s="288"/>
      <c r="S39" s="364" t="s">
        <v>536</v>
      </c>
      <c r="AB39" s="288">
        <v>20</v>
      </c>
      <c r="AC39" s="532" t="s">
        <v>8522</v>
      </c>
      <c r="AF39" s="288"/>
      <c r="AG39" s="288"/>
    </row>
    <row r="40" spans="3:33" ht="15.5" thickBot="1">
      <c r="C40" s="365" t="s">
        <v>537</v>
      </c>
      <c r="L40" s="288">
        <v>55</v>
      </c>
      <c r="M40" s="532" t="s">
        <v>8517</v>
      </c>
      <c r="P40" s="288"/>
      <c r="Q40" s="288"/>
      <c r="S40" s="365" t="s">
        <v>537</v>
      </c>
      <c r="AB40" s="288">
        <v>75</v>
      </c>
      <c r="AC40" s="532" t="s">
        <v>8523</v>
      </c>
      <c r="AF40" s="288"/>
      <c r="AG40" s="288"/>
    </row>
    <row r="41" spans="3:33" ht="15.5" thickBot="1">
      <c r="C41" s="364" t="s">
        <v>538</v>
      </c>
      <c r="L41" s="288">
        <v>10</v>
      </c>
      <c r="M41" s="532" t="s">
        <v>8518</v>
      </c>
      <c r="P41" s="542"/>
      <c r="Q41" s="542"/>
      <c r="S41" s="364" t="s">
        <v>538</v>
      </c>
      <c r="AB41" s="288">
        <v>20</v>
      </c>
      <c r="AC41" s="532" t="s">
        <v>8524</v>
      </c>
      <c r="AF41" s="288"/>
      <c r="AG41" s="288"/>
    </row>
    <row r="42" spans="3:33" ht="15.5" thickBot="1">
      <c r="C42" s="366" t="s">
        <v>539</v>
      </c>
      <c r="L42" s="288">
        <v>10</v>
      </c>
      <c r="M42" s="532" t="s">
        <v>8519</v>
      </c>
      <c r="P42" s="288"/>
      <c r="Q42" s="288"/>
      <c r="S42" s="366" t="s">
        <v>539</v>
      </c>
      <c r="AB42" s="288">
        <v>20</v>
      </c>
      <c r="AC42" s="532" t="s">
        <v>8525</v>
      </c>
      <c r="AF42" s="288"/>
      <c r="AG42" s="288"/>
    </row>
    <row r="43" spans="3:33" ht="15.5" thickTop="1">
      <c r="P43" s="543"/>
      <c r="Q43" s="288"/>
      <c r="AF43" s="288"/>
      <c r="AG43" s="288"/>
    </row>
    <row r="44" spans="3:33">
      <c r="P44" s="543"/>
      <c r="AF44" s="288"/>
      <c r="AG44" s="288"/>
    </row>
    <row r="45" spans="3:33">
      <c r="P45" s="543"/>
      <c r="AF45" s="288"/>
      <c r="AG45" s="288"/>
    </row>
    <row r="46" spans="3:33">
      <c r="AF46" s="288"/>
      <c r="AG46" s="288"/>
    </row>
  </sheetData>
  <mergeCells count="4">
    <mergeCell ref="D9:H9"/>
    <mergeCell ref="J9:N9"/>
    <mergeCell ref="T9:X9"/>
    <mergeCell ref="Z9:AD9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7"/>
  </sheetPr>
  <dimension ref="B1:BG54"/>
  <sheetViews>
    <sheetView showGridLines="0" topLeftCell="S5" zoomScaleNormal="100" workbookViewId="0">
      <selection activeCell="AW26" sqref="AW26"/>
    </sheetView>
  </sheetViews>
  <sheetFormatPr defaultColWidth="9" defaultRowHeight="15"/>
  <cols>
    <col min="1" max="6" width="2.77734375" style="29" customWidth="1"/>
    <col min="7" max="7" width="12.77734375" style="29" customWidth="1"/>
    <col min="8" max="8" width="4.109375" style="29" customWidth="1"/>
    <col min="9" max="9" width="12.77734375" style="29" customWidth="1"/>
    <col min="10" max="10" width="4.109375" style="29" customWidth="1"/>
    <col min="11" max="11" width="14.77734375" style="29" customWidth="1"/>
    <col min="12" max="12" width="4.109375" style="29" customWidth="1"/>
    <col min="13" max="13" width="12.33203125" style="29" customWidth="1"/>
    <col min="14" max="14" width="4.109375" style="29" customWidth="1"/>
    <col min="15" max="15" width="12.33203125" style="29" customWidth="1"/>
    <col min="16" max="16" width="4.109375" style="29" customWidth="1"/>
    <col min="17" max="17" width="10.77734375" style="29" customWidth="1"/>
    <col min="18" max="18" width="4.109375" style="29" customWidth="1"/>
    <col min="19" max="19" width="10.77734375" style="29" customWidth="1"/>
    <col min="20" max="20" width="4.109375" style="29" customWidth="1"/>
    <col min="21" max="21" width="10.77734375" style="29" customWidth="1"/>
    <col min="22" max="22" width="4.109375" style="29" customWidth="1"/>
    <col min="23" max="23" width="10.77734375" style="29" customWidth="1"/>
    <col min="24" max="24" width="4.109375" style="29" customWidth="1"/>
    <col min="25" max="25" width="10.77734375" style="29" customWidth="1"/>
    <col min="26" max="26" width="4.109375" style="29" customWidth="1"/>
    <col min="27" max="27" width="10.77734375" style="29" customWidth="1"/>
    <col min="28" max="28" width="4.109375" style="29" customWidth="1"/>
    <col min="29" max="29" width="10.77734375" style="29" customWidth="1"/>
    <col min="30" max="30" width="7.77734375" style="29" customWidth="1"/>
    <col min="31" max="31" width="3.77734375" style="29" customWidth="1"/>
    <col min="32" max="35" width="2.77734375" style="29" customWidth="1"/>
    <col min="36" max="36" width="12.77734375" style="29" customWidth="1"/>
    <col min="37" max="37" width="6.77734375" style="29" customWidth="1"/>
    <col min="38" max="38" width="12.77734375" style="29" customWidth="1"/>
    <col min="39" max="39" width="6.77734375" style="29" customWidth="1"/>
    <col min="40" max="40" width="23" style="29" customWidth="1"/>
    <col min="41" max="41" width="4.109375" style="29" customWidth="1"/>
    <col min="42" max="42" width="10.77734375" style="29" customWidth="1"/>
    <col min="43" max="43" width="4.109375" style="29" customWidth="1"/>
    <col min="44" max="44" width="10.77734375" style="29" customWidth="1"/>
    <col min="45" max="45" width="4.109375" style="29" customWidth="1"/>
    <col min="46" max="46" width="10.77734375" style="29" customWidth="1"/>
    <col min="47" max="47" width="4.109375" style="29" customWidth="1"/>
    <col min="48" max="48" width="10.77734375" style="29" customWidth="1"/>
    <col min="49" max="49" width="4.109375" style="29" customWidth="1"/>
    <col min="50" max="50" width="10.77734375" style="29" customWidth="1"/>
    <col min="51" max="51" width="4.109375" style="29" customWidth="1"/>
    <col min="52" max="52" width="10.77734375" style="29" customWidth="1"/>
    <col min="53" max="53" width="4.109375" style="29" customWidth="1"/>
    <col min="54" max="54" width="10.77734375" style="29" customWidth="1"/>
    <col min="55" max="55" width="4.109375" style="29" customWidth="1"/>
    <col min="56" max="56" width="10.77734375" style="29" customWidth="1"/>
    <col min="57" max="57" width="4.109375" style="29" customWidth="1"/>
    <col min="58" max="58" width="10.77734375" style="29" customWidth="1"/>
    <col min="59" max="59" width="7.77734375" style="29" customWidth="1"/>
    <col min="60" max="16384" width="9" style="29"/>
  </cols>
  <sheetData>
    <row r="1" spans="2:59" s="31" customFormat="1" ht="6" customHeight="1">
      <c r="G1" s="285"/>
      <c r="H1" s="285"/>
      <c r="AJ1" s="285"/>
      <c r="AK1" s="285"/>
    </row>
    <row r="2" spans="2:59" s="31" customFormat="1" ht="26.25" customHeight="1">
      <c r="C2" s="286" t="str">
        <f>xxProgramName</f>
        <v>Care Center Simulation Experience</v>
      </c>
      <c r="E2" s="286"/>
      <c r="H2" s="286"/>
      <c r="AF2" s="286" t="str">
        <f>xxProgramName</f>
        <v>Care Center Simulation Experience</v>
      </c>
      <c r="AH2" s="286"/>
      <c r="AK2" s="286"/>
    </row>
    <row r="3" spans="2:59" s="31" customFormat="1" ht="15" customHeight="1">
      <c r="B3" s="347"/>
      <c r="C3" s="349" t="s">
        <v>473</v>
      </c>
      <c r="D3" s="347"/>
      <c r="E3" s="349"/>
      <c r="F3" s="347"/>
      <c r="G3" s="347"/>
      <c r="H3" s="347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  <c r="U3" s="348"/>
      <c r="V3" s="348"/>
      <c r="W3" s="348"/>
      <c r="X3" s="348"/>
      <c r="Y3" s="348"/>
      <c r="Z3" s="348"/>
      <c r="AA3" s="348"/>
      <c r="AB3" s="348"/>
      <c r="AC3" s="348"/>
      <c r="AD3" s="348"/>
      <c r="AE3" s="373"/>
      <c r="AF3" s="373" t="s">
        <v>474</v>
      </c>
      <c r="AG3" s="373"/>
      <c r="AH3" s="373"/>
      <c r="AI3" s="373"/>
      <c r="AJ3" s="373"/>
      <c r="AK3" s="373"/>
      <c r="AL3" s="373"/>
      <c r="AM3" s="373"/>
      <c r="AN3" s="373"/>
      <c r="AO3" s="373"/>
      <c r="AP3" s="373"/>
      <c r="AQ3" s="373"/>
      <c r="AR3" s="373"/>
      <c r="AS3" s="373"/>
      <c r="AT3" s="373"/>
      <c r="AU3" s="373"/>
      <c r="AV3" s="373"/>
      <c r="AW3" s="373"/>
      <c r="AX3" s="373"/>
      <c r="AY3" s="373"/>
      <c r="AZ3" s="373"/>
      <c r="BA3" s="373"/>
      <c r="BB3" s="373"/>
      <c r="BC3" s="373"/>
      <c r="BD3" s="373"/>
      <c r="BE3" s="373"/>
      <c r="BF3" s="373"/>
      <c r="BG3" s="373"/>
    </row>
    <row r="4" spans="2:59" s="32" customFormat="1" ht="15.75" customHeight="1">
      <c r="C4" s="359" t="s">
        <v>527</v>
      </c>
      <c r="D4" s="359"/>
      <c r="E4" s="359"/>
      <c r="F4" s="358"/>
      <c r="G4" s="359" t="s">
        <v>8214</v>
      </c>
      <c r="H4" s="522"/>
      <c r="I4" s="522">
        <f>tlOutputDBRevGrowth_R1</f>
        <v>8.7486130057792266E-3</v>
      </c>
      <c r="J4" s="523"/>
      <c r="K4" s="523" t="s">
        <v>487</v>
      </c>
      <c r="L4" s="742"/>
      <c r="M4" s="742">
        <f>tlOutputDBNIFO_R1</f>
        <v>2038635.0538766291</v>
      </c>
      <c r="N4" s="523"/>
      <c r="O4" s="523" t="s">
        <v>488</v>
      </c>
      <c r="P4" s="522"/>
      <c r="Q4" s="522">
        <f>tlOutputDBStars_R1</f>
        <v>0.72786859688195993</v>
      </c>
      <c r="R4" s="359"/>
      <c r="S4" s="359" t="s">
        <v>8215</v>
      </c>
      <c r="T4" s="521"/>
      <c r="U4" s="521">
        <f>tlOutputDBESAT_R1</f>
        <v>0.7</v>
      </c>
      <c r="V4" s="359"/>
      <c r="W4" s="359" t="s">
        <v>8216</v>
      </c>
      <c r="X4" s="521"/>
      <c r="Y4" s="521">
        <f>tlOutputDBCSAT_R1</f>
        <v>0.76669554565701548</v>
      </c>
      <c r="Z4" s="358"/>
      <c r="AB4" s="358"/>
      <c r="AF4" s="359" t="s">
        <v>527</v>
      </c>
      <c r="AG4" s="359"/>
      <c r="AH4" s="359"/>
      <c r="AI4" s="358"/>
      <c r="AJ4" s="359" t="s">
        <v>8214</v>
      </c>
      <c r="AK4" s="522"/>
      <c r="AL4" s="522">
        <f>tlOutputDBRevGrowth_R2</f>
        <v>2.6423246492234265E-2</v>
      </c>
      <c r="AM4" s="523"/>
      <c r="AN4" s="523" t="s">
        <v>487</v>
      </c>
      <c r="AO4" s="742"/>
      <c r="AP4" s="742">
        <f>tlOutputDBNIFO_R2</f>
        <v>2424318.0780725498</v>
      </c>
      <c r="AQ4" s="523"/>
      <c r="AR4" s="523" t="s">
        <v>488</v>
      </c>
      <c r="AS4" s="522"/>
      <c r="AT4" s="522">
        <f>tlOutputDBStars_R2</f>
        <v>0.7181057129963645</v>
      </c>
      <c r="AU4" s="359"/>
      <c r="AV4" s="359" t="s">
        <v>8215</v>
      </c>
      <c r="AW4" s="521"/>
      <c r="AX4" s="521">
        <f>tlOutputDBESAT_R2</f>
        <v>0.68023703712147898</v>
      </c>
      <c r="AY4" s="359"/>
      <c r="AZ4" s="359" t="s">
        <v>8216</v>
      </c>
      <c r="BA4" s="521"/>
      <c r="BB4" s="521">
        <f>tlOutputDBCSAT_R2</f>
        <v>0.75776133110113975</v>
      </c>
      <c r="BC4" s="358"/>
      <c r="BE4" s="358"/>
      <c r="BG4" s="358"/>
    </row>
    <row r="5" spans="2:59" s="32" customFormat="1" ht="15.75" customHeight="1">
      <c r="C5" s="359" t="s">
        <v>528</v>
      </c>
      <c r="D5" s="359"/>
      <c r="E5" s="359"/>
      <c r="F5" s="358"/>
      <c r="G5" s="359" t="s">
        <v>8214</v>
      </c>
      <c r="H5" s="522"/>
      <c r="I5" s="522">
        <f>tlOutputDBLOB2RevGrowth_R1</f>
        <v>2.4752971230853182E-2</v>
      </c>
      <c r="J5" s="523"/>
      <c r="K5" s="523" t="s">
        <v>487</v>
      </c>
      <c r="L5" s="742"/>
      <c r="M5" s="742">
        <f>tlOutputDBLOB2NIFO_R1</f>
        <v>902312.16742663039</v>
      </c>
      <c r="N5" s="523"/>
      <c r="O5" s="523" t="s">
        <v>488</v>
      </c>
      <c r="P5" s="522"/>
      <c r="Q5" s="522">
        <f>tlOutputDBLOB2Stars_R1</f>
        <v>0.6429999999999999</v>
      </c>
      <c r="R5" s="359"/>
      <c r="S5" s="359" t="s">
        <v>8215</v>
      </c>
      <c r="T5" s="521"/>
      <c r="U5" s="521">
        <f>tlOutputDBLOB2ESAT_R1</f>
        <v>0.65</v>
      </c>
      <c r="V5" s="359"/>
      <c r="W5" s="359" t="s">
        <v>8216</v>
      </c>
      <c r="X5" s="521"/>
      <c r="Y5" s="521">
        <f>tlOutputDBLOB2CSAT_R1</f>
        <v>0.63729999999999987</v>
      </c>
      <c r="Z5" s="358"/>
      <c r="AB5" s="358"/>
      <c r="AF5" s="359" t="s">
        <v>528</v>
      </c>
      <c r="AG5" s="359"/>
      <c r="AH5" s="359"/>
      <c r="AI5" s="358"/>
      <c r="AJ5" s="359" t="s">
        <v>8214</v>
      </c>
      <c r="AK5" s="522"/>
      <c r="AL5" s="522">
        <f>tlOutputDBLOB2RevGrowth_R2</f>
        <v>4.0316901988656673E-2</v>
      </c>
      <c r="AM5" s="523"/>
      <c r="AN5" s="523" t="s">
        <v>487</v>
      </c>
      <c r="AO5" s="742"/>
      <c r="AP5" s="742">
        <f>tlOutputDBLOB2NIFO_R2</f>
        <v>686458.24234997015</v>
      </c>
      <c r="AQ5" s="523"/>
      <c r="AR5" s="523" t="s">
        <v>488</v>
      </c>
      <c r="AS5" s="522"/>
      <c r="AT5" s="522">
        <f>tlOutputDBLOB2Stars_R2</f>
        <v>0.64121040838303567</v>
      </c>
      <c r="AU5" s="359"/>
      <c r="AV5" s="359" t="s">
        <v>8215</v>
      </c>
      <c r="AW5" s="521"/>
      <c r="AX5" s="521">
        <f>tlOutputDBLOB2ESAT_R2</f>
        <v>0.64552602095758949</v>
      </c>
      <c r="AY5" s="359"/>
      <c r="AZ5" s="359" t="s">
        <v>8216</v>
      </c>
      <c r="BA5" s="521"/>
      <c r="BB5" s="521">
        <f>tlOutputDBLOB2CSAT_R2</f>
        <v>0.6357788471255803</v>
      </c>
      <c r="BC5" s="358"/>
      <c r="BE5" s="358"/>
      <c r="BG5" s="358"/>
    </row>
    <row r="6" spans="2:59" s="288" customFormat="1" ht="9" customHeight="1"/>
    <row r="7" spans="2:59" s="288" customFormat="1" ht="14.25" customHeight="1">
      <c r="C7" s="290" t="str">
        <f>nmLOB2&amp;" - Staffing"</f>
        <v>Pleasentville - Staffing</v>
      </c>
      <c r="D7" s="290"/>
      <c r="E7" s="290"/>
      <c r="F7" s="290"/>
      <c r="G7" s="290"/>
      <c r="H7" s="290"/>
      <c r="I7" s="290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90" t="str">
        <f>nmLOB2&amp;" - Staffing"</f>
        <v>Pleasentville - Staffing</v>
      </c>
      <c r="AG7" s="290"/>
      <c r="AH7" s="290"/>
      <c r="AI7" s="290"/>
      <c r="AJ7" s="290"/>
      <c r="AK7" s="290"/>
      <c r="AL7" s="290"/>
      <c r="AM7" s="289"/>
      <c r="AN7" s="289"/>
      <c r="AO7" s="289"/>
      <c r="AP7" s="289"/>
      <c r="AQ7" s="289"/>
      <c r="AR7" s="289"/>
      <c r="AS7" s="289"/>
      <c r="AT7" s="289"/>
      <c r="AU7" s="289"/>
      <c r="AV7" s="289"/>
      <c r="AW7" s="289"/>
      <c r="AX7" s="289"/>
      <c r="AY7" s="289"/>
      <c r="AZ7" s="289"/>
      <c r="BA7" s="289"/>
      <c r="BB7" s="289"/>
      <c r="BC7" s="289"/>
      <c r="BD7" s="289"/>
      <c r="BE7" s="289"/>
      <c r="BF7" s="289"/>
      <c r="BG7" s="289"/>
    </row>
    <row r="8" spans="2:59" s="288" customFormat="1" ht="8.25" customHeight="1" thickBot="1">
      <c r="AT8" s="527" t="s">
        <v>3400</v>
      </c>
      <c r="AV8" s="527" t="s">
        <v>3401</v>
      </c>
    </row>
    <row r="9" spans="2:59" s="288" customFormat="1" ht="36.75" customHeight="1" thickBot="1">
      <c r="G9" s="371" t="s">
        <v>540</v>
      </c>
      <c r="H9" s="297"/>
      <c r="I9" s="371" t="s">
        <v>541</v>
      </c>
      <c r="J9" s="297"/>
      <c r="K9" s="371" t="s">
        <v>542</v>
      </c>
      <c r="L9" s="297"/>
      <c r="M9" s="371" t="s">
        <v>543</v>
      </c>
      <c r="N9" s="297"/>
      <c r="O9" s="371" t="s">
        <v>544</v>
      </c>
      <c r="P9" s="297"/>
      <c r="Q9" s="371" t="s">
        <v>3399</v>
      </c>
      <c r="R9" s="297"/>
      <c r="S9" s="371" t="s">
        <v>545</v>
      </c>
      <c r="T9" s="297"/>
      <c r="U9" s="371" t="s">
        <v>546</v>
      </c>
      <c r="V9" s="297"/>
      <c r="W9" s="371" t="s">
        <v>547</v>
      </c>
      <c r="X9" s="297"/>
      <c r="Y9" s="371" t="s">
        <v>548</v>
      </c>
      <c r="Z9" s="297"/>
      <c r="AA9" s="371" t="s">
        <v>549</v>
      </c>
      <c r="AC9" s="371" t="s">
        <v>557</v>
      </c>
      <c r="AJ9" s="371" t="s">
        <v>540</v>
      </c>
      <c r="AK9" s="297"/>
      <c r="AL9" s="371" t="s">
        <v>541</v>
      </c>
      <c r="AM9" s="297"/>
      <c r="AN9" s="371" t="s">
        <v>542</v>
      </c>
      <c r="AO9" s="297"/>
      <c r="AP9" s="371" t="s">
        <v>543</v>
      </c>
      <c r="AQ9" s="297"/>
      <c r="AR9" s="371" t="s">
        <v>544</v>
      </c>
      <c r="AS9" s="297"/>
      <c r="AT9" s="371" t="s">
        <v>545</v>
      </c>
      <c r="AU9" s="297"/>
      <c r="AV9" s="371" t="s">
        <v>545</v>
      </c>
      <c r="AW9" s="297"/>
      <c r="AX9" s="371" t="s">
        <v>546</v>
      </c>
      <c r="AY9" s="297"/>
      <c r="AZ9" s="371" t="s">
        <v>547</v>
      </c>
      <c r="BA9" s="297"/>
      <c r="BB9" s="371" t="s">
        <v>548</v>
      </c>
      <c r="BC9" s="297"/>
      <c r="BD9" s="371" t="s">
        <v>549</v>
      </c>
      <c r="BF9" s="371" t="s">
        <v>557</v>
      </c>
    </row>
    <row r="10" spans="2:59" s="288" customFormat="1" ht="14.25" customHeight="1" thickTop="1" thickBot="1">
      <c r="C10" s="372">
        <v>0</v>
      </c>
      <c r="D10" s="532" t="s">
        <v>1236</v>
      </c>
      <c r="E10" s="717" t="s">
        <v>7901</v>
      </c>
      <c r="F10" s="532" t="s">
        <v>3124</v>
      </c>
      <c r="G10" s="368" t="str">
        <f>INDEX(cbalLOB2DiscClinician1,xxIndexTeam)</f>
        <v>RN</v>
      </c>
      <c r="H10" s="532" t="s">
        <v>1237</v>
      </c>
      <c r="I10" s="368" t="str">
        <f>INDEX(cbalLOB2EmpStatClinician1,xxIndexTeam)</f>
        <v>Full-Time</v>
      </c>
      <c r="J10" s="532" t="s">
        <v>1238</v>
      </c>
      <c r="K10" s="368" t="str">
        <f>INDEX(cbalLOB2NameClinician1,xxIndexTeam)</f>
        <v>Sherie Sea</v>
      </c>
      <c r="L10" s="532" t="s">
        <v>1239</v>
      </c>
      <c r="M10" s="368" t="s">
        <v>552</v>
      </c>
      <c r="N10" s="532" t="s">
        <v>1240</v>
      </c>
      <c r="O10" s="470">
        <f>INDEX(calcLOB2Clinician1BaseProd,xxIndexTeam)</f>
        <v>27</v>
      </c>
      <c r="P10" s="532" t="s">
        <v>1241</v>
      </c>
      <c r="Q10" s="470">
        <f>INDEX(calcLOB2Clinician1AllocatedProd,xxIndexTeam)</f>
        <v>26.215051239435063</v>
      </c>
      <c r="R10" s="532" t="s">
        <v>4949</v>
      </c>
      <c r="S10" s="526">
        <v>0</v>
      </c>
      <c r="T10" s="532" t="s">
        <v>3410</v>
      </c>
      <c r="U10" s="470">
        <f>INDEX(calcLOB2Clinician1GrossProd,xxIndexTeam)</f>
        <v>27</v>
      </c>
      <c r="V10" s="532" t="s">
        <v>1242</v>
      </c>
      <c r="W10" s="493">
        <f>INDEX(calcLOB2Clinician1MissVisits,xxIndexTeam)</f>
        <v>4.7250000000000005</v>
      </c>
      <c r="X10" s="532" t="s">
        <v>1243</v>
      </c>
      <c r="Y10" s="470">
        <f>INDEX(cbalLOB2MileageClinician1,xxIndexTeam)</f>
        <v>186.3</v>
      </c>
      <c r="Z10" s="532" t="s">
        <v>1244</v>
      </c>
      <c r="AA10" s="368">
        <f>INDEX(cbalLOB2AdminTimeClinician1,xxIndexTeam)</f>
        <v>4</v>
      </c>
      <c r="AB10" s="532" t="s">
        <v>1245</v>
      </c>
      <c r="AC10" s="493">
        <f>INDEX(calcLOB2Clinician1OverTime,xxIndexTeam)</f>
        <v>0</v>
      </c>
      <c r="AD10" s="532" t="s">
        <v>1246</v>
      </c>
      <c r="AF10" s="372">
        <v>0</v>
      </c>
      <c r="AG10" s="532" t="s">
        <v>1247</v>
      </c>
      <c r="AH10" s="717" t="s">
        <v>7901</v>
      </c>
      <c r="AI10" s="532" t="s">
        <v>3134</v>
      </c>
      <c r="AJ10" s="368" t="str">
        <f>INDEX(cbalR2LOB2DiscClinician1,xxIndexTeam)</f>
        <v>RN</v>
      </c>
      <c r="AK10" s="532" t="s">
        <v>3424</v>
      </c>
      <c r="AL10" s="368" t="str">
        <f>INDEX(cbalR2LOB2EmpStatClinician1,xxIndexTeam)</f>
        <v>Full-Time</v>
      </c>
      <c r="AM10" s="532" t="s">
        <v>3425</v>
      </c>
      <c r="AN10" s="368" t="str">
        <f>INDEX(cbalR2LOB2NameClinician1,xxIndexTeam)</f>
        <v>Sherie Sea</v>
      </c>
      <c r="AO10" s="532" t="s">
        <v>3426</v>
      </c>
      <c r="AP10" s="368" t="s">
        <v>552</v>
      </c>
      <c r="AQ10" s="532" t="s">
        <v>3427</v>
      </c>
      <c r="AR10" s="470">
        <f>INDEX(calcR2LOB2Clinician1BaseProd,xxIndexTeam)</f>
        <v>27</v>
      </c>
      <c r="AS10" s="532" t="s">
        <v>3428</v>
      </c>
      <c r="AT10" s="470">
        <f>INDEX(calcR2LOB2Clinician1AllocatedProd,xxIndexTeam)</f>
        <v>28.292115683179166</v>
      </c>
      <c r="AU10" s="532" t="s">
        <v>4961</v>
      </c>
      <c r="AV10" s="526">
        <v>0</v>
      </c>
      <c r="AW10" s="532" t="s">
        <v>3429</v>
      </c>
      <c r="AX10" s="470">
        <f>INDEX(calcR2LOB2Clinician1GrossProd,xxIndexTeam)</f>
        <v>27</v>
      </c>
      <c r="AY10" s="532" t="s">
        <v>3430</v>
      </c>
      <c r="AZ10" s="493">
        <f>INDEX(calcR2LOB2Clinician1MissVisits,xxIndexTeam)</f>
        <v>4.7250000000000005</v>
      </c>
      <c r="BA10" s="532" t="s">
        <v>3431</v>
      </c>
      <c r="BB10" s="470">
        <f>INDEX(cbalR2LOB2MileageClinician1,xxIndexTeam)</f>
        <v>186.3</v>
      </c>
      <c r="BC10" s="532" t="s">
        <v>3432</v>
      </c>
      <c r="BD10" s="368">
        <f>INDEX(cbalR2LOB2AdminTimeClinician1,xxIndexTeam)</f>
        <v>4</v>
      </c>
      <c r="BE10" s="532" t="s">
        <v>3433</v>
      </c>
      <c r="BF10" s="493">
        <f>INDEX(calcR2LOB2Clinician1OverTime,xxIndexTeam)</f>
        <v>0</v>
      </c>
      <c r="BG10" s="532" t="s">
        <v>1248</v>
      </c>
    </row>
    <row r="11" spans="2:59" s="288" customFormat="1" ht="14.25" customHeight="1" thickBot="1">
      <c r="C11" s="372">
        <v>0</v>
      </c>
      <c r="D11" s="532" t="s">
        <v>1249</v>
      </c>
      <c r="E11" s="717" t="s">
        <v>7901</v>
      </c>
      <c r="F11" s="532" t="s">
        <v>3125</v>
      </c>
      <c r="G11" s="369" t="str">
        <f>INDEX(cbalLOB2DiscClinician2,xxIndexTeam)</f>
        <v>RN</v>
      </c>
      <c r="H11" s="532" t="s">
        <v>1250</v>
      </c>
      <c r="I11" s="369" t="str">
        <f>INDEX(cbalLOB2EmpStatClinician2,xxIndexTeam)</f>
        <v>Full-Time</v>
      </c>
      <c r="J11" s="532" t="s">
        <v>1251</v>
      </c>
      <c r="K11" s="369" t="str">
        <f>INDEX(cbalLOB2NameClinician2,xxIndexTeam)</f>
        <v>Jamison Jordon  </v>
      </c>
      <c r="L11" s="532" t="s">
        <v>1252</v>
      </c>
      <c r="M11" s="369" t="s">
        <v>552</v>
      </c>
      <c r="N11" s="532" t="s">
        <v>1253</v>
      </c>
      <c r="O11" s="471">
        <f>INDEX(calcLOB2Clinician2BaseProd,xxIndexTeam)</f>
        <v>28</v>
      </c>
      <c r="P11" s="532" t="s">
        <v>1254</v>
      </c>
      <c r="Q11" s="471">
        <f>INDEX(calcLOB2Clinician2AllocatedProd,xxIndexTeam)</f>
        <v>27.185979063117845</v>
      </c>
      <c r="R11" s="532" t="s">
        <v>4950</v>
      </c>
      <c r="S11" s="524">
        <v>0</v>
      </c>
      <c r="T11" s="532" t="s">
        <v>3411</v>
      </c>
      <c r="U11" s="471">
        <f>INDEX(calcLOB2Clinician2GrossProd,xxIndexTeam)</f>
        <v>28</v>
      </c>
      <c r="V11" s="532" t="s">
        <v>1255</v>
      </c>
      <c r="W11" s="494">
        <f>INDEX(calcLOB2Clinician2MissVisits,xxIndexTeam)</f>
        <v>4.2</v>
      </c>
      <c r="X11" s="532" t="s">
        <v>1256</v>
      </c>
      <c r="Y11" s="471">
        <f>INDEX(cbalLOB2MileageClinician2,xxIndexTeam)</f>
        <v>159.6</v>
      </c>
      <c r="Z11" s="532" t="s">
        <v>1257</v>
      </c>
      <c r="AA11" s="369">
        <f>INDEX(cbalLOB2AdminTimeClinician2,xxIndexTeam)</f>
        <v>1</v>
      </c>
      <c r="AB11" s="532" t="s">
        <v>1258</v>
      </c>
      <c r="AC11" s="494">
        <f>INDEX(calcLOB2Clinician2OverTime,xxIndexTeam)</f>
        <v>0</v>
      </c>
      <c r="AD11" s="532" t="s">
        <v>1259</v>
      </c>
      <c r="AF11" s="372">
        <v>0</v>
      </c>
      <c r="AG11" s="532" t="s">
        <v>1260</v>
      </c>
      <c r="AH11" s="717" t="s">
        <v>7901</v>
      </c>
      <c r="AI11" s="532" t="s">
        <v>3135</v>
      </c>
      <c r="AJ11" s="369" t="str">
        <f>INDEX(cbalR2LOB2DiscClinician2,xxIndexTeam)</f>
        <v>RN</v>
      </c>
      <c r="AK11" s="532" t="s">
        <v>3434</v>
      </c>
      <c r="AL11" s="369" t="str">
        <f>INDEX(cbalR2LOB2EmpStatClinician2,xxIndexTeam)</f>
        <v>Full-Time</v>
      </c>
      <c r="AM11" s="532" t="s">
        <v>3435</v>
      </c>
      <c r="AN11" s="369" t="str">
        <f>INDEX(cbalR2LOB2NameClinician2,xxIndexTeam)</f>
        <v>Jamison Jordon  </v>
      </c>
      <c r="AO11" s="532" t="s">
        <v>3436</v>
      </c>
      <c r="AP11" s="369" t="s">
        <v>552</v>
      </c>
      <c r="AQ11" s="532" t="s">
        <v>3437</v>
      </c>
      <c r="AR11" s="471">
        <f>INDEX(calcR2LOB2Clinician2BaseProd,xxIndexTeam)</f>
        <v>28</v>
      </c>
      <c r="AS11" s="532" t="s">
        <v>3438</v>
      </c>
      <c r="AT11" s="471">
        <f>INDEX(calcR2LOB2Clinician2AllocatedProd,xxIndexTeam)</f>
        <v>29.33997181959321</v>
      </c>
      <c r="AU11" s="532" t="s">
        <v>4962</v>
      </c>
      <c r="AV11" s="524">
        <v>0</v>
      </c>
      <c r="AW11" s="532" t="s">
        <v>3439</v>
      </c>
      <c r="AX11" s="471">
        <f>INDEX(calcR2LOB2Clinician2GrossProd,xxIndexTeam)</f>
        <v>28</v>
      </c>
      <c r="AY11" s="532" t="s">
        <v>3440</v>
      </c>
      <c r="AZ11" s="494">
        <f>INDEX(calcR2LOB2Clinician2MissVisits,xxIndexTeam)</f>
        <v>4.2</v>
      </c>
      <c r="BA11" s="532" t="s">
        <v>3441</v>
      </c>
      <c r="BB11" s="471">
        <f>INDEX(cbalR2LOB2MileageClinician2,xxIndexTeam)</f>
        <v>159.6</v>
      </c>
      <c r="BC11" s="532" t="s">
        <v>3442</v>
      </c>
      <c r="BD11" s="369">
        <f>INDEX(cbalR2LOB2AdminTimeClinician2,xxIndexTeam)</f>
        <v>1</v>
      </c>
      <c r="BE11" s="532" t="s">
        <v>3443</v>
      </c>
      <c r="BF11" s="494">
        <f>INDEX(calcR2LOB2Clinician2OverTime,xxIndexTeam)</f>
        <v>0</v>
      </c>
      <c r="BG11" s="532" t="s">
        <v>1261</v>
      </c>
    </row>
    <row r="12" spans="2:59" s="288" customFormat="1" ht="14.25" customHeight="1" thickBot="1">
      <c r="C12" s="372">
        <v>0</v>
      </c>
      <c r="D12" s="532" t="s">
        <v>1262</v>
      </c>
      <c r="E12" s="717" t="s">
        <v>7901</v>
      </c>
      <c r="F12" s="532" t="s">
        <v>3126</v>
      </c>
      <c r="G12" s="370" t="str">
        <f>INDEX(cbalLOB2DiscClinician3,xxIndexTeam)</f>
        <v>RN</v>
      </c>
      <c r="H12" s="532" t="s">
        <v>1263</v>
      </c>
      <c r="I12" s="370" t="str">
        <f>INDEX(cbalLOB2EmpStatClinician3,xxIndexTeam)</f>
        <v>Part-Time</v>
      </c>
      <c r="J12" s="532" t="s">
        <v>1264</v>
      </c>
      <c r="K12" s="370" t="str">
        <f>INDEX(cbalLOB2NameClinician3,xxIndexTeam)</f>
        <v>Audry Amore  </v>
      </c>
      <c r="L12" s="532" t="s">
        <v>1265</v>
      </c>
      <c r="M12" s="370" t="s">
        <v>552</v>
      </c>
      <c r="N12" s="532" t="s">
        <v>1266</v>
      </c>
      <c r="O12" s="472">
        <f>INDEX(calcLOB2Clinician3BaseProd,xxIndexTeam)</f>
        <v>17.021276595744681</v>
      </c>
      <c r="P12" s="532" t="s">
        <v>1267</v>
      </c>
      <c r="Q12" s="472">
        <f>INDEX(calcLOB2Clinician3AllocatedProd,xxIndexTeam)</f>
        <v>16.526431041409023</v>
      </c>
      <c r="R12" s="532" t="s">
        <v>4951</v>
      </c>
      <c r="S12" s="524">
        <v>0</v>
      </c>
      <c r="T12" s="532" t="s">
        <v>3412</v>
      </c>
      <c r="U12" s="472">
        <f>INDEX(calcLOB2Clinician3GrossProd,xxIndexTeam)</f>
        <v>17.021276595744681</v>
      </c>
      <c r="V12" s="532" t="s">
        <v>1268</v>
      </c>
      <c r="W12" s="495">
        <f>INDEX(calcLOB2Clinician3MissVisits,xxIndexTeam)</f>
        <v>1.2765957446808509</v>
      </c>
      <c r="X12" s="532" t="s">
        <v>1269</v>
      </c>
      <c r="Y12" s="472">
        <f>INDEX(cbalLOB2MileageClinician3,xxIndexTeam)</f>
        <v>81.702127659574458</v>
      </c>
      <c r="Z12" s="532" t="s">
        <v>1270</v>
      </c>
      <c r="AA12" s="370">
        <f>INDEX(cbalLOB2AdminTimeClinician3,xxIndexTeam)</f>
        <v>3</v>
      </c>
      <c r="AB12" s="532" t="s">
        <v>1271</v>
      </c>
      <c r="AC12" s="495">
        <f>INDEX(calcLOB2Clinician3OverTime,xxIndexTeam)</f>
        <v>0</v>
      </c>
      <c r="AD12" s="532" t="s">
        <v>1272</v>
      </c>
      <c r="AF12" s="372">
        <v>0</v>
      </c>
      <c r="AG12" s="532" t="s">
        <v>1273</v>
      </c>
      <c r="AH12" s="717" t="s">
        <v>7901</v>
      </c>
      <c r="AI12" s="532" t="s">
        <v>3136</v>
      </c>
      <c r="AJ12" s="370" t="str">
        <f>INDEX(cbalR2LOB2DiscClinician3,xxIndexTeam)</f>
        <v>RN</v>
      </c>
      <c r="AK12" s="532" t="s">
        <v>3444</v>
      </c>
      <c r="AL12" s="370" t="str">
        <f>INDEX(cbalR2LOB2EmpStatClinician3,xxIndexTeam)</f>
        <v>Part-Time</v>
      </c>
      <c r="AM12" s="532" t="s">
        <v>3445</v>
      </c>
      <c r="AN12" s="370" t="str">
        <f>INDEX(cbalR2LOB2NameClinician3,xxIndexTeam)</f>
        <v>Audry Amore  </v>
      </c>
      <c r="AO12" s="532" t="s">
        <v>3446</v>
      </c>
      <c r="AP12" s="370" t="s">
        <v>552</v>
      </c>
      <c r="AQ12" s="532" t="s">
        <v>3447</v>
      </c>
      <c r="AR12" s="472">
        <f>INDEX(calcR2LOB2Clinician3BaseProd,xxIndexTeam)</f>
        <v>17.021276595744681</v>
      </c>
      <c r="AS12" s="532" t="s">
        <v>3448</v>
      </c>
      <c r="AT12" s="472">
        <f>INDEX(calcR2LOB2Clinician3AllocatedProd,xxIndexTeam)</f>
        <v>17.835849130451798</v>
      </c>
      <c r="AU12" s="532" t="s">
        <v>4963</v>
      </c>
      <c r="AV12" s="524">
        <v>0</v>
      </c>
      <c r="AW12" s="532" t="s">
        <v>3449</v>
      </c>
      <c r="AX12" s="472">
        <f>INDEX(calcR2LOB2Clinician3GrossProd,xxIndexTeam)</f>
        <v>17.021276595744681</v>
      </c>
      <c r="AY12" s="532" t="s">
        <v>3450</v>
      </c>
      <c r="AZ12" s="495">
        <f>INDEX(calcR2LOB2Clinician3MissVisits,xxIndexTeam)</f>
        <v>1.2765957446808509</v>
      </c>
      <c r="BA12" s="532" t="s">
        <v>3451</v>
      </c>
      <c r="BB12" s="472">
        <f>INDEX(cbalR2LOB2MileageClinician3,xxIndexTeam)</f>
        <v>81.702127659574458</v>
      </c>
      <c r="BC12" s="532" t="s">
        <v>3452</v>
      </c>
      <c r="BD12" s="370">
        <f>INDEX(cbalR2LOB2AdminTimeClinician3,xxIndexTeam)</f>
        <v>3</v>
      </c>
      <c r="BE12" s="532" t="s">
        <v>3453</v>
      </c>
      <c r="BF12" s="495">
        <f>INDEX(calcR2LOB2Clinician3OverTime,xxIndexTeam)</f>
        <v>0</v>
      </c>
      <c r="BG12" s="532" t="s">
        <v>1274</v>
      </c>
    </row>
    <row r="13" spans="2:59" s="288" customFormat="1" ht="14.25" customHeight="1" thickBot="1">
      <c r="C13" s="372">
        <v>0</v>
      </c>
      <c r="D13" s="532" t="s">
        <v>1275</v>
      </c>
      <c r="E13" s="717" t="s">
        <v>7901</v>
      </c>
      <c r="F13" s="532" t="s">
        <v>3127</v>
      </c>
      <c r="G13" s="369" t="str">
        <f>INDEX(cbalLOB2DiscClinician4,xxIndexTeam)</f>
        <v>RN</v>
      </c>
      <c r="H13" s="532" t="s">
        <v>1276</v>
      </c>
      <c r="I13" s="369" t="str">
        <f>INDEX(cbalLOB2EmpStatClinician4,xxIndexTeam)</f>
        <v>Part-Time</v>
      </c>
      <c r="J13" s="532" t="s">
        <v>1277</v>
      </c>
      <c r="K13" s="369" t="str">
        <f>INDEX(cbalLOB2NameClinician4,xxIndexTeam)</f>
        <v>Marvis Martine  </v>
      </c>
      <c r="L13" s="532" t="s">
        <v>1278</v>
      </c>
      <c r="M13" s="369" t="s">
        <v>552</v>
      </c>
      <c r="N13" s="532" t="s">
        <v>1279</v>
      </c>
      <c r="O13" s="471">
        <f>INDEX(calcLOB2Clinician4BaseProd,xxIndexTeam)</f>
        <v>16.666666666666668</v>
      </c>
      <c r="P13" s="532" t="s">
        <v>1280</v>
      </c>
      <c r="Q13" s="471">
        <f>INDEX(calcLOB2Clinician4AllocatedProd,xxIndexTeam)</f>
        <v>16.182130394713006</v>
      </c>
      <c r="R13" s="532" t="s">
        <v>4952</v>
      </c>
      <c r="S13" s="524">
        <v>0</v>
      </c>
      <c r="T13" s="532" t="s">
        <v>3413</v>
      </c>
      <c r="U13" s="471">
        <f>INDEX(calcLOB2Clinician4GrossProd,xxIndexTeam)</f>
        <v>16.666666666666668</v>
      </c>
      <c r="V13" s="532" t="s">
        <v>1281</v>
      </c>
      <c r="W13" s="494">
        <f>INDEX(calcLOB2Clinician4MissVisits,xxIndexTeam)</f>
        <v>0.83333333333333348</v>
      </c>
      <c r="X13" s="532" t="s">
        <v>1282</v>
      </c>
      <c r="Y13" s="471">
        <f>INDEX(cbalLOB2MileageClinician4,xxIndexTeam)</f>
        <v>90.000000000000014</v>
      </c>
      <c r="Z13" s="532" t="s">
        <v>1283</v>
      </c>
      <c r="AA13" s="369">
        <f>INDEX(cbalLOB2AdminTimeClinician4,xxIndexTeam)</f>
        <v>2</v>
      </c>
      <c r="AB13" s="532" t="s">
        <v>1284</v>
      </c>
      <c r="AC13" s="494">
        <f>INDEX(calcLOB2Clinician4OverTime,xxIndexTeam)</f>
        <v>0</v>
      </c>
      <c r="AD13" s="532" t="s">
        <v>1285</v>
      </c>
      <c r="AF13" s="372">
        <v>0</v>
      </c>
      <c r="AG13" s="532" t="s">
        <v>1286</v>
      </c>
      <c r="AH13" s="717" t="s">
        <v>7901</v>
      </c>
      <c r="AI13" s="532" t="s">
        <v>3137</v>
      </c>
      <c r="AJ13" s="369" t="str">
        <f>INDEX(cbalR2LOB2DiscClinician4,xxIndexTeam)</f>
        <v>RN</v>
      </c>
      <c r="AK13" s="532" t="s">
        <v>3454</v>
      </c>
      <c r="AL13" s="369" t="str">
        <f>INDEX(cbalR2LOB2EmpStatClinician4,xxIndexTeam)</f>
        <v>Part-Time</v>
      </c>
      <c r="AM13" s="532" t="s">
        <v>3455</v>
      </c>
      <c r="AN13" s="369" t="str">
        <f>INDEX(cbalR2LOB2NameClinician4,xxIndexTeam)</f>
        <v>Marvis Martine  </v>
      </c>
      <c r="AO13" s="532" t="s">
        <v>3456</v>
      </c>
      <c r="AP13" s="369" t="s">
        <v>552</v>
      </c>
      <c r="AQ13" s="532" t="s">
        <v>3457</v>
      </c>
      <c r="AR13" s="471">
        <f>INDEX(calcR2LOB2Clinician4BaseProd,xxIndexTeam)</f>
        <v>16.666666666666668</v>
      </c>
      <c r="AS13" s="532" t="s">
        <v>3458</v>
      </c>
      <c r="AT13" s="471">
        <f>INDEX(calcR2LOB2Clinician4AllocatedProd,xxIndexTeam)</f>
        <v>17.464268940234057</v>
      </c>
      <c r="AU13" s="532" t="s">
        <v>4964</v>
      </c>
      <c r="AV13" s="524">
        <v>0</v>
      </c>
      <c r="AW13" s="532" t="s">
        <v>3459</v>
      </c>
      <c r="AX13" s="471">
        <f>INDEX(calcR2LOB2Clinician4GrossProd,xxIndexTeam)</f>
        <v>16.666666666666668</v>
      </c>
      <c r="AY13" s="532" t="s">
        <v>3460</v>
      </c>
      <c r="AZ13" s="494">
        <f>INDEX(calcR2LOB2Clinician4MissVisits,xxIndexTeam)</f>
        <v>0.83333333333333348</v>
      </c>
      <c r="BA13" s="532" t="s">
        <v>3461</v>
      </c>
      <c r="BB13" s="471">
        <f>INDEX(cbalR2LOB2MileageClinician4,xxIndexTeam)</f>
        <v>90.000000000000014</v>
      </c>
      <c r="BC13" s="532" t="s">
        <v>3462</v>
      </c>
      <c r="BD13" s="369">
        <f>INDEX(cbalR2LOB2AdminTimeClinician4,xxIndexTeam)</f>
        <v>2</v>
      </c>
      <c r="BE13" s="532" t="s">
        <v>3463</v>
      </c>
      <c r="BF13" s="494">
        <f>INDEX(calcR2LOB2Clinician4OverTime,xxIndexTeam)</f>
        <v>0</v>
      </c>
      <c r="BG13" s="532" t="s">
        <v>1287</v>
      </c>
    </row>
    <row r="14" spans="2:59" s="288" customFormat="1" ht="14.25" customHeight="1" thickBot="1">
      <c r="C14" s="372">
        <v>0</v>
      </c>
      <c r="D14" s="532" t="s">
        <v>1288</v>
      </c>
      <c r="E14" s="717" t="s">
        <v>7901</v>
      </c>
      <c r="F14" s="532" t="s">
        <v>3128</v>
      </c>
      <c r="G14" s="370" t="str">
        <f>INDEX(cbalLOB2DiscClinician5,xxIndexTeam)</f>
        <v>LPN</v>
      </c>
      <c r="H14" s="532" t="s">
        <v>1289</v>
      </c>
      <c r="I14" s="370" t="str">
        <f>INDEX(cbalLOB2EmpStatClinician5,xxIndexTeam)</f>
        <v>Full-Time</v>
      </c>
      <c r="J14" s="532" t="s">
        <v>1290</v>
      </c>
      <c r="K14" s="370" t="str">
        <f>INDEX(cbalLOB2NameClinician5,xxIndexTeam)</f>
        <v>Ming Mines  </v>
      </c>
      <c r="L14" s="532" t="s">
        <v>1291</v>
      </c>
      <c r="M14" s="370" t="s">
        <v>552</v>
      </c>
      <c r="N14" s="532" t="s">
        <v>1292</v>
      </c>
      <c r="O14" s="472">
        <f>INDEX(calcLOB2Clinician5BaseProd,xxIndexTeam)</f>
        <v>27.5</v>
      </c>
      <c r="P14" s="532" t="s">
        <v>1293</v>
      </c>
      <c r="Q14" s="472">
        <f>INDEX(calcLOB2Clinician5AllocatedProd,xxIndexTeam)</f>
        <v>26.700515151276452</v>
      </c>
      <c r="R14" s="532" t="s">
        <v>4953</v>
      </c>
      <c r="S14" s="524">
        <v>0</v>
      </c>
      <c r="T14" s="532" t="s">
        <v>3414</v>
      </c>
      <c r="U14" s="472">
        <f>INDEX(calcLOB2Clinician5GrossProd,xxIndexTeam)</f>
        <v>27.5</v>
      </c>
      <c r="V14" s="532" t="s">
        <v>1294</v>
      </c>
      <c r="W14" s="495">
        <f>INDEX(calcLOB2Clinician5MissVisits,xxIndexTeam)</f>
        <v>3.4375</v>
      </c>
      <c r="X14" s="532" t="s">
        <v>1295</v>
      </c>
      <c r="Y14" s="472">
        <f>INDEX(cbalLOB2MileageClinician5,xxIndexTeam)</f>
        <v>173.25</v>
      </c>
      <c r="Z14" s="532" t="s">
        <v>1296</v>
      </c>
      <c r="AA14" s="370">
        <f>INDEX(cbalLOB2AdminTimeClinician5,xxIndexTeam)</f>
        <v>2</v>
      </c>
      <c r="AB14" s="532" t="s">
        <v>1297</v>
      </c>
      <c r="AC14" s="495">
        <f>INDEX(calcLOB2Clinician5OverTime,xxIndexTeam)</f>
        <v>0</v>
      </c>
      <c r="AD14" s="532" t="s">
        <v>1298</v>
      </c>
      <c r="AF14" s="372">
        <v>0</v>
      </c>
      <c r="AG14" s="532" t="s">
        <v>1299</v>
      </c>
      <c r="AH14" s="717" t="s">
        <v>7901</v>
      </c>
      <c r="AI14" s="532" t="s">
        <v>3138</v>
      </c>
      <c r="AJ14" s="370" t="str">
        <f>INDEX(cbalR2LOB2DiscClinician5,xxIndexTeam)</f>
        <v>LPN</v>
      </c>
      <c r="AK14" s="532" t="s">
        <v>3464</v>
      </c>
      <c r="AL14" s="370" t="str">
        <f>INDEX(cbalR2LOB2EmpStatClinician5,xxIndexTeam)</f>
        <v>Full-Time</v>
      </c>
      <c r="AM14" s="532" t="s">
        <v>3465</v>
      </c>
      <c r="AN14" s="370" t="str">
        <f>INDEX(cbalR2LOB2NameClinician5,xxIndexTeam)</f>
        <v>Ming Mines  </v>
      </c>
      <c r="AO14" s="532" t="s">
        <v>3466</v>
      </c>
      <c r="AP14" s="370" t="s">
        <v>552</v>
      </c>
      <c r="AQ14" s="532" t="s">
        <v>3467</v>
      </c>
      <c r="AR14" s="472">
        <f>INDEX(calcR2LOB2Clinician5BaseProd,xxIndexTeam)</f>
        <v>27.5</v>
      </c>
      <c r="AS14" s="532" t="s">
        <v>3468</v>
      </c>
      <c r="AT14" s="472">
        <f>INDEX(calcR2LOB2Clinician5AllocatedProd,xxIndexTeam)</f>
        <v>28.816043751386186</v>
      </c>
      <c r="AU14" s="532" t="s">
        <v>4965</v>
      </c>
      <c r="AV14" s="524">
        <v>0</v>
      </c>
      <c r="AW14" s="532" t="s">
        <v>3469</v>
      </c>
      <c r="AX14" s="472">
        <f>INDEX(calcR2LOB2Clinician5GrossProd,xxIndexTeam)</f>
        <v>27.5</v>
      </c>
      <c r="AY14" s="532" t="s">
        <v>3470</v>
      </c>
      <c r="AZ14" s="495">
        <f>INDEX(calcR2LOB2Clinician5MissVisits,xxIndexTeam)</f>
        <v>3.4375</v>
      </c>
      <c r="BA14" s="532" t="s">
        <v>3471</v>
      </c>
      <c r="BB14" s="472">
        <f>INDEX(cbalR2LOB2MileageClinician5,xxIndexTeam)</f>
        <v>173.25</v>
      </c>
      <c r="BC14" s="532" t="s">
        <v>3472</v>
      </c>
      <c r="BD14" s="370">
        <f>INDEX(cbalR2LOB2AdminTimeClinician5,xxIndexTeam)</f>
        <v>2</v>
      </c>
      <c r="BE14" s="532" t="s">
        <v>3473</v>
      </c>
      <c r="BF14" s="495">
        <f>INDEX(calcR2LOB2Clinician5OverTime,xxIndexTeam)</f>
        <v>0</v>
      </c>
      <c r="BG14" s="532" t="s">
        <v>1300</v>
      </c>
    </row>
    <row r="15" spans="2:59" s="288" customFormat="1" ht="14.25" customHeight="1" thickBot="1">
      <c r="C15" s="372">
        <v>0</v>
      </c>
      <c r="D15" s="532" t="s">
        <v>1301</v>
      </c>
      <c r="E15" s="717" t="s">
        <v>7901</v>
      </c>
      <c r="F15" s="532" t="s">
        <v>3129</v>
      </c>
      <c r="G15" s="369" t="str">
        <f>INDEX(cbalLOB2DiscClinician6,xxIndexTeam)</f>
        <v>LPN</v>
      </c>
      <c r="H15" s="532" t="s">
        <v>1302</v>
      </c>
      <c r="I15" s="369" t="str">
        <f>INDEX(cbalLOB2EmpStatClinician6,xxIndexTeam)</f>
        <v>Full-Time</v>
      </c>
      <c r="J15" s="532" t="s">
        <v>1303</v>
      </c>
      <c r="K15" s="369" t="str">
        <f>INDEX(cbalLOB2NameClinician6,xxIndexTeam)</f>
        <v>Esteban Ervin  </v>
      </c>
      <c r="L15" s="532" t="s">
        <v>1304</v>
      </c>
      <c r="M15" s="638" t="s">
        <v>5050</v>
      </c>
      <c r="N15" s="532" t="s">
        <v>1305</v>
      </c>
      <c r="O15" s="471">
        <f>INDEX(calcLOB2Clinician6BaseProd,xxIndexTeam)</f>
        <v>28</v>
      </c>
      <c r="P15" s="532" t="s">
        <v>1306</v>
      </c>
      <c r="Q15" s="471">
        <f>INDEX(calcLOB2Clinician6AllocatedProd,xxIndexTeam)</f>
        <v>27.185979063117845</v>
      </c>
      <c r="R15" s="532" t="s">
        <v>4954</v>
      </c>
      <c r="S15" s="524">
        <v>0</v>
      </c>
      <c r="T15" s="532" t="s">
        <v>3415</v>
      </c>
      <c r="U15" s="471">
        <f>INDEX(calcLOB2Clinician6GrossProd,xxIndexTeam)</f>
        <v>28</v>
      </c>
      <c r="V15" s="532" t="s">
        <v>1307</v>
      </c>
      <c r="W15" s="494">
        <f>INDEX(calcLOB2Clinician6MissVisits,xxIndexTeam)</f>
        <v>5.25</v>
      </c>
      <c r="X15" s="532" t="s">
        <v>1308</v>
      </c>
      <c r="Y15" s="471">
        <f>INDEX(cbalLOB2MileageClinician6,xxIndexTeam)</f>
        <v>168</v>
      </c>
      <c r="Z15" s="532" t="s">
        <v>1309</v>
      </c>
      <c r="AA15" s="369">
        <f>INDEX(cbalLOB2AdminTimeClinician6,xxIndexTeam)</f>
        <v>3</v>
      </c>
      <c r="AB15" s="532" t="s">
        <v>1310</v>
      </c>
      <c r="AC15" s="494">
        <f>INDEX(calcLOB2Clinician6OverTime,xxIndexTeam)</f>
        <v>0</v>
      </c>
      <c r="AD15" s="532" t="s">
        <v>1311</v>
      </c>
      <c r="AF15" s="372">
        <v>0</v>
      </c>
      <c r="AG15" s="532" t="s">
        <v>1312</v>
      </c>
      <c r="AH15" s="717" t="s">
        <v>7901</v>
      </c>
      <c r="AI15" s="532" t="s">
        <v>3139</v>
      </c>
      <c r="AJ15" s="369" t="str">
        <f>INDEX(cbalR2LOB2DiscClinician6,xxIndexTeam)</f>
        <v>LPN</v>
      </c>
      <c r="AK15" s="532" t="s">
        <v>3474</v>
      </c>
      <c r="AL15" s="369" t="str">
        <f>INDEX(cbalR2LOB2EmpStatClinician6,xxIndexTeam)</f>
        <v>Full-Time</v>
      </c>
      <c r="AM15" s="532" t="s">
        <v>3475</v>
      </c>
      <c r="AN15" s="369" t="str">
        <f>INDEX(cbalR2LOB2NameClinician6,xxIndexTeam)</f>
        <v>Esteban Ervin  </v>
      </c>
      <c r="AO15" s="532" t="s">
        <v>3476</v>
      </c>
      <c r="AP15" s="638" t="s">
        <v>5050</v>
      </c>
      <c r="AQ15" s="532" t="s">
        <v>3477</v>
      </c>
      <c r="AR15" s="471">
        <f>INDEX(calcR2LOB2Clinician6BaseProd,xxIndexTeam)</f>
        <v>28</v>
      </c>
      <c r="AS15" s="532" t="s">
        <v>3478</v>
      </c>
      <c r="AT15" s="471">
        <f>INDEX(calcR2LOB2Clinician6AllocatedProd,xxIndexTeam)</f>
        <v>29.33997181959321</v>
      </c>
      <c r="AU15" s="532" t="s">
        <v>4966</v>
      </c>
      <c r="AV15" s="524">
        <v>0</v>
      </c>
      <c r="AW15" s="532" t="s">
        <v>3479</v>
      </c>
      <c r="AX15" s="471">
        <f>INDEX(calcR2LOB2Clinician6GrossProd,xxIndexTeam)</f>
        <v>28</v>
      </c>
      <c r="AY15" s="532" t="s">
        <v>3480</v>
      </c>
      <c r="AZ15" s="494">
        <f>INDEX(calcR2LOB2Clinician6MissVisits,xxIndexTeam)</f>
        <v>5.25</v>
      </c>
      <c r="BA15" s="532" t="s">
        <v>3481</v>
      </c>
      <c r="BB15" s="471">
        <f>INDEX(cbalR2LOB2MileageClinician6,xxIndexTeam)</f>
        <v>168</v>
      </c>
      <c r="BC15" s="532" t="s">
        <v>3482</v>
      </c>
      <c r="BD15" s="369">
        <f>INDEX(cbalR2LOB2AdminTimeClinician6,xxIndexTeam)</f>
        <v>3</v>
      </c>
      <c r="BE15" s="532" t="s">
        <v>3483</v>
      </c>
      <c r="BF15" s="494">
        <f>INDEX(calcR2LOB2Clinician6OverTime,xxIndexTeam)</f>
        <v>0</v>
      </c>
      <c r="BG15" s="532" t="s">
        <v>1313</v>
      </c>
    </row>
    <row r="16" spans="2:59" s="288" customFormat="1" ht="14.25" customHeight="1" thickBot="1">
      <c r="C16" s="372">
        <v>0</v>
      </c>
      <c r="D16" s="532" t="s">
        <v>1314</v>
      </c>
      <c r="E16" s="717" t="s">
        <v>7901</v>
      </c>
      <c r="F16" s="532" t="s">
        <v>3130</v>
      </c>
      <c r="G16" s="370" t="str">
        <f>INDEX(cbalLOB2DiscClinician7,xxIndexTeam)</f>
        <v>PTA</v>
      </c>
      <c r="H16" s="532" t="s">
        <v>1315</v>
      </c>
      <c r="I16" s="370" t="str">
        <f>INDEX(cbalLOB2EmpStatClinician7,xxIndexTeam)</f>
        <v>Full-Time</v>
      </c>
      <c r="J16" s="532" t="s">
        <v>1316</v>
      </c>
      <c r="K16" s="370" t="str">
        <f>INDEX(cbalLOB2NameClinician7,xxIndexTeam)</f>
        <v>Chester Cheesman  </v>
      </c>
      <c r="L16" s="532" t="s">
        <v>1317</v>
      </c>
      <c r="M16" s="370" t="s">
        <v>552</v>
      </c>
      <c r="N16" s="532" t="s">
        <v>1318</v>
      </c>
      <c r="O16" s="472">
        <f>INDEX(calcLOB2Clinician7BaseProd,xxIndexTeam)</f>
        <v>28</v>
      </c>
      <c r="P16" s="532" t="s">
        <v>1319</v>
      </c>
      <c r="Q16" s="472">
        <f>INDEX(calcLOB2Clinician7AllocatedProd,xxIndexTeam)</f>
        <v>28.531165311653115</v>
      </c>
      <c r="R16" s="532" t="s">
        <v>4955</v>
      </c>
      <c r="S16" s="524">
        <v>0</v>
      </c>
      <c r="T16" s="532" t="s">
        <v>3416</v>
      </c>
      <c r="U16" s="472">
        <f>INDEX(calcLOB2Clinician7GrossProd,xxIndexTeam)</f>
        <v>28</v>
      </c>
      <c r="V16" s="532" t="s">
        <v>1320</v>
      </c>
      <c r="W16" s="495">
        <f>INDEX(calcLOB2Clinician7MissVisits,xxIndexTeam)</f>
        <v>5.04</v>
      </c>
      <c r="X16" s="532" t="s">
        <v>1321</v>
      </c>
      <c r="Y16" s="472">
        <f>INDEX(cbalLOB2MileageClinician7,xxIndexTeam)</f>
        <v>137.20000000000002</v>
      </c>
      <c r="Z16" s="532" t="s">
        <v>1322</v>
      </c>
      <c r="AA16" s="370">
        <f>INDEX(cbalLOB2AdminTimeClinician7,xxIndexTeam)</f>
        <v>2</v>
      </c>
      <c r="AB16" s="532" t="s">
        <v>1323</v>
      </c>
      <c r="AC16" s="495">
        <f>INDEX(calcLOB2Clinician7OverTime,xxIndexTeam)</f>
        <v>0</v>
      </c>
      <c r="AD16" s="532" t="s">
        <v>1324</v>
      </c>
      <c r="AF16" s="372">
        <v>0</v>
      </c>
      <c r="AG16" s="532" t="s">
        <v>1325</v>
      </c>
      <c r="AH16" s="717" t="s">
        <v>7901</v>
      </c>
      <c r="AI16" s="532" t="s">
        <v>3140</v>
      </c>
      <c r="AJ16" s="370" t="str">
        <f>INDEX(cbalR2LOB2DiscClinician7,xxIndexTeam)</f>
        <v>PTA</v>
      </c>
      <c r="AK16" s="532" t="s">
        <v>3484</v>
      </c>
      <c r="AL16" s="370" t="str">
        <f>INDEX(cbalR2LOB2EmpStatClinician7,xxIndexTeam)</f>
        <v>Full-Time</v>
      </c>
      <c r="AM16" s="532" t="s">
        <v>3485</v>
      </c>
      <c r="AN16" s="370" t="str">
        <f>INDEX(cbalR2LOB2NameClinician7,xxIndexTeam)</f>
        <v>Chester Cheesman  </v>
      </c>
      <c r="AO16" s="532" t="s">
        <v>3486</v>
      </c>
      <c r="AP16" s="370" t="s">
        <v>552</v>
      </c>
      <c r="AQ16" s="532" t="s">
        <v>3487</v>
      </c>
      <c r="AR16" s="472">
        <f>INDEX(calcR2LOB2Clinician7BaseProd,xxIndexTeam)</f>
        <v>28</v>
      </c>
      <c r="AS16" s="532" t="s">
        <v>3488</v>
      </c>
      <c r="AT16" s="472">
        <f>INDEX(calcR2LOB2Clinician7AllocatedProd,xxIndexTeam)</f>
        <v>30.710688304420817</v>
      </c>
      <c r="AU16" s="532" t="s">
        <v>4967</v>
      </c>
      <c r="AV16" s="524">
        <v>0</v>
      </c>
      <c r="AW16" s="532" t="s">
        <v>3489</v>
      </c>
      <c r="AX16" s="472">
        <f>INDEX(calcR2LOB2Clinician7GrossProd,xxIndexTeam)</f>
        <v>28</v>
      </c>
      <c r="AY16" s="532" t="s">
        <v>3490</v>
      </c>
      <c r="AZ16" s="495">
        <f>INDEX(calcR2LOB2Clinician7MissVisits,xxIndexTeam)</f>
        <v>5.04</v>
      </c>
      <c r="BA16" s="532" t="s">
        <v>3491</v>
      </c>
      <c r="BB16" s="472">
        <f>INDEX(cbalR2LOB2MileageClinician7,xxIndexTeam)</f>
        <v>137.20000000000002</v>
      </c>
      <c r="BC16" s="532" t="s">
        <v>3492</v>
      </c>
      <c r="BD16" s="370">
        <f>INDEX(cbalR2LOB2AdminTimeClinician7,xxIndexTeam)</f>
        <v>2</v>
      </c>
      <c r="BE16" s="532" t="s">
        <v>3493</v>
      </c>
      <c r="BF16" s="495">
        <f>INDEX(calcR2LOB2Clinician7OverTime,xxIndexTeam)</f>
        <v>0</v>
      </c>
      <c r="BG16" s="532" t="s">
        <v>1326</v>
      </c>
    </row>
    <row r="17" spans="3:59" s="288" customFormat="1" ht="14.25" customHeight="1" thickBot="1">
      <c r="C17" s="372">
        <v>0</v>
      </c>
      <c r="D17" s="532" t="s">
        <v>1327</v>
      </c>
      <c r="E17" s="717" t="s">
        <v>7901</v>
      </c>
      <c r="F17" s="532" t="s">
        <v>3131</v>
      </c>
      <c r="G17" s="369" t="str">
        <f>INDEX(cbalLOB2DiscClinician8,xxIndexTeam)</f>
        <v>PT</v>
      </c>
      <c r="H17" s="532" t="s">
        <v>1328</v>
      </c>
      <c r="I17" s="369" t="str">
        <f>INDEX(cbalLOB2EmpStatClinician8,xxIndexTeam)</f>
        <v>Full-Time</v>
      </c>
      <c r="J17" s="532" t="s">
        <v>1329</v>
      </c>
      <c r="K17" s="369" t="str">
        <f>INDEX(cbalLOB2NameClinician8,xxIndexTeam)</f>
        <v>Susie Sluder  </v>
      </c>
      <c r="L17" s="532" t="s">
        <v>1330</v>
      </c>
      <c r="M17" s="369" t="s">
        <v>552</v>
      </c>
      <c r="N17" s="532" t="s">
        <v>1331</v>
      </c>
      <c r="O17" s="471">
        <f>INDEX(calcLOB2Clinician8BaseProd,xxIndexTeam)</f>
        <v>28</v>
      </c>
      <c r="P17" s="532" t="s">
        <v>1332</v>
      </c>
      <c r="Q17" s="471">
        <f>INDEX(calcLOB2Clinician8AllocatedProd,xxIndexTeam)</f>
        <v>28.531165311653115</v>
      </c>
      <c r="R17" s="532" t="s">
        <v>4956</v>
      </c>
      <c r="S17" s="524">
        <v>0</v>
      </c>
      <c r="T17" s="532" t="s">
        <v>3417</v>
      </c>
      <c r="U17" s="471">
        <f>INDEX(calcLOB2Clinician8GrossProd,xxIndexTeam)</f>
        <v>28</v>
      </c>
      <c r="V17" s="532" t="s">
        <v>1333</v>
      </c>
      <c r="W17" s="494">
        <f>INDEX(calcLOB2Clinician8MissVisits,xxIndexTeam)</f>
        <v>3.5</v>
      </c>
      <c r="X17" s="532" t="s">
        <v>1334</v>
      </c>
      <c r="Y17" s="471">
        <f>INDEX(cbalLOB2MileageClinician8,xxIndexTeam)</f>
        <v>156.79999999999998</v>
      </c>
      <c r="Z17" s="532" t="s">
        <v>1335</v>
      </c>
      <c r="AA17" s="369">
        <f>INDEX(cbalLOB2AdminTimeClinician8,xxIndexTeam)</f>
        <v>3</v>
      </c>
      <c r="AB17" s="532" t="s">
        <v>1336</v>
      </c>
      <c r="AC17" s="494">
        <f>INDEX(calcLOB2Clinician8OverTime,xxIndexTeam)</f>
        <v>0</v>
      </c>
      <c r="AD17" s="532" t="s">
        <v>1337</v>
      </c>
      <c r="AF17" s="372">
        <v>0</v>
      </c>
      <c r="AG17" s="532" t="s">
        <v>1338</v>
      </c>
      <c r="AH17" s="717" t="s">
        <v>7901</v>
      </c>
      <c r="AI17" s="532" t="s">
        <v>3141</v>
      </c>
      <c r="AJ17" s="369" t="str">
        <f>INDEX(cbalR2LOB2DiscClinician8,xxIndexTeam)</f>
        <v>PT</v>
      </c>
      <c r="AK17" s="532" t="s">
        <v>3494</v>
      </c>
      <c r="AL17" s="369" t="str">
        <f>INDEX(cbalR2LOB2EmpStatClinician8,xxIndexTeam)</f>
        <v>Full-Time</v>
      </c>
      <c r="AM17" s="532" t="s">
        <v>3495</v>
      </c>
      <c r="AN17" s="369" t="str">
        <f>INDEX(cbalR2LOB2NameClinician8,xxIndexTeam)</f>
        <v>Susie Sluder  </v>
      </c>
      <c r="AO17" s="532" t="s">
        <v>3496</v>
      </c>
      <c r="AP17" s="369" t="s">
        <v>552</v>
      </c>
      <c r="AQ17" s="532" t="s">
        <v>3497</v>
      </c>
      <c r="AR17" s="471">
        <f>INDEX(calcR2LOB2Clinician8BaseProd,xxIndexTeam)</f>
        <v>28</v>
      </c>
      <c r="AS17" s="532" t="s">
        <v>3498</v>
      </c>
      <c r="AT17" s="471">
        <f>INDEX(calcR2LOB2Clinician8AllocatedProd,xxIndexTeam)</f>
        <v>30.710688304420817</v>
      </c>
      <c r="AU17" s="532" t="s">
        <v>4968</v>
      </c>
      <c r="AV17" s="524">
        <v>0</v>
      </c>
      <c r="AW17" s="532" t="s">
        <v>3499</v>
      </c>
      <c r="AX17" s="471">
        <f>INDEX(calcR2LOB2Clinician8GrossProd,xxIndexTeam)</f>
        <v>28</v>
      </c>
      <c r="AY17" s="532" t="s">
        <v>3500</v>
      </c>
      <c r="AZ17" s="494">
        <f>INDEX(calcR2LOB2Clinician8MissVisits,xxIndexTeam)</f>
        <v>3.5</v>
      </c>
      <c r="BA17" s="532" t="s">
        <v>3501</v>
      </c>
      <c r="BB17" s="471">
        <f>INDEX(cbalR2LOB2MileageClinician8,xxIndexTeam)</f>
        <v>156.79999999999998</v>
      </c>
      <c r="BC17" s="532" t="s">
        <v>3502</v>
      </c>
      <c r="BD17" s="369">
        <f>INDEX(cbalR2LOB2AdminTimeClinician8,xxIndexTeam)</f>
        <v>3</v>
      </c>
      <c r="BE17" s="532" t="s">
        <v>3503</v>
      </c>
      <c r="BF17" s="494">
        <f>INDEX(calcR2LOB2Clinician8OverTime,xxIndexTeam)</f>
        <v>0</v>
      </c>
      <c r="BG17" s="532" t="s">
        <v>1339</v>
      </c>
    </row>
    <row r="18" spans="3:59" s="288" customFormat="1" ht="14.25" customHeight="1" thickBot="1">
      <c r="C18" s="372">
        <v>0</v>
      </c>
      <c r="D18" s="532" t="s">
        <v>1340</v>
      </c>
      <c r="E18" s="717" t="s">
        <v>7901</v>
      </c>
      <c r="F18" s="532" t="s">
        <v>3132</v>
      </c>
      <c r="G18" s="370" t="str">
        <f>INDEX(cbalLOB2DiscClinician9,xxIndexTeam)</f>
        <v>PT</v>
      </c>
      <c r="H18" s="532" t="s">
        <v>1341</v>
      </c>
      <c r="I18" s="370" t="str">
        <f>INDEX(cbalLOB2EmpStatClinician9,xxIndexTeam)</f>
        <v>Part-Time</v>
      </c>
      <c r="J18" s="532" t="s">
        <v>1342</v>
      </c>
      <c r="K18" s="370" t="str">
        <f>INDEX(cbalLOB2NameClinician9,xxIndexTeam)</f>
        <v>Jerome Jurek  </v>
      </c>
      <c r="L18" s="532" t="s">
        <v>1343</v>
      </c>
      <c r="M18" s="370" t="s">
        <v>552</v>
      </c>
      <c r="N18" s="532" t="s">
        <v>1344</v>
      </c>
      <c r="O18" s="472">
        <f>INDEX(calcLOB2Clinician9BaseProd,xxIndexTeam)</f>
        <v>12.5</v>
      </c>
      <c r="P18" s="532" t="s">
        <v>1345</v>
      </c>
      <c r="Q18" s="472">
        <f>INDEX(calcLOB2Clinician9AllocatedProd,xxIndexTeam)</f>
        <v>12.737127371273711</v>
      </c>
      <c r="R18" s="532" t="s">
        <v>4957</v>
      </c>
      <c r="S18" s="524">
        <v>0</v>
      </c>
      <c r="T18" s="532" t="s">
        <v>3418</v>
      </c>
      <c r="U18" s="472">
        <f>INDEX(calcLOB2Clinician9GrossProd,xxIndexTeam)</f>
        <v>12.5</v>
      </c>
      <c r="V18" s="532" t="s">
        <v>1346</v>
      </c>
      <c r="W18" s="495">
        <f>INDEX(calcLOB2Clinician9MissVisits,xxIndexTeam)</f>
        <v>0.625</v>
      </c>
      <c r="X18" s="532" t="s">
        <v>1347</v>
      </c>
      <c r="Y18" s="472">
        <f>INDEX(cbalLOB2MileageClinician9,xxIndexTeam)</f>
        <v>60</v>
      </c>
      <c r="Z18" s="532" t="s">
        <v>1348</v>
      </c>
      <c r="AA18" s="370">
        <f>INDEX(cbalLOB2AdminTimeClinician9,xxIndexTeam)</f>
        <v>2</v>
      </c>
      <c r="AB18" s="532" t="s">
        <v>1349</v>
      </c>
      <c r="AC18" s="495">
        <f>INDEX(calcLOB2Clinician9OverTime,xxIndexTeam)</f>
        <v>0</v>
      </c>
      <c r="AD18" s="532" t="s">
        <v>1350</v>
      </c>
      <c r="AF18" s="372">
        <v>0</v>
      </c>
      <c r="AG18" s="532" t="s">
        <v>1351</v>
      </c>
      <c r="AH18" s="717" t="s">
        <v>7901</v>
      </c>
      <c r="AI18" s="532" t="s">
        <v>3142</v>
      </c>
      <c r="AJ18" s="370" t="str">
        <f>INDEX(cbalR2LOB2DiscClinician9,xxIndexTeam)</f>
        <v>PT</v>
      </c>
      <c r="AK18" s="532" t="s">
        <v>3504</v>
      </c>
      <c r="AL18" s="370" t="str">
        <f>INDEX(cbalR2LOB2EmpStatClinician9,xxIndexTeam)</f>
        <v>Part-Time</v>
      </c>
      <c r="AM18" s="532" t="s">
        <v>3505</v>
      </c>
      <c r="AN18" s="370" t="str">
        <f>INDEX(cbalR2LOB2NameClinician9,xxIndexTeam)</f>
        <v>Jerome Jurek  </v>
      </c>
      <c r="AO18" s="532" t="s">
        <v>3506</v>
      </c>
      <c r="AP18" s="370" t="s">
        <v>552</v>
      </c>
      <c r="AQ18" s="532" t="s">
        <v>3507</v>
      </c>
      <c r="AR18" s="472">
        <f>INDEX(calcR2LOB2Clinician9BaseProd,xxIndexTeam)</f>
        <v>12.5</v>
      </c>
      <c r="AS18" s="532" t="s">
        <v>3508</v>
      </c>
      <c r="AT18" s="472">
        <f>INDEX(calcR2LOB2Clinician9AllocatedProd,xxIndexTeam)</f>
        <v>13.710128707330725</v>
      </c>
      <c r="AU18" s="532" t="s">
        <v>4969</v>
      </c>
      <c r="AV18" s="524">
        <v>0</v>
      </c>
      <c r="AW18" s="532" t="s">
        <v>3509</v>
      </c>
      <c r="AX18" s="472">
        <f>INDEX(calcR2LOB2Clinician9GrossProd,xxIndexTeam)</f>
        <v>12.5</v>
      </c>
      <c r="AY18" s="532" t="s">
        <v>3510</v>
      </c>
      <c r="AZ18" s="495">
        <f>INDEX(calcR2LOB2Clinician9MissVisits,xxIndexTeam)</f>
        <v>0.625</v>
      </c>
      <c r="BA18" s="532" t="s">
        <v>3511</v>
      </c>
      <c r="BB18" s="472">
        <f>INDEX(cbalR2LOB2MileageClinician9,xxIndexTeam)</f>
        <v>60</v>
      </c>
      <c r="BC18" s="532" t="s">
        <v>3512</v>
      </c>
      <c r="BD18" s="370">
        <f>INDEX(cbalR2LOB2AdminTimeClinician9,xxIndexTeam)</f>
        <v>2</v>
      </c>
      <c r="BE18" s="532" t="s">
        <v>3513</v>
      </c>
      <c r="BF18" s="495">
        <f>INDEX(calcR2LOB2Clinician9OverTime,xxIndexTeam)</f>
        <v>0</v>
      </c>
      <c r="BG18" s="532" t="s">
        <v>1352</v>
      </c>
    </row>
    <row r="19" spans="3:59" s="288" customFormat="1" ht="14.25" customHeight="1" thickBot="1">
      <c r="C19" s="372">
        <v>0</v>
      </c>
      <c r="D19" s="532" t="s">
        <v>1353</v>
      </c>
      <c r="E19" s="717" t="s">
        <v>7901</v>
      </c>
      <c r="F19" s="532" t="s">
        <v>3133</v>
      </c>
      <c r="G19" s="369" t="str">
        <f>INDEX(cbalLOB2DiscClinician10,xxIndexTeam)</f>
        <v>OT</v>
      </c>
      <c r="H19" s="532" t="s">
        <v>1354</v>
      </c>
      <c r="I19" s="369" t="str">
        <f>INDEX(cbalLOB2EmpStatClinician10,xxIndexTeam)</f>
        <v>Full-Time</v>
      </c>
      <c r="J19" s="532" t="s">
        <v>1355</v>
      </c>
      <c r="K19" s="369" t="str">
        <f>INDEX(cbalLOB2NameClinician10,xxIndexTeam)</f>
        <v>Roseanna Roder  </v>
      </c>
      <c r="L19" s="532" t="s">
        <v>1356</v>
      </c>
      <c r="M19" s="369" t="s">
        <v>552</v>
      </c>
      <c r="N19" s="532" t="s">
        <v>1357</v>
      </c>
      <c r="O19" s="471">
        <f>INDEX(calcLOB2Clinician10BaseProd,xxIndexTeam)</f>
        <v>22.680412371134022</v>
      </c>
      <c r="P19" s="532" t="s">
        <v>1358</v>
      </c>
      <c r="Q19" s="471">
        <f>INDEX(calcLOB2Clinician10AllocatedProd,xxIndexTeam)</f>
        <v>22.176943699731908</v>
      </c>
      <c r="R19" s="532" t="s">
        <v>4958</v>
      </c>
      <c r="S19" s="524">
        <v>0</v>
      </c>
      <c r="T19" s="532" t="s">
        <v>3419</v>
      </c>
      <c r="U19" s="471">
        <f>INDEX(calcLOB2Clinician10GrossProd,xxIndexTeam)</f>
        <v>22.680412371134022</v>
      </c>
      <c r="V19" s="532" t="s">
        <v>1359</v>
      </c>
      <c r="W19" s="494">
        <f>INDEX(calcLOB2Clinician10MissVisits,xxIndexTeam)</f>
        <v>0.85051546391752575</v>
      </c>
      <c r="X19" s="532" t="s">
        <v>1360</v>
      </c>
      <c r="Y19" s="471">
        <f>INDEX(cbalLOB2MileageClinician10,xxIndexTeam)</f>
        <v>120.20618556701031</v>
      </c>
      <c r="Z19" s="532" t="s">
        <v>1361</v>
      </c>
      <c r="AA19" s="369">
        <f>INDEX(cbalLOB2AdminTimeClinician10,xxIndexTeam)</f>
        <v>3</v>
      </c>
      <c r="AB19" s="532" t="s">
        <v>1362</v>
      </c>
      <c r="AC19" s="494">
        <f>INDEX(calcLOB2Clinician10OverTime,xxIndexTeam)</f>
        <v>0</v>
      </c>
      <c r="AD19" s="532" t="s">
        <v>1363</v>
      </c>
      <c r="AF19" s="372">
        <v>0</v>
      </c>
      <c r="AG19" s="532" t="s">
        <v>1364</v>
      </c>
      <c r="AH19" s="717" t="s">
        <v>7901</v>
      </c>
      <c r="AI19" s="532" t="s">
        <v>3143</v>
      </c>
      <c r="AJ19" s="369" t="str">
        <f>INDEX(cbalR2LOB2DiscClinician10,xxIndexTeam)</f>
        <v>OT</v>
      </c>
      <c r="AK19" s="532" t="s">
        <v>3514</v>
      </c>
      <c r="AL19" s="369" t="str">
        <f>INDEX(cbalR2LOB2EmpStatClinician10,xxIndexTeam)</f>
        <v>Full-Time</v>
      </c>
      <c r="AM19" s="532" t="s">
        <v>3515</v>
      </c>
      <c r="AN19" s="369" t="str">
        <f>INDEX(cbalR2LOB2NameClinician10,xxIndexTeam)</f>
        <v>Roseanna Roder  </v>
      </c>
      <c r="AO19" s="532" t="s">
        <v>3516</v>
      </c>
      <c r="AP19" s="369" t="s">
        <v>552</v>
      </c>
      <c r="AQ19" s="532" t="s">
        <v>3517</v>
      </c>
      <c r="AR19" s="471">
        <f>INDEX(calcR2LOB2Clinician10BaseProd,xxIndexTeam)</f>
        <v>22.680412371134022</v>
      </c>
      <c r="AS19" s="532" t="s">
        <v>3518</v>
      </c>
      <c r="AT19" s="471">
        <f>INDEX(calcR2LOB2Clinician10AllocatedProd,xxIndexTeam)</f>
        <v>23.844062485599743</v>
      </c>
      <c r="AU19" s="532" t="s">
        <v>4970</v>
      </c>
      <c r="AV19" s="524">
        <v>0</v>
      </c>
      <c r="AW19" s="532" t="s">
        <v>3519</v>
      </c>
      <c r="AX19" s="471">
        <f>INDEX(calcR2LOB2Clinician10GrossProd,xxIndexTeam)</f>
        <v>22.680412371134022</v>
      </c>
      <c r="AY19" s="532" t="s">
        <v>3520</v>
      </c>
      <c r="AZ19" s="494">
        <f>INDEX(calcR2LOB2Clinician10MissVisits,xxIndexTeam)</f>
        <v>0.85051546391752575</v>
      </c>
      <c r="BA19" s="532" t="s">
        <v>3521</v>
      </c>
      <c r="BB19" s="471">
        <f>INDEX(cbalR2LOB2MileageClinician10,xxIndexTeam)</f>
        <v>120.20618556701031</v>
      </c>
      <c r="BC19" s="532" t="s">
        <v>3522</v>
      </c>
      <c r="BD19" s="369">
        <f>INDEX(cbalR2LOB2AdminTimeClinician10,xxIndexTeam)</f>
        <v>3</v>
      </c>
      <c r="BE19" s="532" t="s">
        <v>3523</v>
      </c>
      <c r="BF19" s="494">
        <f>INDEX(calcR2LOB2Clinician10OverTime,xxIndexTeam)</f>
        <v>0</v>
      </c>
      <c r="BG19" s="532" t="s">
        <v>1365</v>
      </c>
    </row>
    <row r="20" spans="3:59" s="288" customFormat="1" ht="14.25" customHeight="1" thickBot="1">
      <c r="C20" s="372">
        <v>0</v>
      </c>
      <c r="D20" s="532" t="s">
        <v>3402</v>
      </c>
      <c r="E20" s="717" t="s">
        <v>7901</v>
      </c>
      <c r="F20" s="532" t="s">
        <v>3404</v>
      </c>
      <c r="G20" s="492" t="s">
        <v>32</v>
      </c>
      <c r="H20" s="532" t="s">
        <v>2835</v>
      </c>
      <c r="I20" s="492" t="s">
        <v>32</v>
      </c>
      <c r="J20" s="532" t="s">
        <v>2836</v>
      </c>
      <c r="K20" s="370">
        <f>INDEX(cbalLOB2NameClinician11,xxIndexTeam)</f>
        <v>0</v>
      </c>
      <c r="L20" s="532" t="s">
        <v>2837</v>
      </c>
      <c r="M20" s="370" t="s">
        <v>552</v>
      </c>
      <c r="N20" s="532" t="s">
        <v>2838</v>
      </c>
      <c r="O20" s="472">
        <f>INDEX(calcLOB2Clinician11BaseProd,xxIndexTeam)</f>
        <v>0</v>
      </c>
      <c r="P20" s="532" t="s">
        <v>2839</v>
      </c>
      <c r="Q20" s="472">
        <f>INDEX(calcLOB2Clinician11AllocatedProd,xxIndexTeam)</f>
        <v>0</v>
      </c>
      <c r="R20" s="532" t="s">
        <v>4959</v>
      </c>
      <c r="S20" s="524">
        <v>0</v>
      </c>
      <c r="T20" s="532" t="s">
        <v>3420</v>
      </c>
      <c r="U20" s="472">
        <f>INDEX(calcLOB2Clinician11GrossProd,xxIndexTeam)</f>
        <v>0</v>
      </c>
      <c r="V20" s="532" t="s">
        <v>2840</v>
      </c>
      <c r="W20" s="472">
        <f>INDEX(calcLOB2Clinician11MissVisits,xxIndexTeam)</f>
        <v>0</v>
      </c>
      <c r="X20" s="532" t="s">
        <v>2841</v>
      </c>
      <c r="Y20" s="472">
        <f>INDEX(cbalLOB2MileageClinician11,xxIndexTeam)</f>
        <v>0</v>
      </c>
      <c r="Z20" s="532" t="s">
        <v>2842</v>
      </c>
      <c r="AA20" s="370">
        <f>INDEX(cbalLOB2AdminTimeClinician11,xxIndexTeam)</f>
        <v>0</v>
      </c>
      <c r="AB20" s="532" t="s">
        <v>2843</v>
      </c>
      <c r="AC20" s="472">
        <f>INDEX(calcLOB2Clinician11OverTime,xxIndexTeam)</f>
        <v>0</v>
      </c>
      <c r="AD20" s="532" t="s">
        <v>2844</v>
      </c>
      <c r="AF20" s="372">
        <v>0</v>
      </c>
      <c r="AG20" s="532" t="s">
        <v>3406</v>
      </c>
      <c r="AH20" s="717" t="s">
        <v>7901</v>
      </c>
      <c r="AI20" s="532" t="s">
        <v>3407</v>
      </c>
      <c r="AJ20" s="492" t="s">
        <v>32</v>
      </c>
      <c r="AK20" s="532" t="s">
        <v>2845</v>
      </c>
      <c r="AL20" s="492" t="s">
        <v>32</v>
      </c>
      <c r="AM20" s="532" t="s">
        <v>2846</v>
      </c>
      <c r="AN20" s="370">
        <f>INDEX(cbalR2LOB2NameClinician11,xxIndexTeam)</f>
        <v>0</v>
      </c>
      <c r="AO20" s="532" t="s">
        <v>2847</v>
      </c>
      <c r="AP20" s="370" t="s">
        <v>552</v>
      </c>
      <c r="AQ20" s="532" t="s">
        <v>2848</v>
      </c>
      <c r="AR20" s="472">
        <f>INDEX(calcR2LOB2Clinician11BaseProd,xxIndexTeam)</f>
        <v>0</v>
      </c>
      <c r="AS20" s="532" t="s">
        <v>2849</v>
      </c>
      <c r="AT20" s="472">
        <f>INDEX(calcR2LOB2Clinician11AllocatedProd,xxIndexTeam)</f>
        <v>0</v>
      </c>
      <c r="AU20" s="532" t="s">
        <v>4971</v>
      </c>
      <c r="AV20" s="524">
        <v>0</v>
      </c>
      <c r="AW20" s="532" t="s">
        <v>3422</v>
      </c>
      <c r="AX20" s="472">
        <f>INDEX(calcR2LOB2Clinician11GrossProd,xxIndexTeam)</f>
        <v>0</v>
      </c>
      <c r="AY20" s="532" t="s">
        <v>2850</v>
      </c>
      <c r="AZ20" s="472">
        <f>INDEX(calcR2LOB2Clinician11MissVisits,xxIndexTeam)</f>
        <v>0</v>
      </c>
      <c r="BA20" s="532" t="s">
        <v>2851</v>
      </c>
      <c r="BB20" s="472">
        <f>INDEX(cbalR2LOB2MileageClinician11,xxIndexTeam)</f>
        <v>0</v>
      </c>
      <c r="BC20" s="532" t="s">
        <v>2852</v>
      </c>
      <c r="BD20" s="370">
        <f>INDEX(cbalR2LOB2AdminTimeClinician11,xxIndexTeam)</f>
        <v>0</v>
      </c>
      <c r="BE20" s="532" t="s">
        <v>2853</v>
      </c>
      <c r="BF20" s="472">
        <f>INDEX(calcR2LOB2Clinician11OverTime,xxIndexTeam)</f>
        <v>0</v>
      </c>
      <c r="BG20" s="532" t="s">
        <v>2854</v>
      </c>
    </row>
    <row r="21" spans="3:59" s="288" customFormat="1" ht="14.25" customHeight="1" thickBot="1">
      <c r="C21" s="372">
        <v>0</v>
      </c>
      <c r="D21" s="297" t="s">
        <v>3403</v>
      </c>
      <c r="E21" s="717" t="s">
        <v>7901</v>
      </c>
      <c r="F21" s="297" t="s">
        <v>3405</v>
      </c>
      <c r="G21" s="492" t="s">
        <v>32</v>
      </c>
      <c r="H21" s="297" t="s">
        <v>2888</v>
      </c>
      <c r="I21" s="492" t="s">
        <v>32</v>
      </c>
      <c r="J21" s="297" t="s">
        <v>2889</v>
      </c>
      <c r="K21" s="369">
        <f>INDEX(cbalLOB2NameClinician12,xxIndexTeam)</f>
        <v>0</v>
      </c>
      <c r="L21" s="297" t="s">
        <v>2890</v>
      </c>
      <c r="M21" s="369" t="s">
        <v>552</v>
      </c>
      <c r="N21" s="297" t="s">
        <v>2891</v>
      </c>
      <c r="O21" s="471">
        <f>INDEX(calcLOB2Clinician12BaseProd,xxIndexTeam)</f>
        <v>0</v>
      </c>
      <c r="P21" s="532" t="s">
        <v>2892</v>
      </c>
      <c r="Q21" s="471">
        <f>INDEX(calcLOB2Clinician12AllocatedProd,xxIndexTeam)</f>
        <v>0</v>
      </c>
      <c r="R21" s="532" t="s">
        <v>4960</v>
      </c>
      <c r="S21" s="524">
        <v>0</v>
      </c>
      <c r="T21" s="532" t="s">
        <v>3421</v>
      </c>
      <c r="U21" s="471">
        <f>INDEX(calcLOB2Clinician12GrossProd,xxIndexTeam)</f>
        <v>0</v>
      </c>
      <c r="V21" s="297" t="s">
        <v>2893</v>
      </c>
      <c r="W21" s="471">
        <f>INDEX(calcLOB2Clinician12MissVisits,xxIndexTeam)</f>
        <v>0</v>
      </c>
      <c r="X21" s="297" t="s">
        <v>2894</v>
      </c>
      <c r="Y21" s="471">
        <f>INDEX(cbalLOB2MileageClinician12,xxIndexTeam)</f>
        <v>0</v>
      </c>
      <c r="Z21" s="297" t="s">
        <v>2895</v>
      </c>
      <c r="AA21" s="369">
        <f>INDEX(cbalLOB2AdminTimeClinician12,xxIndexTeam)</f>
        <v>0</v>
      </c>
      <c r="AB21" s="297" t="s">
        <v>2896</v>
      </c>
      <c r="AC21" s="471">
        <f>INDEX(calcLOB2Clinician12OverTime,xxIndexTeam)</f>
        <v>0</v>
      </c>
      <c r="AD21" s="297" t="s">
        <v>2897</v>
      </c>
      <c r="AF21" s="372">
        <v>0</v>
      </c>
      <c r="AG21" s="297" t="s">
        <v>3408</v>
      </c>
      <c r="AH21" s="717" t="s">
        <v>7901</v>
      </c>
      <c r="AI21" s="297" t="s">
        <v>3409</v>
      </c>
      <c r="AJ21" s="492" t="s">
        <v>32</v>
      </c>
      <c r="AK21" s="297" t="s">
        <v>2898</v>
      </c>
      <c r="AL21" s="492" t="s">
        <v>32</v>
      </c>
      <c r="AM21" s="297" t="s">
        <v>2899</v>
      </c>
      <c r="AN21" s="369">
        <f>INDEX(cbalR2LOB2NameClinician12,xxIndexTeam)</f>
        <v>0</v>
      </c>
      <c r="AO21" s="297" t="s">
        <v>2900</v>
      </c>
      <c r="AP21" s="369" t="s">
        <v>552</v>
      </c>
      <c r="AQ21" s="297" t="s">
        <v>2901</v>
      </c>
      <c r="AR21" s="471">
        <f>INDEX(calcR2LOB2Clinician12BaseProd,xxIndexTeam)</f>
        <v>0</v>
      </c>
      <c r="AS21" s="532" t="s">
        <v>2902</v>
      </c>
      <c r="AT21" s="471">
        <f>INDEX(calcR2LOB2Clinician12AllocatedProd,xxIndexTeam)</f>
        <v>0</v>
      </c>
      <c r="AU21" s="532" t="s">
        <v>4972</v>
      </c>
      <c r="AV21" s="524">
        <v>0</v>
      </c>
      <c r="AW21" s="532" t="s">
        <v>3423</v>
      </c>
      <c r="AX21" s="471">
        <f>INDEX(calcR2LOB2Clinician12GrossProd,xxIndexTeam)</f>
        <v>0</v>
      </c>
      <c r="AY21" s="297" t="s">
        <v>2903</v>
      </c>
      <c r="AZ21" s="471">
        <f>INDEX(calcR2LOB2Clinician12MissVisits,xxIndexTeam)</f>
        <v>0</v>
      </c>
      <c r="BA21" s="297" t="s">
        <v>2904</v>
      </c>
      <c r="BB21" s="471">
        <f>INDEX(cbalR2LOB2MileageClinician12,xxIndexTeam)</f>
        <v>0</v>
      </c>
      <c r="BC21" s="297" t="s">
        <v>2905</v>
      </c>
      <c r="BD21" s="369">
        <f>INDEX(cbalR2LOB2AdminTimeClinician12,xxIndexTeam)</f>
        <v>0</v>
      </c>
      <c r="BE21" s="297" t="s">
        <v>2906</v>
      </c>
      <c r="BF21" s="471">
        <f>INDEX(calcR2LOB2Clinician12OverTime,xxIndexTeam)</f>
        <v>0</v>
      </c>
      <c r="BG21" s="297" t="s">
        <v>2907</v>
      </c>
    </row>
    <row r="22" spans="3:59" s="288" customFormat="1" ht="14.25" customHeight="1">
      <c r="AB22" s="532"/>
    </row>
    <row r="23" spans="3:59" s="288" customFormat="1" ht="14.25" customHeight="1">
      <c r="R23" s="340" t="s">
        <v>4705</v>
      </c>
      <c r="U23" s="288" t="s">
        <v>8253</v>
      </c>
      <c r="W23" s="288" t="s">
        <v>8338</v>
      </c>
      <c r="Y23" s="288" t="s">
        <v>8345</v>
      </c>
      <c r="AU23" s="340" t="s">
        <v>4705</v>
      </c>
      <c r="AX23" s="288" t="s">
        <v>8253</v>
      </c>
      <c r="AZ23" s="288" t="s">
        <v>8338</v>
      </c>
      <c r="BB23" s="288" t="s">
        <v>8345</v>
      </c>
    </row>
    <row r="24" spans="3:59" s="288" customFormat="1" ht="14.25" customHeight="1">
      <c r="R24" s="340" t="str">
        <f>nmEmp1</f>
        <v>Skilled Nursing</v>
      </c>
      <c r="S24" s="488">
        <f>1-INDEX(caclLOB2Emp1Utilization,1)</f>
        <v>-5.0864981930618391E-3</v>
      </c>
      <c r="U24" s="754">
        <f>INDEX(calcLOB2Emp1Count,xxIndexTeam)</f>
        <v>15.974999999999998</v>
      </c>
      <c r="V24" s="532" t="s">
        <v>8398</v>
      </c>
      <c r="W24" s="755">
        <f>INDEX(calcLOB2Emp1AllocatedProd,xxIndexTeam)/INDEX(calcLOB2Emp1Count,xxIndexTeam)</f>
        <v>27.36150234741784</v>
      </c>
      <c r="X24" s="532" t="s">
        <v>8399</v>
      </c>
      <c r="Y24" s="755">
        <f>INDEX(calcLOB2Emp1GrossProdCapacity,xxIndexTeam)/INDEX(calcLOB2Emp1Count,xxIndexTeam)</f>
        <v>27.22303244209148</v>
      </c>
      <c r="Z24" s="532" t="s">
        <v>8400</v>
      </c>
      <c r="AA24" s="488"/>
      <c r="AU24" s="340" t="str">
        <f>nmEmp1</f>
        <v>Skilled Nursing</v>
      </c>
      <c r="AV24" s="488">
        <f>1-INDEX(calcR2LOB2Emp1Utilization,1)</f>
        <v>-8.7284885591700112E-2</v>
      </c>
      <c r="AX24" s="754">
        <f>INDEX(calcR2LOB2Emp1Count,xxIndexTeam)</f>
        <v>15.433853456099355</v>
      </c>
      <c r="AY24" s="532" t="s">
        <v>8407</v>
      </c>
      <c r="AZ24" s="755">
        <f>INDEX(calcR2LOB2Emp1AllocatedProd,xxIndexTeam)/INDEX(calcR2LOB2Emp1Count,xxIndexTeam)</f>
        <v>29.526002776701912</v>
      </c>
      <c r="BA24" s="532" t="s">
        <v>8410</v>
      </c>
      <c r="BB24" s="755">
        <f>INDEX(calcR2LOB2Emp1GrossProdCapacity,xxIndexTeam)/INDEX(calcR2LOB2Emp1Count,xxIndexTeam)</f>
        <v>27.155718954590156</v>
      </c>
      <c r="BC24" s="532" t="s">
        <v>8413</v>
      </c>
      <c r="BD24" s="488"/>
    </row>
    <row r="25" spans="3:59" s="288" customFormat="1" ht="14.25" customHeight="1">
      <c r="R25" s="340" t="str">
        <f>nmEmp2</f>
        <v>Occupational Therapy</v>
      </c>
      <c r="S25" s="488">
        <f>1-INDEX(caclLOB2Emp2Utilization,1)</f>
        <v>-8.3959264550022006E-3</v>
      </c>
      <c r="U25" s="754">
        <f>INDEX(calcLOB2Disc4EmpCount,xxIndexTeam)</f>
        <v>2.1875</v>
      </c>
      <c r="V25" s="532" t="s">
        <v>8401</v>
      </c>
      <c r="W25" s="755">
        <f>INDEX(calcLOB2Emp2AllocatedProd,xxIndexTeam)/INDEX(calcLOB2Disc4EmpCount,xxIndexTeam)</f>
        <v>25.782857142857146</v>
      </c>
      <c r="X25" s="532" t="s">
        <v>8402</v>
      </c>
      <c r="Y25" s="755">
        <f>INDEX(calcLOB2Emp2GrossProdCapacity,xxIndexTeam)/INDEX(calcLOB2Disc4EmpCount,xxIndexTeam)</f>
        <v>25.568188512518411</v>
      </c>
      <c r="Z25" s="532" t="s">
        <v>8403</v>
      </c>
      <c r="AA25" s="488"/>
      <c r="AU25" s="340" t="str">
        <f>nmEmp2</f>
        <v>Occupational Therapy</v>
      </c>
      <c r="AV25" s="488">
        <f>1-INDEX(calcR2LOB2Emp2Utilization,1)</f>
        <v>-8.6342209876472564E-2</v>
      </c>
      <c r="AX25" s="754">
        <f>INDEX(calcR2LOB2Disc4EmpCount,xxIndexTeam)</f>
        <v>2.1230777923927806</v>
      </c>
      <c r="AY25" s="532" t="s">
        <v>8408</v>
      </c>
      <c r="AZ25" s="755">
        <f>INDEX(calcR2LOB2Emp2AllocatedProd,xxIndexTeam)/INDEX(calcR2LOB2Disc4EmpCount,xxIndexTeam)</f>
        <v>27.695640833645768</v>
      </c>
      <c r="BA25" s="532" t="s">
        <v>8411</v>
      </c>
      <c r="BB25" s="755">
        <f>INDEX(calcR2LOB2Emp2GrossProdCapacity,xxIndexTeam)/INDEX(calcR2LOB2Disc4EmpCount,xxIndexTeam)</f>
        <v>25.494398157275896</v>
      </c>
      <c r="BC25" s="532" t="s">
        <v>8414</v>
      </c>
      <c r="BD25" s="488"/>
    </row>
    <row r="26" spans="3:59" s="288" customFormat="1" ht="14.25" customHeight="1">
      <c r="R26" s="340" t="str">
        <f>nmEmp3</f>
        <v>Physical Therapy</v>
      </c>
      <c r="S26" s="488">
        <f>1-INDEX(caclLOB2Emp3Utilization,1)</f>
        <v>-5.2042529378847346E-2</v>
      </c>
      <c r="U26" s="754">
        <f>INDEX(calcLOB2Disc3EmpCount,xxIndexTeam)</f>
        <v>6.8</v>
      </c>
      <c r="V26" s="532" t="s">
        <v>8404</v>
      </c>
      <c r="W26" s="755">
        <f>INDEX(calcLOB2Emp3AllocatedProd,xxIndexTeam)/INDEX(calcLOB2Disc3EmpCount,xxIndexTeam)</f>
        <v>27.647058823529413</v>
      </c>
      <c r="X26" s="532" t="s">
        <v>8405</v>
      </c>
      <c r="Y26" s="755">
        <f>INDEX(calcLOB2Emp3GrossProdCapacity,xxIndexTeam)/INDEX(calcLOB2Disc3EmpCount,xxIndexTeam)</f>
        <v>26.27941176470588</v>
      </c>
      <c r="Z26" s="532" t="s">
        <v>8406</v>
      </c>
      <c r="AA26" s="488"/>
      <c r="AU26" s="340" t="str">
        <f>nmEmp3</f>
        <v>Physical Therapy</v>
      </c>
      <c r="AV26" s="488">
        <f>1-INDEX(calcR2LOB2Emp3Utilization,1)</f>
        <v>-0.13477398476610802</v>
      </c>
      <c r="AX26" s="754">
        <f>INDEX(calcR2LOB2Disc3EmpCount,xxIndexTeam)</f>
        <v>6.5938489356568972</v>
      </c>
      <c r="AY26" s="532" t="s">
        <v>8409</v>
      </c>
      <c r="AZ26" s="755">
        <f>INDEX(calcR2LOB2Emp3AllocatedProd,xxIndexTeam)/INDEX(calcR2LOB2Disc3EmpCount,xxIndexTeam)</f>
        <v>29.724672480758606</v>
      </c>
      <c r="BA26" s="532" t="s">
        <v>8412</v>
      </c>
      <c r="BB26" s="755">
        <f>INDEX(calcR2LOB2Emp3GrossProdCapacity,xxIndexTeam)/INDEX(calcR2LOB2Disc3EmpCount,xxIndexTeam)</f>
        <v>26.194354893397787</v>
      </c>
      <c r="BC26" s="532" t="s">
        <v>8415</v>
      </c>
      <c r="BD26" s="488"/>
    </row>
    <row r="27" spans="3:59" s="288" customFormat="1" ht="14.25" customHeight="1"/>
    <row r="28" spans="3:59" s="288" customFormat="1" ht="14.25" customHeight="1"/>
    <row r="29" spans="3:59" s="288" customFormat="1" ht="14.25" customHeight="1"/>
    <row r="30" spans="3:59" s="288" customFormat="1" ht="14.25" customHeight="1"/>
    <row r="31" spans="3:59" s="30" customFormat="1" ht="15" customHeight="1"/>
    <row r="32" spans="3:59" s="30" customFormat="1" ht="15" customHeight="1">
      <c r="I32" s="541"/>
      <c r="K32" s="541"/>
      <c r="M32" s="548"/>
      <c r="O32" s="548"/>
    </row>
    <row r="33" spans="3:59" s="288" customFormat="1" ht="14.25" customHeight="1">
      <c r="W33" s="288" t="s">
        <v>4908</v>
      </c>
      <c r="AZ33" s="288" t="s">
        <v>4908</v>
      </c>
    </row>
    <row r="34" spans="3:59" s="288" customFormat="1" ht="14.25" customHeight="1">
      <c r="C34" s="288" t="s">
        <v>8172</v>
      </c>
      <c r="F34" s="300">
        <f>IF(INDEX(paramLOB2ClinicianRecruitment,xxIndexTeam)=1,0,1)</f>
        <v>0</v>
      </c>
      <c r="G34" s="288" t="s">
        <v>8178</v>
      </c>
      <c r="W34" s="288" t="str">
        <f>nmDisc1</f>
        <v>RN</v>
      </c>
      <c r="Y34" s="658">
        <f>INDEX(calcLOB2Disc1TotalVisitsPerc,xxIndexTeam)</f>
        <v>0.62389180403298916</v>
      </c>
      <c r="Z34" s="288" t="s">
        <v>5067</v>
      </c>
      <c r="AI34" s="300">
        <f>IF(INDEX(paramR2LOB2ClinicianRecruitment,xxIndexTeam)=1,0,1)</f>
        <v>0</v>
      </c>
      <c r="AJ34" s="288" t="s">
        <v>8180</v>
      </c>
      <c r="AZ34" s="288" t="str">
        <f>nmDisc1</f>
        <v>RN</v>
      </c>
      <c r="BB34" s="658">
        <f>INDEX(calcR2LOB2Disc1TotalVisitsPerc,xxIndexTeam)</f>
        <v>0.62389180403298938</v>
      </c>
      <c r="BC34" s="288" t="s">
        <v>5070</v>
      </c>
    </row>
    <row r="35" spans="3:59" s="288" customFormat="1" ht="14.25" customHeight="1">
      <c r="C35" s="288" t="s">
        <v>8173</v>
      </c>
      <c r="F35" s="300">
        <f>IF(INDEX(paramLOB2ClinicianRecruitment,xxIndexTeam)&gt;1,0,1)</f>
        <v>1</v>
      </c>
      <c r="G35" s="288" t="s">
        <v>8179</v>
      </c>
      <c r="W35" s="288" t="str">
        <f>nmDisc2</f>
        <v>LPN</v>
      </c>
      <c r="Y35" s="658">
        <f>INDEX(calcLOB2Disc2TotalVisitsPerc,xxIndexTeam)</f>
        <v>0.37610819596701062</v>
      </c>
      <c r="Z35" s="288" t="s">
        <v>5068</v>
      </c>
      <c r="AI35" s="300">
        <f>IF(INDEX(paramR2LOB2ClinicianRecruitment,xxIndexTeam)&gt;1,0,1)</f>
        <v>1</v>
      </c>
      <c r="AJ35" s="288" t="s">
        <v>8181</v>
      </c>
      <c r="AZ35" s="288" t="str">
        <f>nmDisc2</f>
        <v>LPN</v>
      </c>
      <c r="BB35" s="658">
        <f>INDEX(calcR2LOB2Disc2TotalVisitsPerc,xxIndexTeam)</f>
        <v>0.37610819596701078</v>
      </c>
      <c r="BC35" s="288" t="s">
        <v>5071</v>
      </c>
    </row>
    <row r="36" spans="3:59" s="288" customFormat="1" ht="14.25" customHeight="1">
      <c r="C36" s="288" t="s">
        <v>4911</v>
      </c>
      <c r="F36" s="300">
        <f>3-INDEX(calcLOB2MeetingCount,xxIndexTeam)</f>
        <v>3</v>
      </c>
      <c r="G36" s="532" t="s">
        <v>4914</v>
      </c>
      <c r="W36" s="288" t="s">
        <v>5060</v>
      </c>
      <c r="Y36" s="658">
        <f>INDEX(calcLOB2Disc2BelowLicsenceVisits,xxIndexTeam)</f>
        <v>7.3891804032989394E-2</v>
      </c>
      <c r="Z36" s="288" t="s">
        <v>5069</v>
      </c>
      <c r="AF36" s="288" t="s">
        <v>4911</v>
      </c>
      <c r="AI36" s="300">
        <f>3-INDEX(calcR2LOB2MeetingCount,xxIndexTeam)</f>
        <v>3</v>
      </c>
      <c r="AJ36" s="532" t="s">
        <v>4915</v>
      </c>
      <c r="AZ36" s="288" t="s">
        <v>5060</v>
      </c>
      <c r="BB36" s="658">
        <f>INDEX(calcR2LOB2Disc2BelowLicsenceVisits,xxIndexTeam)</f>
        <v>7.3891804032989228E-2</v>
      </c>
      <c r="BC36" s="288" t="s">
        <v>5072</v>
      </c>
    </row>
    <row r="37" spans="3:59" s="288" customFormat="1" ht="14.25" customHeight="1">
      <c r="C37" s="288" t="s">
        <v>4131</v>
      </c>
      <c r="F37" s="300">
        <f>INDEX(calcLOB2MeetingCount,xxIndexTeam)</f>
        <v>0</v>
      </c>
      <c r="G37" s="532" t="s">
        <v>4136</v>
      </c>
      <c r="V37" s="532"/>
      <c r="X37" s="532"/>
      <c r="Z37" s="532"/>
      <c r="AB37" s="532"/>
      <c r="AD37" s="532"/>
      <c r="AF37" s="288" t="s">
        <v>4131</v>
      </c>
      <c r="AI37" s="300">
        <f>INDEX(calcR2LOB2MeetingCount,xxIndexTeam)</f>
        <v>0</v>
      </c>
      <c r="AJ37" s="532" t="s">
        <v>4137</v>
      </c>
    </row>
    <row r="38" spans="3:59" s="288" customFormat="1" ht="14.25" customHeight="1">
      <c r="C38" s="288" t="s">
        <v>4350</v>
      </c>
      <c r="F38" s="300">
        <v>0</v>
      </c>
      <c r="G38" s="532" t="s">
        <v>5059</v>
      </c>
      <c r="AF38" s="288" t="s">
        <v>4350</v>
      </c>
      <c r="AI38" s="300">
        <v>0</v>
      </c>
      <c r="AJ38" s="532" t="s">
        <v>4978</v>
      </c>
    </row>
    <row r="39" spans="3:59" ht="22" customHeight="1">
      <c r="AE39" s="29" t="s">
        <v>408</v>
      </c>
      <c r="AF39" s="29" t="s">
        <v>408</v>
      </c>
      <c r="AG39" s="29" t="s">
        <v>408</v>
      </c>
      <c r="AJ39" s="29" t="s">
        <v>408</v>
      </c>
      <c r="AK39" s="29" t="s">
        <v>408</v>
      </c>
      <c r="AL39" s="29" t="s">
        <v>408</v>
      </c>
      <c r="AM39" s="29" t="s">
        <v>408</v>
      </c>
    </row>
    <row r="40" spans="3:59">
      <c r="I40" s="542"/>
      <c r="K40" s="331"/>
      <c r="M40" s="545"/>
      <c r="O40" s="545"/>
      <c r="P40" s="288"/>
      <c r="U40" s="288"/>
      <c r="V40" s="288"/>
      <c r="Y40" s="288"/>
      <c r="Z40" s="288"/>
      <c r="AB40" s="288"/>
      <c r="AD40" s="288"/>
      <c r="AE40" s="29" t="s">
        <v>408</v>
      </c>
      <c r="AF40" s="29" t="s">
        <v>408</v>
      </c>
      <c r="AG40" s="29" t="s">
        <v>408</v>
      </c>
      <c r="AJ40" s="29" t="s">
        <v>408</v>
      </c>
      <c r="AK40" s="29" t="s">
        <v>408</v>
      </c>
      <c r="AL40" s="29" t="s">
        <v>408</v>
      </c>
      <c r="AM40" s="29" t="s">
        <v>408</v>
      </c>
      <c r="AN40" s="288"/>
      <c r="AO40" s="288"/>
      <c r="AR40" s="288"/>
      <c r="AS40" s="288"/>
      <c r="AV40" s="729"/>
      <c r="AX40" s="288"/>
      <c r="AY40" s="288"/>
      <c r="BB40" s="288"/>
      <c r="BC40" s="288"/>
      <c r="BE40" s="288"/>
      <c r="BG40" s="288"/>
    </row>
    <row r="41" spans="3:59">
      <c r="I41" s="542"/>
      <c r="J41" s="288"/>
      <c r="K41" s="288"/>
      <c r="L41" s="288"/>
      <c r="M41" s="583"/>
      <c r="N41" s="584"/>
      <c r="O41" s="583"/>
      <c r="W41" s="29" t="s">
        <v>408</v>
      </c>
      <c r="AE41" s="29" t="s">
        <v>408</v>
      </c>
      <c r="AF41" s="29" t="s">
        <v>408</v>
      </c>
      <c r="AG41" s="29" t="s">
        <v>408</v>
      </c>
      <c r="AJ41" s="29" t="s">
        <v>408</v>
      </c>
      <c r="AK41" s="29" t="s">
        <v>408</v>
      </c>
      <c r="AL41" s="29" t="s">
        <v>408</v>
      </c>
      <c r="AM41" s="29" t="s">
        <v>408</v>
      </c>
      <c r="AV41" s="577"/>
      <c r="AZ41" s="29" t="s">
        <v>408</v>
      </c>
    </row>
    <row r="42" spans="3:59">
      <c r="I42" s="542"/>
      <c r="K42" s="331"/>
      <c r="M42" s="543"/>
      <c r="O42" s="543"/>
      <c r="AV42" s="577"/>
    </row>
    <row r="43" spans="3:59">
      <c r="I43" s="542"/>
      <c r="K43" s="331"/>
      <c r="M43" s="543"/>
      <c r="O43" s="543"/>
      <c r="AV43" s="577"/>
    </row>
    <row r="47" spans="3:59">
      <c r="G47" s="291" t="s">
        <v>457</v>
      </c>
      <c r="H47" s="291"/>
    </row>
    <row r="48" spans="3:59">
      <c r="G48" s="197" t="s">
        <v>32</v>
      </c>
      <c r="H48" s="197" t="s">
        <v>32</v>
      </c>
    </row>
    <row r="49" spans="7:8">
      <c r="G49" s="197" t="s">
        <v>550</v>
      </c>
      <c r="H49" s="197" t="s">
        <v>551</v>
      </c>
    </row>
    <row r="50" spans="7:8">
      <c r="G50" s="197" t="s">
        <v>554</v>
      </c>
      <c r="H50" s="197" t="s">
        <v>553</v>
      </c>
    </row>
    <row r="51" spans="7:8">
      <c r="G51" s="197" t="s">
        <v>556</v>
      </c>
    </row>
    <row r="52" spans="7:8">
      <c r="G52" s="197" t="s">
        <v>8485</v>
      </c>
    </row>
    <row r="53" spans="7:8">
      <c r="G53" s="197" t="s">
        <v>555</v>
      </c>
    </row>
    <row r="54" spans="7:8">
      <c r="G54" s="197" t="s">
        <v>8486</v>
      </c>
    </row>
  </sheetData>
  <dataValidations count="2">
    <dataValidation type="list" allowBlank="1" showInputMessage="1" showErrorMessage="1" sqref="AL20:AL21 I20:I21">
      <formula1>$H$48:$H$50</formula1>
    </dataValidation>
    <dataValidation type="list" allowBlank="1" showInputMessage="1" showErrorMessage="1" sqref="G20:G21 AJ20:AJ21">
      <formula1>$G$48:$G$54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F0"/>
  </sheetPr>
  <dimension ref="B1:AL44"/>
  <sheetViews>
    <sheetView showGridLines="0" topLeftCell="S1" zoomScaleNormal="100" workbookViewId="0">
      <selection activeCell="AE21" sqref="AE21"/>
    </sheetView>
  </sheetViews>
  <sheetFormatPr defaultColWidth="9" defaultRowHeight="15"/>
  <cols>
    <col min="1" max="2" width="2.77734375" style="29" customWidth="1"/>
    <col min="3" max="3" width="24.77734375" style="29" customWidth="1"/>
    <col min="4" max="4" width="1.77734375" style="29" customWidth="1"/>
    <col min="5" max="5" width="9.44140625" style="29" customWidth="1"/>
    <col min="6" max="6" width="1.77734375" style="29" customWidth="1"/>
    <col min="7" max="7" width="16.77734375" style="29" customWidth="1"/>
    <col min="8" max="8" width="12.77734375" style="29" customWidth="1"/>
    <col min="9" max="9" width="16.77734375" style="29" customWidth="1"/>
    <col min="10" max="10" width="12.77734375" style="29" customWidth="1"/>
    <col min="11" max="11" width="16.77734375" style="29" customWidth="1"/>
    <col min="12" max="12" width="12.77734375" style="29" customWidth="1"/>
    <col min="13" max="13" width="8.77734375" style="29" customWidth="1"/>
    <col min="14" max="14" width="2.77734375" style="29" customWidth="1"/>
    <col min="15" max="15" width="24.77734375" style="29" customWidth="1"/>
    <col min="16" max="16" width="1.77734375" style="29" customWidth="1"/>
    <col min="17" max="17" width="9.44140625" style="29" customWidth="1"/>
    <col min="18" max="18" width="1.77734375" style="29" customWidth="1"/>
    <col min="19" max="19" width="16.77734375" style="29" customWidth="1"/>
    <col min="20" max="20" width="12.77734375" style="29" customWidth="1"/>
    <col min="21" max="21" width="16.77734375" style="29" customWidth="1"/>
    <col min="22" max="22" width="12.77734375" style="29" customWidth="1"/>
    <col min="23" max="23" width="16.77734375" style="29" customWidth="1"/>
    <col min="24" max="24" width="12.77734375" style="29" customWidth="1"/>
    <col min="25" max="27" width="9" style="29"/>
    <col min="28" max="28" width="14.77734375" style="29" customWidth="1"/>
    <col min="29" max="30" width="3.33203125" style="29" customWidth="1"/>
    <col min="31" max="31" width="16.33203125" style="737" customWidth="1"/>
    <col min="32" max="32" width="33" style="29" customWidth="1"/>
    <col min="33" max="33" width="16.33203125" style="737" customWidth="1"/>
    <col min="34" max="34" width="33" style="29" customWidth="1"/>
    <col min="35" max="35" width="16.33203125" style="737" customWidth="1"/>
    <col min="36" max="36" width="33" style="29" customWidth="1"/>
    <col min="37" max="16384" width="9" style="29"/>
  </cols>
  <sheetData>
    <row r="1" spans="2:38" s="31" customFormat="1" ht="6" customHeight="1">
      <c r="C1" s="285"/>
      <c r="O1" s="285"/>
      <c r="AE1" s="734"/>
      <c r="AG1" s="734"/>
      <c r="AI1" s="734"/>
    </row>
    <row r="2" spans="2:38" s="31" customFormat="1" ht="27" customHeight="1">
      <c r="C2" s="286" t="str">
        <f>xxProgramName</f>
        <v>Care Center Simulation Experience</v>
      </c>
      <c r="O2" s="286" t="str">
        <f>xxProgramName</f>
        <v>Care Center Simulation Experience</v>
      </c>
      <c r="AE2" s="734"/>
      <c r="AG2" s="734"/>
      <c r="AI2" s="734"/>
    </row>
    <row r="3" spans="2:38" s="31" customFormat="1" ht="15" customHeight="1">
      <c r="B3" s="347"/>
      <c r="C3" s="349" t="s">
        <v>473</v>
      </c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5"/>
      <c r="O3" s="350" t="s">
        <v>474</v>
      </c>
      <c r="P3" s="346"/>
      <c r="Q3" s="346"/>
      <c r="R3" s="346"/>
      <c r="S3" s="346"/>
      <c r="T3" s="346"/>
      <c r="U3" s="346"/>
      <c r="V3" s="346"/>
      <c r="W3" s="346"/>
      <c r="X3" s="346"/>
      <c r="AE3" s="734"/>
      <c r="AG3" s="734"/>
      <c r="AI3" s="734"/>
    </row>
    <row r="4" spans="2:38" s="379" customFormat="1" ht="20.25" customHeight="1">
      <c r="C4" s="359" t="s">
        <v>593</v>
      </c>
      <c r="D4" s="358" t="str">
        <f>Controls!D84</f>
        <v>Revenue Growth 0.00874861300577923 NIFO 2038635.05387663 Clinical Quality 0.72786859688196 Employee Engagement 0.7 Referral Satisfaction 0.766695545657015</v>
      </c>
      <c r="O4" s="359" t="s">
        <v>593</v>
      </c>
      <c r="P4" s="358" t="str">
        <f>Controls!I84</f>
        <v>Revenue Growth 0.0264232464922343 NIFO 2424318.07807255 Clinical Quality 0.718105712996364 Employee Engagement 0.680237037121479 Referral Satisfaction 0.75776133110114</v>
      </c>
      <c r="AE4" s="735"/>
      <c r="AG4" s="735"/>
      <c r="AI4" s="735"/>
    </row>
    <row r="5" spans="2:38" s="288" customFormat="1" ht="9" customHeight="1">
      <c r="AE5" s="338"/>
      <c r="AG5" s="338"/>
      <c r="AI5" s="338"/>
    </row>
    <row r="6" spans="2:38" s="288" customFormat="1" ht="14.25" customHeight="1">
      <c r="C6" s="290" t="s">
        <v>374</v>
      </c>
      <c r="D6" s="289"/>
      <c r="E6" s="289"/>
      <c r="F6" s="289"/>
      <c r="G6" s="289"/>
      <c r="H6" s="289"/>
      <c r="I6" s="289"/>
      <c r="J6" s="289"/>
      <c r="K6" s="289"/>
      <c r="L6" s="289"/>
      <c r="O6" s="290" t="s">
        <v>374</v>
      </c>
      <c r="P6" s="289"/>
      <c r="Q6" s="289"/>
      <c r="R6" s="289"/>
      <c r="S6" s="289"/>
      <c r="T6" s="289"/>
      <c r="U6" s="289"/>
      <c r="V6" s="289"/>
      <c r="W6" s="289"/>
      <c r="X6" s="289"/>
      <c r="AA6" s="288" t="s">
        <v>374</v>
      </c>
      <c r="AE6" s="338"/>
      <c r="AG6" s="338"/>
      <c r="AI6" s="338"/>
    </row>
    <row r="7" spans="2:38" s="288" customFormat="1" ht="14.25" customHeight="1">
      <c r="M7" s="378"/>
      <c r="N7" s="378"/>
      <c r="AE7" s="338"/>
      <c r="AG7" s="338"/>
      <c r="AI7" s="338"/>
    </row>
    <row r="8" spans="2:38" s="288" customFormat="1" ht="11.25" customHeight="1">
      <c r="C8" s="333" t="s">
        <v>347</v>
      </c>
      <c r="G8" s="339" t="str">
        <f>nmLOB1</f>
        <v>Riverside</v>
      </c>
      <c r="H8" s="340"/>
      <c r="I8" s="339" t="str">
        <f>nmLOB2</f>
        <v>Pleasentville</v>
      </c>
      <c r="J8" s="340"/>
      <c r="K8" s="339" t="s">
        <v>13</v>
      </c>
      <c r="M8" s="378"/>
      <c r="N8" s="378"/>
      <c r="O8" s="333" t="s">
        <v>347</v>
      </c>
      <c r="S8" s="339" t="str">
        <f>nmLOB1</f>
        <v>Riverside</v>
      </c>
      <c r="T8" s="340"/>
      <c r="U8" s="339" t="str">
        <f>nmLOB2</f>
        <v>Pleasentville</v>
      </c>
      <c r="V8" s="340"/>
      <c r="W8" s="339" t="s">
        <v>13</v>
      </c>
      <c r="X8" s="744"/>
      <c r="AA8" s="333" t="s">
        <v>347</v>
      </c>
      <c r="AE8" s="339" t="s">
        <v>4670</v>
      </c>
      <c r="AF8" s="340"/>
      <c r="AG8" s="339" t="s">
        <v>7840</v>
      </c>
      <c r="AH8" s="340"/>
      <c r="AI8" s="339" t="s">
        <v>13</v>
      </c>
      <c r="AJ8" s="340"/>
    </row>
    <row r="9" spans="2:38" ht="12" customHeight="1">
      <c r="C9" s="334" t="str">
        <f>nmSeg1</f>
        <v>Medicare</v>
      </c>
      <c r="G9" s="338">
        <f>INDEX(finPNLLOB1Seg1Rev,xxIndexTeam)</f>
        <v>5006556</v>
      </c>
      <c r="H9" s="532" t="s">
        <v>4428</v>
      </c>
      <c r="I9" s="338">
        <f>INDEX(finPNLLOB2Seg1Rev,xxIndexTeam)</f>
        <v>5141908.8000000007</v>
      </c>
      <c r="J9" s="532" t="s">
        <v>4431</v>
      </c>
      <c r="K9" s="338">
        <f>INDEX(finPNLSeg1Rev,xxIndexTeam)</f>
        <v>10148464.800000001</v>
      </c>
      <c r="L9" s="532" t="s">
        <v>4434</v>
      </c>
      <c r="O9" s="334" t="s">
        <v>620</v>
      </c>
      <c r="S9" s="338">
        <f>INDEX(finR2PNLLOB1Seg1Rev,xxIndexTeam)</f>
        <v>5106024</v>
      </c>
      <c r="T9" s="532" t="s">
        <v>7678</v>
      </c>
      <c r="U9" s="338">
        <f>INDEX(finR2PNLLOB2Seg1Rev,xxIndexTeam)</f>
        <v>5319216.0000000009</v>
      </c>
      <c r="V9" s="532" t="s">
        <v>7679</v>
      </c>
      <c r="W9" s="338">
        <f>INDEX(finR2PNLSeg1Rev,xxIndexTeam)</f>
        <v>10425240</v>
      </c>
      <c r="X9" s="532" t="s">
        <v>4437</v>
      </c>
      <c r="AA9" s="334" t="s">
        <v>620</v>
      </c>
      <c r="AE9" s="338">
        <v>5108230</v>
      </c>
      <c r="AF9" s="532" t="s">
        <v>8182</v>
      </c>
      <c r="AG9" s="338">
        <v>5024051</v>
      </c>
      <c r="AH9" s="532" t="s">
        <v>8183</v>
      </c>
      <c r="AI9" s="338">
        <f>AE9+AG9</f>
        <v>10132281</v>
      </c>
      <c r="AJ9" s="532" t="s">
        <v>8184</v>
      </c>
      <c r="AK9" s="288"/>
      <c r="AL9" s="288"/>
    </row>
    <row r="10" spans="2:38" s="288" customFormat="1" ht="12" customHeight="1">
      <c r="C10" s="334" t="str">
        <f>nmSeg2</f>
        <v>PPS</v>
      </c>
      <c r="G10" s="338">
        <f>INDEX(finPNLLOB1Seg2Rev,xxIndexTeam)</f>
        <v>779610</v>
      </c>
      <c r="H10" s="532" t="s">
        <v>4429</v>
      </c>
      <c r="I10" s="338">
        <f>INDEX(finPNLLOB2Seg2Rev,xxIndexTeam)</f>
        <v>237319.2</v>
      </c>
      <c r="J10" s="532" t="s">
        <v>4432</v>
      </c>
      <c r="K10" s="338">
        <f>INDEX(finPNLSeg2Rev,xxIndexTeam)</f>
        <v>1016929.2</v>
      </c>
      <c r="L10" s="532" t="s">
        <v>4435</v>
      </c>
      <c r="M10" s="378"/>
      <c r="N10" s="378"/>
      <c r="O10" s="334" t="s">
        <v>621</v>
      </c>
      <c r="S10" s="338">
        <f>INDEX(finR2PNLLOB1Seg2Rev,xxIndexTeam)</f>
        <v>779610</v>
      </c>
      <c r="T10" s="532" t="s">
        <v>7680</v>
      </c>
      <c r="U10" s="338">
        <f>INDEX(finR2PNLLOB2Seg2Rev,xxIndexTeam)</f>
        <v>263688</v>
      </c>
      <c r="V10" s="532" t="s">
        <v>7681</v>
      </c>
      <c r="W10" s="338">
        <f>INDEX(finR2PNLSeg2Rev,xxIndexTeam)</f>
        <v>1043298</v>
      </c>
      <c r="X10" s="532" t="s">
        <v>4438</v>
      </c>
      <c r="AA10" s="334" t="s">
        <v>621</v>
      </c>
      <c r="AE10" s="338">
        <v>801239</v>
      </c>
      <c r="AF10" s="532" t="s">
        <v>8185</v>
      </c>
      <c r="AG10" s="338">
        <v>224908</v>
      </c>
      <c r="AH10" s="532" t="s">
        <v>8186</v>
      </c>
      <c r="AI10" s="338">
        <f t="shared" ref="AI10:AI18" si="0">AE10+AG10</f>
        <v>1026147</v>
      </c>
      <c r="AJ10" s="532" t="s">
        <v>8187</v>
      </c>
    </row>
    <row r="11" spans="2:38" s="288" customFormat="1" ht="12" customHeight="1">
      <c r="C11" s="335" t="str">
        <f>nmSeg3</f>
        <v>Other</v>
      </c>
      <c r="D11" s="342"/>
      <c r="E11" s="342"/>
      <c r="F11" s="342"/>
      <c r="G11" s="487">
        <f>INDEX(finPNLLOB1Seg3Rev,xxIndexTeam)</f>
        <v>1547280</v>
      </c>
      <c r="H11" s="532" t="s">
        <v>4430</v>
      </c>
      <c r="I11" s="487">
        <f>INDEX(finPNLLOB2Seg3Rev,xxIndexTeam)</f>
        <v>82650</v>
      </c>
      <c r="J11" s="532" t="s">
        <v>4433</v>
      </c>
      <c r="K11" s="487">
        <f>INDEX(finPNLSeg3Rev,xxIndexTeam)</f>
        <v>1629930</v>
      </c>
      <c r="L11" s="532" t="s">
        <v>4436</v>
      </c>
      <c r="M11" s="378"/>
      <c r="N11" s="378"/>
      <c r="O11" s="335" t="s">
        <v>592</v>
      </c>
      <c r="P11" s="342"/>
      <c r="Q11" s="342"/>
      <c r="R11" s="342"/>
      <c r="S11" s="487">
        <f>INDEX(finR2PNLLOB1Seg3Rev,xxIndexTeam)</f>
        <v>1565700</v>
      </c>
      <c r="T11" s="532" t="s">
        <v>7682</v>
      </c>
      <c r="U11" s="487">
        <f>INDEX(finR2PNLLOB2Seg3Rev,xxIndexTeam)</f>
        <v>99180</v>
      </c>
      <c r="V11" s="532" t="s">
        <v>7683</v>
      </c>
      <c r="W11" s="487">
        <f>INDEX(finR2PNLSeg3Rev,xxIndexTeam)</f>
        <v>1664880</v>
      </c>
      <c r="X11" s="532" t="s">
        <v>4439</v>
      </c>
      <c r="AA11" s="335" t="s">
        <v>592</v>
      </c>
      <c r="AB11" s="342"/>
      <c r="AC11" s="342"/>
      <c r="AD11" s="342"/>
      <c r="AE11" s="487">
        <v>1687509</v>
      </c>
      <c r="AF11" s="532" t="s">
        <v>8188</v>
      </c>
      <c r="AG11" s="487">
        <v>80987</v>
      </c>
      <c r="AH11" s="532" t="s">
        <v>8189</v>
      </c>
      <c r="AI11" s="487">
        <f t="shared" si="0"/>
        <v>1768496</v>
      </c>
      <c r="AJ11" s="532" t="s">
        <v>8190</v>
      </c>
    </row>
    <row r="12" spans="2:38" s="288" customFormat="1" ht="12" customHeight="1">
      <c r="C12" s="334" t="s">
        <v>406</v>
      </c>
      <c r="G12" s="338">
        <f>INDEX(finPNLLOB1Rev,xxIndexTeam)</f>
        <v>7333446</v>
      </c>
      <c r="H12" s="532" t="s">
        <v>2776</v>
      </c>
      <c r="I12" s="338">
        <f>INDEX(finPNLLOB2Rev,xxIndexTeam)</f>
        <v>5461878.0000000009</v>
      </c>
      <c r="J12" s="532" t="s">
        <v>2779</v>
      </c>
      <c r="K12" s="338">
        <f>INDEX(finPNLRev,xxIndexTeam)</f>
        <v>12795324</v>
      </c>
      <c r="L12" s="532" t="s">
        <v>477</v>
      </c>
      <c r="M12" s="378"/>
      <c r="N12" s="378"/>
      <c r="O12" s="334" t="s">
        <v>406</v>
      </c>
      <c r="S12" s="338">
        <f>INDEX(finR2PNLLOB1Rev,xxIndexTeam)</f>
        <v>7451334</v>
      </c>
      <c r="T12" s="532" t="s">
        <v>7684</v>
      </c>
      <c r="U12" s="338">
        <f>INDEX(finR2PNLLOB2Rev,xxIndexTeam)</f>
        <v>5682084.0000000009</v>
      </c>
      <c r="V12" s="532" t="s">
        <v>7685</v>
      </c>
      <c r="W12" s="338">
        <f>INDEX(finR2PNLRev,xxIndexTeam)</f>
        <v>13133418</v>
      </c>
      <c r="X12" s="532" t="s">
        <v>479</v>
      </c>
      <c r="AA12" s="334" t="s">
        <v>406</v>
      </c>
      <c r="AE12" s="338">
        <f>SUM(AE9:AE11)</f>
        <v>7596978</v>
      </c>
      <c r="AF12" s="532" t="s">
        <v>8191</v>
      </c>
      <c r="AG12" s="338">
        <f>SUM(AG9:AG11)</f>
        <v>5329946</v>
      </c>
      <c r="AH12" s="532" t="s">
        <v>8192</v>
      </c>
      <c r="AI12" s="338">
        <f>SUM(AI9:AI11)</f>
        <v>12926924</v>
      </c>
      <c r="AJ12" s="532" t="s">
        <v>8193</v>
      </c>
    </row>
    <row r="13" spans="2:38" s="288" customFormat="1" ht="12" customHeight="1">
      <c r="C13" s="334"/>
      <c r="G13" s="338"/>
      <c r="H13" s="532"/>
      <c r="I13" s="338"/>
      <c r="J13" s="532"/>
      <c r="K13" s="338"/>
      <c r="L13" s="532"/>
      <c r="M13" s="378"/>
      <c r="N13" s="378"/>
      <c r="O13" s="334"/>
      <c r="S13" s="338"/>
      <c r="T13" s="532"/>
      <c r="U13" s="338"/>
      <c r="V13" s="532"/>
      <c r="W13" s="338"/>
      <c r="X13" s="532"/>
      <c r="AA13" s="334"/>
      <c r="AE13" s="338"/>
      <c r="AF13" s="532"/>
      <c r="AG13" s="338"/>
      <c r="AH13" s="532"/>
      <c r="AI13" s="338">
        <f t="shared" si="0"/>
        <v>0</v>
      </c>
      <c r="AJ13" s="532"/>
    </row>
    <row r="14" spans="2:38" s="288" customFormat="1" ht="12" customHeight="1">
      <c r="C14" s="336" t="s">
        <v>407</v>
      </c>
      <c r="G14" s="338">
        <f>INDEX(finPNLLOB1ServiceCost,xxIndexTeam)</f>
        <v>3681123.1135499999</v>
      </c>
      <c r="H14" s="532" t="s">
        <v>2782</v>
      </c>
      <c r="I14" s="338">
        <f>INDEX(finPNLLOB2ServiceCost,xxIndexTeam)</f>
        <v>2451690.8325733705</v>
      </c>
      <c r="J14" s="532" t="s">
        <v>2785</v>
      </c>
      <c r="K14" s="338">
        <f>INDEX(finPNLServiceCost,xxIndexTeam)</f>
        <v>6132813.9461233709</v>
      </c>
      <c r="L14" s="532" t="s">
        <v>2788</v>
      </c>
      <c r="M14" s="378"/>
      <c r="N14" s="378"/>
      <c r="O14" s="336" t="s">
        <v>407</v>
      </c>
      <c r="S14" s="338">
        <f>INDEX(finR2PNLLOB1ServiceCost,xxIndexTeam)</f>
        <v>3197474.164277419</v>
      </c>
      <c r="T14" s="532" t="s">
        <v>7686</v>
      </c>
      <c r="U14" s="338">
        <f>INDEX(finR2PNLLOB2ServiceCost,xxIndexTeam)</f>
        <v>2360782.0076500308</v>
      </c>
      <c r="V14" s="532" t="s">
        <v>7687</v>
      </c>
      <c r="W14" s="338">
        <f>INDEX(finR2PNLServiceCost,xxIndexTeam)</f>
        <v>5558256.1719274502</v>
      </c>
      <c r="X14" s="532" t="s">
        <v>2791</v>
      </c>
      <c r="AA14" s="336" t="s">
        <v>407</v>
      </c>
      <c r="AE14" s="338">
        <v>4225568</v>
      </c>
      <c r="AF14" s="532" t="s">
        <v>8194</v>
      </c>
      <c r="AG14" s="338">
        <v>2437702</v>
      </c>
      <c r="AH14" s="532" t="s">
        <v>8195</v>
      </c>
      <c r="AI14" s="338">
        <f t="shared" si="0"/>
        <v>6663270</v>
      </c>
      <c r="AJ14" s="532" t="s">
        <v>8196</v>
      </c>
    </row>
    <row r="15" spans="2:38" s="288" customFormat="1" ht="12" customHeight="1">
      <c r="C15" s="336" t="s">
        <v>341</v>
      </c>
      <c r="G15" s="488">
        <f>INDEX(finPNLLOB1GrossMargin,xxIndexTeam)</f>
        <v>0.49803637832064218</v>
      </c>
      <c r="H15" s="532" t="s">
        <v>4709</v>
      </c>
      <c r="I15" s="488">
        <f>INDEX(finPNLLOB2GrossMargin,xxIndexTeam)</f>
        <v>0.55112676764779989</v>
      </c>
      <c r="J15" s="532" t="s">
        <v>4710</v>
      </c>
      <c r="K15" s="488">
        <f>INDEX(finPNLGrossMargin,xxIndexTeam)</f>
        <v>0.52069881574523857</v>
      </c>
      <c r="L15" s="532" t="s">
        <v>4711</v>
      </c>
      <c r="M15" s="378"/>
      <c r="N15" s="378"/>
      <c r="O15" s="598" t="s">
        <v>341</v>
      </c>
      <c r="P15" s="488"/>
      <c r="Q15" s="488"/>
      <c r="R15" s="488"/>
      <c r="S15" s="488">
        <f>INDEX(finR2PNLLOB1GrossMargin,xxIndexTeam)</f>
        <v>0.5708856743936831</v>
      </c>
      <c r="T15" s="532" t="s">
        <v>7688</v>
      </c>
      <c r="U15" s="488">
        <f>INDEX(finR2PNLLOB2GrossMargin,xxIndexTeam)</f>
        <v>0.58452180438549828</v>
      </c>
      <c r="V15" s="532" t="s">
        <v>7689</v>
      </c>
      <c r="W15" s="488">
        <f>INDEX(finR2PNLGrossMargin,xxIndexTeam)</f>
        <v>0.57678525331886565</v>
      </c>
      <c r="X15" s="745" t="s">
        <v>4712</v>
      </c>
      <c r="AA15" s="598" t="s">
        <v>341</v>
      </c>
      <c r="AB15" s="488"/>
      <c r="AC15" s="488"/>
      <c r="AD15" s="488"/>
      <c r="AE15" s="488">
        <f>(AE12-AE14)/AE12</f>
        <v>0.44378304109871058</v>
      </c>
      <c r="AF15" s="532" t="s">
        <v>8197</v>
      </c>
      <c r="AG15" s="488">
        <f>(AG12-AG14)/AG12</f>
        <v>0.54264039448054446</v>
      </c>
      <c r="AH15" s="532" t="s">
        <v>8198</v>
      </c>
      <c r="AI15" s="488">
        <f>(AI12-AI14)/AI12</f>
        <v>0.4845432679885795</v>
      </c>
      <c r="AJ15" s="745" t="s">
        <v>8199</v>
      </c>
    </row>
    <row r="16" spans="2:38" s="288" customFormat="1" ht="12" customHeight="1">
      <c r="C16" s="334"/>
      <c r="G16" s="338"/>
      <c r="H16" s="532"/>
      <c r="I16" s="338"/>
      <c r="J16" s="532"/>
      <c r="K16" s="338"/>
      <c r="L16" s="532"/>
      <c r="M16" s="378"/>
      <c r="N16" s="378"/>
      <c r="O16" s="334"/>
      <c r="S16" s="338"/>
      <c r="T16" s="532"/>
      <c r="U16" s="338"/>
      <c r="V16" s="532"/>
      <c r="W16" s="338"/>
      <c r="X16" s="532"/>
      <c r="AA16" s="334"/>
      <c r="AE16" s="338"/>
      <c r="AF16" s="532"/>
      <c r="AG16" s="338"/>
      <c r="AH16" s="532"/>
      <c r="AI16" s="338"/>
      <c r="AJ16" s="532"/>
    </row>
    <row r="17" spans="3:36" s="288" customFormat="1" ht="12" customHeight="1">
      <c r="C17" s="334" t="s">
        <v>4713</v>
      </c>
      <c r="G17" s="338"/>
      <c r="H17" s="532"/>
      <c r="I17" s="338"/>
      <c r="J17" s="532"/>
      <c r="K17" s="338"/>
      <c r="L17" s="532"/>
      <c r="M17" s="378"/>
      <c r="N17" s="378"/>
      <c r="O17" s="334" t="s">
        <v>4713</v>
      </c>
      <c r="S17" s="338"/>
      <c r="T17" s="532"/>
      <c r="U17" s="338"/>
      <c r="V17" s="532"/>
      <c r="W17" s="338"/>
      <c r="X17" s="532"/>
      <c r="AA17" s="334" t="s">
        <v>4713</v>
      </c>
      <c r="AE17" s="338"/>
      <c r="AF17" s="532"/>
      <c r="AG17" s="338"/>
      <c r="AH17" s="532"/>
      <c r="AI17" s="338"/>
      <c r="AJ17" s="532"/>
    </row>
    <row r="18" spans="3:36" s="288" customFormat="1" ht="12" customHeight="1">
      <c r="C18" s="335" t="s">
        <v>4714</v>
      </c>
      <c r="D18" s="342"/>
      <c r="E18" s="342"/>
      <c r="F18" s="342"/>
      <c r="G18" s="487">
        <f>INDEX(finPNLLOB1EmpOverhead,xxIndexTeam)</f>
        <v>2516000</v>
      </c>
      <c r="H18" s="532" t="s">
        <v>2783</v>
      </c>
      <c r="I18" s="487">
        <f>INDEX(finPNLLOB2EmpOverhead,xxIndexTeam)</f>
        <v>2107875</v>
      </c>
      <c r="J18" s="532" t="s">
        <v>2786</v>
      </c>
      <c r="K18" s="487">
        <f>INDEX(finPNLEmpOverhead,xxIndexTeam)</f>
        <v>4623875</v>
      </c>
      <c r="L18" s="532" t="s">
        <v>2789</v>
      </c>
      <c r="M18" s="378"/>
      <c r="N18" s="378"/>
      <c r="O18" s="335" t="s">
        <v>4714</v>
      </c>
      <c r="P18" s="342"/>
      <c r="Q18" s="342"/>
      <c r="R18" s="342"/>
      <c r="S18" s="487">
        <f>INDEX(finR2PNLLOB1EmpOverhead,xxIndexTeam)</f>
        <v>2516000</v>
      </c>
      <c r="T18" s="532" t="s">
        <v>7690</v>
      </c>
      <c r="U18" s="487">
        <f>INDEX(finR2PNLLOB2EmpOverhead,xxIndexTeam)</f>
        <v>2634843.75</v>
      </c>
      <c r="V18" s="532" t="s">
        <v>7691</v>
      </c>
      <c r="W18" s="487">
        <f>INDEX(finR2PNLEmpOverhead,xxIndexTeam)</f>
        <v>5150843.75</v>
      </c>
      <c r="X18" s="532" t="s">
        <v>2792</v>
      </c>
      <c r="AA18" s="335" t="s">
        <v>4714</v>
      </c>
      <c r="AB18" s="342"/>
      <c r="AC18" s="342"/>
      <c r="AD18" s="342"/>
      <c r="AE18" s="487">
        <v>2378995</v>
      </c>
      <c r="AF18" s="532" t="s">
        <v>8200</v>
      </c>
      <c r="AG18" s="487">
        <v>1968450</v>
      </c>
      <c r="AH18" s="532" t="s">
        <v>8201</v>
      </c>
      <c r="AI18" s="487">
        <f t="shared" si="0"/>
        <v>4347445</v>
      </c>
      <c r="AJ18" s="532" t="s">
        <v>8202</v>
      </c>
    </row>
    <row r="19" spans="3:36" s="288" customFormat="1" ht="12" customHeight="1">
      <c r="C19" s="334" t="s">
        <v>4715</v>
      </c>
      <c r="G19" s="338">
        <f>INDEX(finPNLLOB1ServiceCost,xxIndexTeam)+INDEX(finPNLLOB1EmpOverhead,xxIndexTeam)</f>
        <v>6197123.1135499999</v>
      </c>
      <c r="H19" s="532" t="s">
        <v>2777</v>
      </c>
      <c r="I19" s="338">
        <f>INDEX(finPNLLOB2ServiceCost,xxIndexTeam)+INDEX(finPNLLOB2EmpOverhead,xxIndexTeam)</f>
        <v>4559565.832573371</v>
      </c>
      <c r="J19" s="532" t="s">
        <v>2780</v>
      </c>
      <c r="K19" s="338">
        <f>INDEX(finPNLServiceCost,xxIndexTeam)+INDEX(finPNLEmpOverhead,xxIndexTeam)</f>
        <v>10756688.946123371</v>
      </c>
      <c r="L19" s="532" t="s">
        <v>478</v>
      </c>
      <c r="M19" s="378"/>
      <c r="N19" s="378"/>
      <c r="O19" s="334" t="s">
        <v>4715</v>
      </c>
      <c r="S19" s="338">
        <f>INDEX(finR2PNLLOB1ServiceCost,xxIndexTeam)+INDEX(finR2PNLLOB1EmpOverhead,xxIndexTeam)</f>
        <v>5713474.1642774194</v>
      </c>
      <c r="T19" s="532" t="s">
        <v>7692</v>
      </c>
      <c r="U19" s="338">
        <f>INDEX(finR2PNLLOB2ServiceCost,xxIndexTeam)+INDEX(finR2PNLLOB2EmpOverhead,xxIndexTeam)</f>
        <v>4995625.7576500308</v>
      </c>
      <c r="V19" s="532" t="s">
        <v>7693</v>
      </c>
      <c r="W19" s="338">
        <f>INDEX(finR2PNLServiceCost,xxIndexTeam)+INDEX(finR2PNLEmpOverhead,xxIndexTeam)</f>
        <v>10709099.92192745</v>
      </c>
      <c r="X19" s="532" t="s">
        <v>480</v>
      </c>
      <c r="AA19" s="334" t="s">
        <v>4715</v>
      </c>
      <c r="AE19" s="338">
        <f>AE14+AE18</f>
        <v>6604563</v>
      </c>
      <c r="AF19" s="532" t="s">
        <v>8203</v>
      </c>
      <c r="AG19" s="338">
        <f>AG14+AG18</f>
        <v>4406152</v>
      </c>
      <c r="AH19" s="532" t="s">
        <v>8204</v>
      </c>
      <c r="AI19" s="338">
        <f>AI14+AI18</f>
        <v>11010715</v>
      </c>
      <c r="AJ19" s="532" t="s">
        <v>8205</v>
      </c>
    </row>
    <row r="20" spans="3:36" s="288" customFormat="1" ht="12" customHeight="1">
      <c r="C20" s="336" t="s">
        <v>487</v>
      </c>
      <c r="G20" s="338">
        <f>INDEX(finPNLLOB1OpProfit,xxIndexTeam)</f>
        <v>1136322.8864500001</v>
      </c>
      <c r="H20" s="532" t="s">
        <v>2784</v>
      </c>
      <c r="I20" s="338">
        <f>INDEX(finPNLLOB2OpProfit,xxIndexTeam)</f>
        <v>902312.16742663039</v>
      </c>
      <c r="J20" s="532" t="s">
        <v>2787</v>
      </c>
      <c r="K20" s="338">
        <f>INDEX(finPNLOpProfit,xxIndexTeam)</f>
        <v>2038635.0538766291</v>
      </c>
      <c r="L20" s="532" t="s">
        <v>2790</v>
      </c>
      <c r="M20" s="378"/>
      <c r="N20" s="378"/>
      <c r="O20" s="336" t="s">
        <v>487</v>
      </c>
      <c r="S20" s="338">
        <f>INDEX(finR2PNLLOB1OpProfit,xxIndexTeam)</f>
        <v>1737859.8357225806</v>
      </c>
      <c r="T20" s="532" t="s">
        <v>7694</v>
      </c>
      <c r="U20" s="338">
        <f>INDEX(finR2PNLLOB2OpProfit,xxIndexTeam)</f>
        <v>686458.24234997015</v>
      </c>
      <c r="V20" s="532" t="s">
        <v>7695</v>
      </c>
      <c r="W20" s="338">
        <f>INDEX(finR2PNLOpProfit,xxIndexTeam)</f>
        <v>2424318.0780725498</v>
      </c>
      <c r="X20" s="532" t="s">
        <v>2793</v>
      </c>
      <c r="AA20" s="336" t="s">
        <v>487</v>
      </c>
      <c r="AE20" s="338">
        <f>AE12-AE19</f>
        <v>992415</v>
      </c>
      <c r="AF20" s="532" t="s">
        <v>8206</v>
      </c>
      <c r="AG20" s="338">
        <f>AG12-AG19</f>
        <v>923794</v>
      </c>
      <c r="AH20" s="532" t="s">
        <v>8207</v>
      </c>
      <c r="AI20" s="338">
        <f>AI12-AI19</f>
        <v>1916209</v>
      </c>
      <c r="AJ20" s="532" t="s">
        <v>8208</v>
      </c>
    </row>
    <row r="21" spans="3:36" s="288" customFormat="1" ht="12" customHeight="1">
      <c r="C21" s="336" t="s">
        <v>4716</v>
      </c>
      <c r="G21" s="488">
        <f>INDEX(finPNLLOB1OpMargin,xxIndexTeam)</f>
        <v>0.15495074027271763</v>
      </c>
      <c r="H21" s="532" t="s">
        <v>2778</v>
      </c>
      <c r="I21" s="488">
        <f>INDEX(finPNLLOB2OpMargin,xxIndexTeam)</f>
        <v>0.16520181655954788</v>
      </c>
      <c r="J21" s="532" t="s">
        <v>2781</v>
      </c>
      <c r="K21" s="488">
        <f>INDEX(finPNLOpMargin,xxIndexTeam)</f>
        <v>0.15932656757082736</v>
      </c>
      <c r="L21" s="532" t="s">
        <v>2775</v>
      </c>
      <c r="M21" s="378"/>
      <c r="N21" s="378"/>
      <c r="O21" s="336" t="s">
        <v>4716</v>
      </c>
      <c r="S21" s="488">
        <f>INDEX(finR2PNLLOB1OpMargin,xxIndexTeam)</f>
        <v>0.23322801470482743</v>
      </c>
      <c r="T21" s="532" t="s">
        <v>7696</v>
      </c>
      <c r="U21" s="488">
        <f>INDEX(finR2PNLLOB2OpMargin,xxIndexTeam)</f>
        <v>0.12081099863183474</v>
      </c>
      <c r="V21" s="532" t="s">
        <v>7697</v>
      </c>
      <c r="W21" s="488">
        <f>INDEX(finR2PNLOpMargin,xxIndexTeam)</f>
        <v>0.18459155705487709</v>
      </c>
      <c r="X21" s="532" t="s">
        <v>2794</v>
      </c>
      <c r="AA21" s="336" t="s">
        <v>4716</v>
      </c>
      <c r="AE21" s="488">
        <f>AE20/AE12</f>
        <v>0.13063286480492639</v>
      </c>
      <c r="AF21" s="532" t="s">
        <v>8209</v>
      </c>
      <c r="AG21" s="488">
        <f>AG20/AG12</f>
        <v>0.17332145578960836</v>
      </c>
      <c r="AH21" s="532" t="s">
        <v>8210</v>
      </c>
      <c r="AI21" s="488">
        <f>AI20/AI12</f>
        <v>0.14823394954592445</v>
      </c>
      <c r="AJ21" s="532" t="s">
        <v>8211</v>
      </c>
    </row>
    <row r="22" spans="3:36" s="288" customFormat="1" ht="11.25" customHeight="1">
      <c r="C22" s="337"/>
      <c r="G22" s="483"/>
      <c r="H22" s="338"/>
      <c r="I22" s="338"/>
      <c r="J22" s="338"/>
      <c r="M22" s="378"/>
      <c r="N22" s="378"/>
      <c r="O22" s="337"/>
      <c r="S22" s="338"/>
      <c r="T22" s="338"/>
      <c r="U22" s="338"/>
      <c r="V22" s="338"/>
      <c r="AE22" s="338"/>
      <c r="AG22" s="338"/>
      <c r="AI22" s="338"/>
    </row>
    <row r="23" spans="3:36" s="30" customFormat="1" ht="15" customHeight="1">
      <c r="AE23" s="736"/>
      <c r="AG23" s="736"/>
      <c r="AI23" s="736"/>
    </row>
    <row r="24" spans="3:36" s="30" customFormat="1" ht="15" customHeight="1">
      <c r="AE24" s="736"/>
      <c r="AG24" s="736"/>
      <c r="AI24" s="736"/>
    </row>
    <row r="25" spans="3:36" s="288" customFormat="1" ht="11.25" customHeight="1">
      <c r="C25" s="334"/>
      <c r="G25" s="341"/>
      <c r="H25" s="341"/>
      <c r="I25" s="341"/>
      <c r="J25" s="341"/>
      <c r="K25" s="341"/>
      <c r="O25" s="334"/>
      <c r="S25" s="341"/>
      <c r="T25" s="341"/>
      <c r="U25" s="341"/>
      <c r="V25" s="341"/>
      <c r="W25" s="341"/>
      <c r="X25" s="341"/>
      <c r="AE25" s="338"/>
      <c r="AG25" s="338"/>
      <c r="AI25" s="338"/>
    </row>
    <row r="26" spans="3:36" ht="15" customHeight="1">
      <c r="C26" s="291" t="s">
        <v>471</v>
      </c>
      <c r="D26" s="288" t="s">
        <v>232</v>
      </c>
    </row>
    <row r="27" spans="3:36">
      <c r="C27" s="331" t="s">
        <v>4717</v>
      </c>
    </row>
    <row r="28" spans="3:36">
      <c r="C28" s="331" t="s">
        <v>4718</v>
      </c>
    </row>
    <row r="29" spans="3:36">
      <c r="C29" s="197" t="s">
        <v>347</v>
      </c>
      <c r="D29" s="197"/>
      <c r="E29" s="197"/>
      <c r="F29" s="197"/>
      <c r="G29" s="197" t="s">
        <v>484</v>
      </c>
    </row>
    <row r="30" spans="3:36">
      <c r="C30" s="197" t="s">
        <v>620</v>
      </c>
      <c r="D30" s="197"/>
      <c r="E30" s="197"/>
      <c r="F30" s="197"/>
      <c r="G30" s="197">
        <v>8090064</v>
      </c>
    </row>
    <row r="31" spans="3:36">
      <c r="C31" s="197" t="s">
        <v>621</v>
      </c>
      <c r="D31" s="197"/>
      <c r="E31" s="197"/>
      <c r="F31" s="197"/>
      <c r="G31" s="197">
        <v>419790</v>
      </c>
    </row>
    <row r="32" spans="3:36">
      <c r="C32" s="197" t="s">
        <v>592</v>
      </c>
      <c r="D32" s="197"/>
      <c r="E32" s="197"/>
      <c r="F32" s="197"/>
      <c r="G32" s="197">
        <v>147360</v>
      </c>
    </row>
    <row r="33" spans="3:15">
      <c r="C33" s="197" t="s">
        <v>406</v>
      </c>
      <c r="D33" s="197"/>
      <c r="E33" s="197"/>
      <c r="F33" s="197"/>
      <c r="G33" s="197">
        <v>8657214</v>
      </c>
    </row>
    <row r="34" spans="3:15">
      <c r="C34" s="197"/>
      <c r="D34" s="197"/>
      <c r="E34" s="197"/>
      <c r="F34" s="197"/>
      <c r="G34" s="197"/>
      <c r="O34" s="29" t="s">
        <v>408</v>
      </c>
    </row>
    <row r="35" spans="3:15">
      <c r="C35" s="197" t="s">
        <v>407</v>
      </c>
      <c r="D35" s="197"/>
      <c r="E35" s="197"/>
      <c r="F35" s="197"/>
      <c r="G35" s="197" t="s">
        <v>4719</v>
      </c>
      <c r="H35" s="197" t="s">
        <v>4720</v>
      </c>
    </row>
    <row r="36" spans="3:15">
      <c r="C36" s="197" t="s">
        <v>341</v>
      </c>
      <c r="D36" s="197"/>
      <c r="E36" s="197"/>
      <c r="F36" s="197"/>
      <c r="G36" s="197"/>
      <c r="H36" s="197" t="s">
        <v>4721</v>
      </c>
    </row>
    <row r="37" spans="3:15">
      <c r="C37" s="197" t="s">
        <v>4722</v>
      </c>
      <c r="D37" s="197"/>
      <c r="E37" s="197"/>
      <c r="F37" s="197"/>
      <c r="G37" s="197"/>
      <c r="H37" s="197"/>
    </row>
    <row r="38" spans="3:15">
      <c r="C38" s="197" t="s">
        <v>4723</v>
      </c>
      <c r="D38" s="197"/>
      <c r="E38" s="197"/>
      <c r="F38" s="197"/>
      <c r="G38" s="197"/>
      <c r="H38" s="197"/>
    </row>
    <row r="39" spans="3:15">
      <c r="C39" s="197" t="s">
        <v>4724</v>
      </c>
      <c r="D39" s="197"/>
      <c r="E39" s="197"/>
      <c r="F39" s="197"/>
      <c r="G39" s="197"/>
      <c r="H39" s="197"/>
    </row>
    <row r="40" spans="3:15">
      <c r="C40" s="197" t="s">
        <v>542</v>
      </c>
      <c r="D40" s="197"/>
      <c r="E40" s="197"/>
      <c r="F40" s="197"/>
      <c r="G40" s="197">
        <v>4244189.9619052513</v>
      </c>
      <c r="H40" s="197"/>
    </row>
    <row r="41" spans="3:15">
      <c r="C41" s="197" t="s">
        <v>592</v>
      </c>
      <c r="D41" s="197"/>
      <c r="E41" s="197"/>
      <c r="F41" s="197"/>
      <c r="G41" s="197">
        <v>2232000</v>
      </c>
      <c r="H41" s="197"/>
    </row>
    <row r="42" spans="3:15">
      <c r="C42" s="197" t="s">
        <v>4725</v>
      </c>
      <c r="D42" s="197"/>
      <c r="E42" s="197"/>
      <c r="F42" s="197"/>
      <c r="G42" s="197">
        <v>6476189.9619052513</v>
      </c>
      <c r="H42" s="197" t="s">
        <v>4726</v>
      </c>
    </row>
    <row r="43" spans="3:15">
      <c r="C43" s="197" t="s">
        <v>487</v>
      </c>
      <c r="D43" s="197"/>
      <c r="E43" s="197"/>
      <c r="F43" s="197"/>
      <c r="G43" s="197">
        <v>2181024.0380947487</v>
      </c>
    </row>
    <row r="44" spans="3:15">
      <c r="C44" s="197" t="s">
        <v>4716</v>
      </c>
      <c r="D44" s="197"/>
      <c r="E44" s="197"/>
      <c r="F44" s="197"/>
      <c r="G44" s="197">
        <v>0.25193139941957643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6:J20"/>
  <sheetViews>
    <sheetView showGridLines="0" workbookViewId="0">
      <selection activeCell="O9" sqref="O9"/>
    </sheetView>
  </sheetViews>
  <sheetFormatPr defaultRowHeight="10"/>
  <cols>
    <col min="5" max="5" width="24.33203125" customWidth="1"/>
    <col min="6" max="6" width="20.33203125" customWidth="1"/>
    <col min="7" max="7" width="5.77734375" customWidth="1"/>
    <col min="8" max="8" width="20.33203125" customWidth="1"/>
    <col min="9" max="9" width="5.77734375" customWidth="1"/>
    <col min="10" max="10" width="20.33203125" customWidth="1"/>
  </cols>
  <sheetData>
    <row r="6" spans="4:10" s="796" customFormat="1" ht="18.5">
      <c r="D6" s="797" t="s">
        <v>8491</v>
      </c>
      <c r="E6" s="798"/>
      <c r="F6" s="798"/>
      <c r="G6" s="798"/>
      <c r="H6" s="798"/>
      <c r="I6" s="798"/>
      <c r="J6" s="799"/>
    </row>
    <row r="7" spans="4:10" s="796" customFormat="1" ht="12.75" customHeight="1">
      <c r="D7" s="797"/>
      <c r="E7" s="798"/>
      <c r="F7" s="798"/>
      <c r="G7" s="798"/>
      <c r="H7" s="798"/>
      <c r="I7" s="798"/>
      <c r="J7" s="799"/>
    </row>
    <row r="8" spans="4:10" s="796" customFormat="1" ht="18.5">
      <c r="D8" s="800"/>
      <c r="E8" s="801"/>
      <c r="F8" s="802" t="str">
        <f>nmLOB1</f>
        <v>Riverside</v>
      </c>
      <c r="G8" s="803"/>
      <c r="H8" s="802" t="str">
        <f>nmLOB2</f>
        <v>Pleasentville</v>
      </c>
      <c r="I8" s="803"/>
      <c r="J8" s="802" t="s">
        <v>13</v>
      </c>
    </row>
    <row r="9" spans="4:10" s="796" customFormat="1" ht="25.5" customHeight="1">
      <c r="D9" s="804" t="str">
        <f>nmSeg1</f>
        <v>Medicare</v>
      </c>
      <c r="E9" s="805"/>
      <c r="F9" s="806">
        <f>tlOutputfinLOB1Seg1Rev_R0</f>
        <v>5108230</v>
      </c>
      <c r="G9" s="801"/>
      <c r="H9" s="806">
        <f>tlOutputfinLOB2Seg1Rev_R0</f>
        <v>5024051</v>
      </c>
      <c r="I9" s="801"/>
      <c r="J9" s="806">
        <f>tlOutputfinSeg1Rev_R0</f>
        <v>10132281</v>
      </c>
    </row>
    <row r="10" spans="4:10" s="796" customFormat="1" ht="25.5" customHeight="1">
      <c r="D10" s="804" t="str">
        <f>nmSeg2</f>
        <v>PPS</v>
      </c>
      <c r="E10" s="801"/>
      <c r="F10" s="806">
        <f>tlOutputfinLOB1Seg2Rev_R0</f>
        <v>801239</v>
      </c>
      <c r="G10" s="801"/>
      <c r="H10" s="806">
        <f>tlOutputfinLOB2Seg2Rev_R0</f>
        <v>224908</v>
      </c>
      <c r="I10" s="801"/>
      <c r="J10" s="806">
        <f>tlOutputfinSeg2Rev_R0</f>
        <v>1026147</v>
      </c>
    </row>
    <row r="11" spans="4:10" s="796" customFormat="1" ht="25.5" customHeight="1">
      <c r="D11" s="807" t="str">
        <f>nmSeg3</f>
        <v>Other</v>
      </c>
      <c r="E11" s="808"/>
      <c r="F11" s="809">
        <f>tlOutputfinLOB1Seg3Rev_R0</f>
        <v>1687509</v>
      </c>
      <c r="G11" s="808"/>
      <c r="H11" s="809">
        <f>tlOutputfinLOB2Seg3Rev_R0</f>
        <v>80987</v>
      </c>
      <c r="I11" s="808"/>
      <c r="J11" s="809">
        <f>tlOutputfinSeg3Rev_R0</f>
        <v>1768496</v>
      </c>
    </row>
    <row r="12" spans="4:10" s="796" customFormat="1" ht="25.5" customHeight="1">
      <c r="D12" s="810" t="s">
        <v>406</v>
      </c>
      <c r="E12" s="811"/>
      <c r="F12" s="812">
        <f>tlOutputfinLOB1Rev_R0</f>
        <v>7596978</v>
      </c>
      <c r="G12" s="811"/>
      <c r="H12" s="812">
        <f>tlOutputfinLOB2Rev_R0</f>
        <v>5329946</v>
      </c>
      <c r="I12" s="811"/>
      <c r="J12" s="812">
        <f>tlOutputfinRev_R0</f>
        <v>12926924</v>
      </c>
    </row>
    <row r="13" spans="4:10" s="796" customFormat="1" ht="25.5" customHeight="1">
      <c r="D13" s="813" t="s">
        <v>407</v>
      </c>
      <c r="E13" s="801"/>
      <c r="F13" s="806">
        <f>tlOutputfinLOB1ServiceCost_R0</f>
        <v>4225568</v>
      </c>
      <c r="G13" s="801"/>
      <c r="H13" s="806">
        <f>tlOutputfinLOB2ServiceCost_R0</f>
        <v>2437702</v>
      </c>
      <c r="I13" s="801"/>
      <c r="J13" s="806">
        <f>tlOutputfinServiceCost_R0</f>
        <v>6663270</v>
      </c>
    </row>
    <row r="14" spans="4:10" s="796" customFormat="1" ht="25.5" customHeight="1">
      <c r="D14" s="813" t="s">
        <v>341</v>
      </c>
      <c r="E14" s="801"/>
      <c r="F14" s="814">
        <f>tlOutputfinLOB1GrossMargin_R0</f>
        <v>0.44378304109871058</v>
      </c>
      <c r="G14" s="801"/>
      <c r="H14" s="814">
        <f>tlOutputfinLOB2GrossMargin_R0</f>
        <v>0.54264039448054446</v>
      </c>
      <c r="I14" s="801"/>
      <c r="J14" s="814">
        <f>tlOutputfinGrossMargin_R0</f>
        <v>0.4845432679885795</v>
      </c>
    </row>
    <row r="15" spans="4:10" s="796" customFormat="1" ht="25.5" customHeight="1">
      <c r="D15" s="804" t="s">
        <v>4713</v>
      </c>
      <c r="E15" s="801"/>
      <c r="F15" s="806"/>
      <c r="G15" s="801"/>
      <c r="H15" s="806"/>
      <c r="I15" s="801"/>
      <c r="J15" s="806"/>
    </row>
    <row r="16" spans="4:10" s="796" customFormat="1" ht="25.5" customHeight="1">
      <c r="D16" s="804" t="s">
        <v>4714</v>
      </c>
      <c r="E16" s="815"/>
      <c r="F16" s="816">
        <f>tlOutputfinLOB1EmpOverhead_R0</f>
        <v>2378995</v>
      </c>
      <c r="G16" s="801"/>
      <c r="H16" s="816">
        <f>tlOutputfinLOB2EmpOverhead_R0</f>
        <v>1968450</v>
      </c>
      <c r="I16" s="801"/>
      <c r="J16" s="816">
        <f>tlOutputfinEmpOverhead_R0</f>
        <v>4347445</v>
      </c>
    </row>
    <row r="17" spans="4:10" s="796" customFormat="1" ht="25.5" customHeight="1">
      <c r="D17" s="817" t="s">
        <v>4715</v>
      </c>
      <c r="E17" s="818"/>
      <c r="F17" s="819">
        <f>tlOutputfinLOB1TotalExp_R0</f>
        <v>6604563</v>
      </c>
      <c r="G17" s="818"/>
      <c r="H17" s="819">
        <f>tlOutputfinLOB2TotalExp_R0</f>
        <v>4406152</v>
      </c>
      <c r="I17" s="818"/>
      <c r="J17" s="819">
        <f>tlOutputfinTotalExp_R0</f>
        <v>11010715</v>
      </c>
    </row>
    <row r="18" spans="4:10" s="796" customFormat="1" ht="25.5" customHeight="1">
      <c r="D18" s="813" t="s">
        <v>487</v>
      </c>
      <c r="E18" s="801"/>
      <c r="F18" s="806">
        <f>tlOutputfinLOB1OpProfit_R0</f>
        <v>992415</v>
      </c>
      <c r="G18" s="801"/>
      <c r="H18" s="806">
        <f>tlOutputfinLOB2OpProfit_R0</f>
        <v>923794</v>
      </c>
      <c r="I18" s="801"/>
      <c r="J18" s="806">
        <f>tlOutputfinOpProfit_R0</f>
        <v>1916209</v>
      </c>
    </row>
    <row r="19" spans="4:10" s="796" customFormat="1" ht="25.5" customHeight="1">
      <c r="D19" s="813" t="s">
        <v>4716</v>
      </c>
      <c r="E19" s="801"/>
      <c r="F19" s="814">
        <f>tlOutputfinLOB1OpMargin_R0</f>
        <v>0.13063286480492639</v>
      </c>
      <c r="G19" s="801"/>
      <c r="H19" s="814">
        <f>tlOutputfinLOB2OpMargin_R0</f>
        <v>0.17332145578960836</v>
      </c>
      <c r="I19" s="801"/>
      <c r="J19" s="814">
        <f>tlOutputfinOpMargin_R0</f>
        <v>0.14823394954592445</v>
      </c>
    </row>
    <row r="20" spans="4:10" s="796" customFormat="1" ht="14.5"/>
  </sheetData>
  <printOptions horizontalCentered="1"/>
  <pageMargins left="0.7" right="0.7" top="0.75" bottom="0.75" header="0.3" footer="0.3"/>
  <pageSetup orientation="portrait" horizontalDpi="4294967292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/>
  </sheetPr>
  <dimension ref="B1:AH63"/>
  <sheetViews>
    <sheetView showGridLines="0" topLeftCell="A9" zoomScaleNormal="100" workbookViewId="0">
      <selection activeCell="L24" sqref="L24"/>
    </sheetView>
  </sheetViews>
  <sheetFormatPr defaultColWidth="9" defaultRowHeight="15"/>
  <cols>
    <col min="1" max="2" width="2.77734375" style="29" customWidth="1"/>
    <col min="3" max="3" width="24.77734375" style="29" customWidth="1"/>
    <col min="4" max="4" width="1.77734375" style="29" customWidth="1"/>
    <col min="5" max="5" width="80.109375" style="29" customWidth="1"/>
    <col min="6" max="6" width="1.77734375" style="29" customWidth="1"/>
    <col min="7" max="7" width="10.77734375" style="29" customWidth="1"/>
    <col min="8" max="8" width="1.77734375" style="29" customWidth="1"/>
    <col min="9" max="9" width="10.77734375" style="29" customWidth="1"/>
    <col min="10" max="10" width="1.77734375" style="29" customWidth="1"/>
    <col min="11" max="11" width="10.77734375" style="29" customWidth="1"/>
    <col min="12" max="12" width="1.77734375" style="29" customWidth="1"/>
    <col min="13" max="13" width="10.77734375" style="29" customWidth="1"/>
    <col min="14" max="14" width="1.77734375" style="29" customWidth="1"/>
    <col min="15" max="15" width="10.77734375" style="29" customWidth="1"/>
    <col min="16" max="17" width="1.77734375" style="29" customWidth="1"/>
    <col min="18" max="18" width="20.77734375" style="29" customWidth="1"/>
    <col min="19" max="27" width="9" style="29"/>
    <col min="28" max="28" width="21.6640625" style="29" customWidth="1"/>
    <col min="29" max="16384" width="9" style="29"/>
  </cols>
  <sheetData>
    <row r="1" spans="3:29" s="31" customFormat="1" ht="6" customHeight="1">
      <c r="C1" s="285"/>
    </row>
    <row r="2" spans="3:29" s="31" customFormat="1" ht="27" customHeight="1">
      <c r="C2" s="286" t="str">
        <f>xxProgramName</f>
        <v>Care Center Simulation Experience</v>
      </c>
      <c r="T2" s="291" t="s">
        <v>458</v>
      </c>
      <c r="U2" s="288" t="s">
        <v>232</v>
      </c>
    </row>
    <row r="3" spans="3:29" s="32" customFormat="1" ht="20.25" customHeight="1">
      <c r="C3" s="33" t="s">
        <v>235</v>
      </c>
    </row>
    <row r="4" spans="3:29" s="288" customFormat="1" ht="9" customHeight="1"/>
    <row r="5" spans="3:29" s="288" customFormat="1" ht="14.25" customHeight="1">
      <c r="C5" s="295" t="s">
        <v>4338</v>
      </c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</row>
    <row r="6" spans="3:29" s="288" customFormat="1" ht="14.25" customHeight="1"/>
    <row r="7" spans="3:29" s="288" customFormat="1" ht="12" customHeight="1">
      <c r="C7" s="288" t="s">
        <v>4339</v>
      </c>
      <c r="E7" s="292" t="s">
        <v>8416</v>
      </c>
      <c r="F7" s="297" t="s">
        <v>4344</v>
      </c>
    </row>
    <row r="8" spans="3:29" s="288" customFormat="1" ht="12" customHeight="1">
      <c r="C8" s="288" t="s">
        <v>4340</v>
      </c>
      <c r="E8" s="292" t="s">
        <v>8417</v>
      </c>
      <c r="F8" s="297" t="s">
        <v>4345</v>
      </c>
    </row>
    <row r="9" spans="3:29" s="288" customFormat="1" ht="12" customHeight="1">
      <c r="C9" s="288" t="s">
        <v>4341</v>
      </c>
      <c r="E9" s="292" t="s">
        <v>8418</v>
      </c>
      <c r="F9" s="297" t="s">
        <v>4346</v>
      </c>
    </row>
    <row r="10" spans="3:29" s="288" customFormat="1" ht="12" customHeight="1">
      <c r="C10" s="288" t="s">
        <v>4342</v>
      </c>
      <c r="E10" s="292" t="s">
        <v>8419</v>
      </c>
      <c r="F10" s="297" t="s">
        <v>4347</v>
      </c>
    </row>
    <row r="11" spans="3:29" s="288" customFormat="1" ht="12" customHeight="1">
      <c r="C11" s="288" t="s">
        <v>4343</v>
      </c>
      <c r="E11" s="292" t="s">
        <v>4698</v>
      </c>
      <c r="F11" s="297" t="s">
        <v>4348</v>
      </c>
    </row>
    <row r="12" spans="3:29" s="288" customFormat="1" ht="12" customHeight="1">
      <c r="F12" s="297"/>
    </row>
    <row r="13" spans="3:29" s="288" customFormat="1" ht="14.25" customHeight="1">
      <c r="C13" s="295" t="s">
        <v>475</v>
      </c>
      <c r="D13" s="289"/>
      <c r="E13" s="289"/>
      <c r="F13" s="289"/>
      <c r="G13" s="289"/>
      <c r="H13" s="289"/>
      <c r="I13" s="289"/>
      <c r="J13" s="289"/>
      <c r="K13" s="289"/>
      <c r="L13" s="289"/>
      <c r="M13" s="289"/>
      <c r="N13" s="289"/>
      <c r="O13" s="289"/>
      <c r="P13" s="289"/>
    </row>
    <row r="14" spans="3:29" s="288" customFormat="1" ht="14.25" customHeight="1">
      <c r="V14" s="339" t="s">
        <v>4751</v>
      </c>
      <c r="Z14" s="339" t="s">
        <v>4742</v>
      </c>
    </row>
    <row r="15" spans="3:29" s="288" customFormat="1" ht="12" customHeight="1">
      <c r="C15" s="288" t="s">
        <v>571</v>
      </c>
      <c r="E15" s="292">
        <v>0</v>
      </c>
      <c r="F15" s="297" t="s">
        <v>574</v>
      </c>
      <c r="K15" s="329">
        <f>IF(E15=0,0,IF(E15=1,S15,IF(E15=2,T15,U15)))</f>
        <v>0</v>
      </c>
      <c r="L15" s="297" t="s">
        <v>581</v>
      </c>
      <c r="O15" s="288" t="s">
        <v>468</v>
      </c>
      <c r="S15" s="288">
        <v>50</v>
      </c>
      <c r="T15" s="288">
        <v>51</v>
      </c>
      <c r="U15" s="288">
        <v>52</v>
      </c>
      <c r="V15" s="288">
        <f>AND((tlInputReadR1Message1&lt;&gt;0),(tlInputTeamYear=1))*1</f>
        <v>0</v>
      </c>
      <c r="W15" s="288" t="s">
        <v>4752</v>
      </c>
      <c r="Z15" s="288">
        <v>0</v>
      </c>
      <c r="AA15" s="288" t="s">
        <v>4743</v>
      </c>
      <c r="AC15" s="288" t="s">
        <v>4397</v>
      </c>
    </row>
    <row r="16" spans="3:29" s="288" customFormat="1" ht="12" customHeight="1">
      <c r="C16" s="288" t="s">
        <v>466</v>
      </c>
      <c r="E16" s="292">
        <v>0</v>
      </c>
      <c r="F16" s="297" t="s">
        <v>467</v>
      </c>
      <c r="K16" s="329">
        <f>IF(E16=0,0,IF(E16=1,S16,IF(E16=2,T16,U16)))</f>
        <v>0</v>
      </c>
      <c r="L16" s="297" t="s">
        <v>582</v>
      </c>
      <c r="O16" s="288" t="s">
        <v>468</v>
      </c>
      <c r="S16" s="288">
        <v>53</v>
      </c>
      <c r="T16" s="288">
        <v>54</v>
      </c>
      <c r="U16" s="288">
        <v>55</v>
      </c>
      <c r="V16" s="288">
        <f>AND((tlInputReadR1Event1&lt;&gt;0),(tlInputTeamYear=1))*1</f>
        <v>0</v>
      </c>
      <c r="W16" s="288" t="s">
        <v>4753</v>
      </c>
      <c r="Z16" s="288">
        <v>0</v>
      </c>
      <c r="AA16" s="288" t="s">
        <v>4744</v>
      </c>
      <c r="AC16" s="288" t="s">
        <v>4398</v>
      </c>
    </row>
    <row r="17" spans="2:34" s="288" customFormat="1" ht="12" customHeight="1">
      <c r="C17" s="288" t="s">
        <v>469</v>
      </c>
      <c r="E17" s="292">
        <v>0</v>
      </c>
      <c r="F17" s="297" t="s">
        <v>470</v>
      </c>
      <c r="K17" s="329">
        <f>IF(E17=0,0,IF(E17=1,S17,IF(E17=2,T17,U17)))</f>
        <v>0</v>
      </c>
      <c r="L17" s="297" t="s">
        <v>583</v>
      </c>
      <c r="O17" s="288" t="s">
        <v>468</v>
      </c>
      <c r="S17" s="288">
        <v>56</v>
      </c>
      <c r="T17" s="288">
        <v>57</v>
      </c>
      <c r="U17" s="288">
        <v>58</v>
      </c>
      <c r="V17" s="288">
        <f>AND((tlInputReadR1Event2&lt;&gt;0),(tlInputTeamYear=1))*1</f>
        <v>0</v>
      </c>
      <c r="W17" s="288" t="s">
        <v>4754</v>
      </c>
      <c r="Z17" s="288">
        <v>0</v>
      </c>
      <c r="AA17" s="288" t="s">
        <v>4745</v>
      </c>
      <c r="AC17" s="288" t="s">
        <v>4399</v>
      </c>
      <c r="AH17" s="288" t="s">
        <v>4352</v>
      </c>
    </row>
    <row r="18" spans="2:34" s="288" customFormat="1" ht="12" customHeight="1">
      <c r="B18" s="719"/>
      <c r="C18" s="719" t="s">
        <v>572</v>
      </c>
      <c r="D18" s="719"/>
      <c r="E18" s="720">
        <v>0</v>
      </c>
      <c r="F18" s="721" t="s">
        <v>575</v>
      </c>
      <c r="G18" s="719"/>
      <c r="H18" s="719"/>
      <c r="I18" s="719"/>
      <c r="J18" s="719"/>
      <c r="K18" s="719">
        <f>IF(E18=0,0,IF(E18=1,S18,IF(E18=2,T18,U18)))</f>
        <v>0</v>
      </c>
      <c r="L18" s="721" t="s">
        <v>584</v>
      </c>
      <c r="M18" s="719"/>
      <c r="N18" s="719"/>
      <c r="O18" s="719" t="s">
        <v>468</v>
      </c>
      <c r="P18" s="719"/>
      <c r="Q18" s="719"/>
      <c r="R18" s="719"/>
      <c r="S18" s="719"/>
      <c r="T18" s="719"/>
      <c r="U18" s="719"/>
      <c r="V18" s="719">
        <f>AND((tlInputReadR1Event3&lt;&gt;0),(tlInputTeamYear=1))*1</f>
        <v>0</v>
      </c>
      <c r="W18" s="719" t="s">
        <v>4755</v>
      </c>
      <c r="X18" s="719"/>
      <c r="Y18" s="719"/>
      <c r="Z18" s="719">
        <v>0</v>
      </c>
      <c r="AA18" s="719" t="s">
        <v>4746</v>
      </c>
      <c r="AB18" s="719"/>
    </row>
    <row r="19" spans="2:34" s="288" customFormat="1" ht="12" customHeight="1">
      <c r="F19" s="297"/>
      <c r="L19" s="297"/>
      <c r="V19" s="288">
        <f>(tlInputTeamYear=1)*1</f>
        <v>1</v>
      </c>
      <c r="W19" s="288" t="s">
        <v>4900</v>
      </c>
      <c r="Z19" s="288">
        <v>0</v>
      </c>
      <c r="AA19" s="288" t="s">
        <v>4901</v>
      </c>
    </row>
    <row r="20" spans="2:34" s="288" customFormat="1" ht="12" customHeight="1">
      <c r="C20" s="288" t="s">
        <v>571</v>
      </c>
      <c r="E20" s="292">
        <v>0</v>
      </c>
      <c r="F20" s="297" t="s">
        <v>4649</v>
      </c>
      <c r="L20" s="297"/>
    </row>
    <row r="21" spans="2:34" s="288" customFormat="1" ht="12" customHeight="1">
      <c r="C21" s="288" t="s">
        <v>466</v>
      </c>
      <c r="E21" s="292">
        <v>0</v>
      </c>
      <c r="F21" s="297" t="s">
        <v>4650</v>
      </c>
      <c r="L21" s="297"/>
      <c r="S21" s="288">
        <f>(tlInputReadR1Event3&lt;&gt;0)*1</f>
        <v>0</v>
      </c>
      <c r="T21" s="288" t="s">
        <v>7824</v>
      </c>
    </row>
    <row r="22" spans="2:34" s="288" customFormat="1" ht="12" customHeight="1">
      <c r="C22" s="288" t="s">
        <v>469</v>
      </c>
      <c r="E22" s="292">
        <v>0</v>
      </c>
      <c r="F22" s="297" t="s">
        <v>4651</v>
      </c>
      <c r="L22" s="297"/>
      <c r="S22" s="288">
        <v>0</v>
      </c>
      <c r="T22" s="288" t="s">
        <v>8363</v>
      </c>
    </row>
    <row r="23" spans="2:34" s="288" customFormat="1" ht="12" customHeight="1">
      <c r="C23" s="288" t="s">
        <v>572</v>
      </c>
      <c r="E23" s="292">
        <v>0</v>
      </c>
      <c r="F23" s="297" t="s">
        <v>4652</v>
      </c>
      <c r="L23" s="297"/>
    </row>
    <row r="24" spans="2:34" s="288" customFormat="1" ht="12" customHeight="1">
      <c r="F24" s="297"/>
      <c r="L24" s="297"/>
    </row>
    <row r="25" spans="2:34" s="288" customFormat="1" ht="14.25" customHeight="1">
      <c r="C25" s="295" t="s">
        <v>476</v>
      </c>
      <c r="D25" s="289"/>
      <c r="E25" s="289"/>
      <c r="F25" s="298"/>
      <c r="G25" s="289"/>
      <c r="H25" s="289"/>
      <c r="I25" s="289"/>
      <c r="J25" s="289"/>
      <c r="K25" s="289"/>
      <c r="L25" s="298"/>
      <c r="M25" s="289"/>
      <c r="N25" s="289"/>
      <c r="P25" s="289"/>
    </row>
    <row r="26" spans="2:34" s="288" customFormat="1" ht="12" customHeight="1">
      <c r="F26" s="297"/>
      <c r="L26" s="297"/>
    </row>
    <row r="27" spans="2:34" s="288" customFormat="1" ht="12" customHeight="1">
      <c r="C27" s="288" t="s">
        <v>571</v>
      </c>
      <c r="E27" s="292">
        <v>0</v>
      </c>
      <c r="F27" s="297" t="s">
        <v>576</v>
      </c>
      <c r="K27" s="329">
        <f>IF(E27=0,0,IF(E27=1,S27,IF(E27=2,T27,U27)))</f>
        <v>0</v>
      </c>
      <c r="L27" s="297" t="s">
        <v>585</v>
      </c>
      <c r="O27" s="288" t="s">
        <v>468</v>
      </c>
      <c r="S27" s="288">
        <v>59</v>
      </c>
      <c r="T27" s="288">
        <v>60</v>
      </c>
      <c r="U27" s="288">
        <v>61</v>
      </c>
      <c r="V27" s="288">
        <f>AND((tlInputReadR2Message1&lt;&gt;0),(tlInputTeamYear=2))*1</f>
        <v>0</v>
      </c>
      <c r="W27" s="288" t="s">
        <v>4757</v>
      </c>
      <c r="Z27" s="288">
        <v>0</v>
      </c>
      <c r="AA27" s="288" t="s">
        <v>4747</v>
      </c>
    </row>
    <row r="28" spans="2:34" s="288" customFormat="1" ht="12" customHeight="1">
      <c r="C28" s="288" t="s">
        <v>466</v>
      </c>
      <c r="E28" s="292">
        <v>0</v>
      </c>
      <c r="F28" s="297" t="s">
        <v>577</v>
      </c>
      <c r="K28" s="329">
        <f>IF(E28=0,0,IF(E28=1,S28,IF(E28=2,T28,U28)))</f>
        <v>0</v>
      </c>
      <c r="L28" s="297" t="s">
        <v>586</v>
      </c>
      <c r="O28" s="288" t="s">
        <v>468</v>
      </c>
      <c r="S28" s="288">
        <v>62</v>
      </c>
      <c r="T28" s="288">
        <v>63</v>
      </c>
      <c r="U28" s="288">
        <v>64</v>
      </c>
      <c r="V28" s="288">
        <f>AND((tlInputReadR2Event1&lt;&gt;0),(tlInputTeamYear=2))*1</f>
        <v>0</v>
      </c>
      <c r="W28" s="288" t="s">
        <v>4758</v>
      </c>
      <c r="Z28" s="288">
        <v>0</v>
      </c>
      <c r="AA28" s="288" t="s">
        <v>4748</v>
      </c>
    </row>
    <row r="29" spans="2:34" s="288" customFormat="1" ht="12" customHeight="1">
      <c r="C29" s="288" t="s">
        <v>469</v>
      </c>
      <c r="E29" s="292">
        <v>0</v>
      </c>
      <c r="F29" s="297" t="s">
        <v>578</v>
      </c>
      <c r="K29" s="329">
        <f t="shared" ref="K29:K31" si="0">IF(E29=0,0,IF(E29=1,S29,IF(E29=2,T29,U29)))</f>
        <v>0</v>
      </c>
      <c r="L29" s="297" t="s">
        <v>587</v>
      </c>
      <c r="O29" s="288" t="s">
        <v>468</v>
      </c>
      <c r="S29" s="288">
        <v>65</v>
      </c>
      <c r="T29" s="288">
        <v>66</v>
      </c>
      <c r="U29" s="288">
        <v>67</v>
      </c>
      <c r="V29" s="288">
        <f>AND((tlInputReadR2Event2&lt;&gt;0),(tlInputTeamYear=2))*1</f>
        <v>0</v>
      </c>
      <c r="W29" s="288" t="s">
        <v>4759</v>
      </c>
      <c r="Z29" s="288">
        <v>0</v>
      </c>
      <c r="AA29" s="288" t="s">
        <v>4749</v>
      </c>
    </row>
    <row r="30" spans="2:34" s="288" customFormat="1" ht="12" customHeight="1">
      <c r="C30" s="288" t="s">
        <v>572</v>
      </c>
      <c r="E30" s="292">
        <v>0</v>
      </c>
      <c r="F30" s="297" t="s">
        <v>579</v>
      </c>
      <c r="K30" s="329">
        <f t="shared" si="0"/>
        <v>0</v>
      </c>
      <c r="L30" s="297" t="s">
        <v>588</v>
      </c>
      <c r="O30" s="288" t="s">
        <v>468</v>
      </c>
      <c r="S30" s="288">
        <v>68</v>
      </c>
      <c r="T30" s="288">
        <v>69</v>
      </c>
      <c r="U30" s="288">
        <v>70</v>
      </c>
      <c r="V30" s="288">
        <f>AND((tlInputReadR2Event3&lt;&gt;0),(tlInputTeamYear=2))*1</f>
        <v>0</v>
      </c>
      <c r="W30" s="288" t="s">
        <v>4760</v>
      </c>
      <c r="Z30" s="288">
        <v>0</v>
      </c>
      <c r="AA30" s="288" t="s">
        <v>4750</v>
      </c>
    </row>
    <row r="31" spans="2:34" s="288" customFormat="1" ht="12" customHeight="1">
      <c r="C31" s="288" t="s">
        <v>573</v>
      </c>
      <c r="E31" s="292">
        <v>0</v>
      </c>
      <c r="F31" s="297" t="s">
        <v>580</v>
      </c>
      <c r="K31" s="329">
        <f t="shared" si="0"/>
        <v>0</v>
      </c>
      <c r="L31" s="297" t="s">
        <v>589</v>
      </c>
      <c r="O31" s="288" t="s">
        <v>468</v>
      </c>
      <c r="S31" s="288">
        <v>71</v>
      </c>
      <c r="T31" s="288">
        <v>72</v>
      </c>
      <c r="U31" s="288">
        <v>73</v>
      </c>
      <c r="V31" s="288">
        <f>AND((tlInputReadR2Event4&lt;&gt;0),(tlInputTeamYear=2))*1</f>
        <v>0</v>
      </c>
      <c r="W31" s="288" t="s">
        <v>4904</v>
      </c>
      <c r="Z31" s="288">
        <v>0</v>
      </c>
      <c r="AA31" s="288" t="s">
        <v>4905</v>
      </c>
    </row>
    <row r="32" spans="2:34" s="288" customFormat="1" ht="12" customHeight="1">
      <c r="F32" s="297"/>
      <c r="V32" s="288">
        <f>(tlInputTeamYear=2)*1</f>
        <v>0</v>
      </c>
      <c r="W32" s="288" t="s">
        <v>4902</v>
      </c>
      <c r="Z32" s="288">
        <v>0</v>
      </c>
      <c r="AA32" s="288" t="s">
        <v>4903</v>
      </c>
    </row>
    <row r="33" spans="3:28" s="288" customFormat="1" ht="12" customHeight="1">
      <c r="C33" s="288" t="s">
        <v>571</v>
      </c>
      <c r="E33" s="292">
        <v>0</v>
      </c>
      <c r="F33" s="297" t="s">
        <v>4653</v>
      </c>
    </row>
    <row r="34" spans="3:28" s="288" customFormat="1" ht="12" customHeight="1">
      <c r="C34" s="288" t="s">
        <v>466</v>
      </c>
      <c r="E34" s="292">
        <v>0</v>
      </c>
      <c r="F34" s="297" t="s">
        <v>4654</v>
      </c>
    </row>
    <row r="35" spans="3:28" s="288" customFormat="1" ht="12" customHeight="1">
      <c r="C35" s="288" t="s">
        <v>469</v>
      </c>
      <c r="E35" s="292">
        <v>0</v>
      </c>
      <c r="F35" s="297" t="s">
        <v>4655</v>
      </c>
      <c r="S35" s="288">
        <f>(tlInputReadR2Event5&lt;&gt;0)*1</f>
        <v>0</v>
      </c>
      <c r="T35" s="288" t="s">
        <v>7825</v>
      </c>
    </row>
    <row r="36" spans="3:28" s="288" customFormat="1" ht="12" customHeight="1">
      <c r="C36" s="288" t="s">
        <v>572</v>
      </c>
      <c r="E36" s="292">
        <v>0</v>
      </c>
      <c r="F36" s="297" t="s">
        <v>4656</v>
      </c>
      <c r="S36" s="288">
        <v>0</v>
      </c>
      <c r="T36" s="288" t="s">
        <v>8364</v>
      </c>
    </row>
    <row r="37" spans="3:28" s="288" customFormat="1" ht="12" customHeight="1">
      <c r="C37" s="288" t="s">
        <v>573</v>
      </c>
      <c r="E37" s="292">
        <v>0</v>
      </c>
      <c r="F37" s="297" t="s">
        <v>4657</v>
      </c>
    </row>
    <row r="38" spans="3:28" s="288" customFormat="1" ht="12" customHeight="1">
      <c r="F38" s="297"/>
    </row>
    <row r="39" spans="3:28" s="288" customFormat="1" ht="12" customHeight="1">
      <c r="F39" s="297"/>
    </row>
    <row r="40" spans="3:28" s="30" customFormat="1" ht="15" customHeight="1"/>
    <row r="41" spans="3:28" s="30" customFormat="1" ht="15" customHeight="1"/>
    <row r="42" spans="3:28" ht="22" customHeight="1"/>
    <row r="43" spans="3:28" ht="22" customHeight="1"/>
    <row r="44" spans="3:28" ht="22" customHeight="1">
      <c r="M44" s="296"/>
    </row>
    <row r="45" spans="3:28">
      <c r="M45" s="296"/>
    </row>
    <row r="46" spans="3:28">
      <c r="M46" s="296"/>
      <c r="O46" s="577"/>
      <c r="P46" s="577"/>
      <c r="Q46" s="577"/>
      <c r="R46" s="577"/>
      <c r="S46" s="577"/>
      <c r="T46" s="577"/>
      <c r="U46" s="577"/>
      <c r="V46" s="577"/>
      <c r="W46" s="577"/>
      <c r="X46" s="577"/>
      <c r="Y46" s="577"/>
      <c r="Z46" s="577"/>
      <c r="AA46" s="577"/>
      <c r="AB46" s="577"/>
    </row>
    <row r="47" spans="3:28">
      <c r="O47" s="577"/>
      <c r="P47" s="577"/>
      <c r="Q47" s="577"/>
      <c r="R47" s="577"/>
      <c r="S47" s="577"/>
      <c r="T47" s="577"/>
      <c r="U47" s="577"/>
      <c r="V47" s="577"/>
      <c r="W47" s="577"/>
      <c r="X47" s="577"/>
      <c r="Y47" s="577"/>
      <c r="Z47" s="577"/>
      <c r="AA47" s="577"/>
      <c r="AB47" s="577"/>
    </row>
    <row r="48" spans="3:28">
      <c r="O48" s="577"/>
      <c r="P48" s="577"/>
      <c r="Q48" s="577"/>
      <c r="R48" s="577"/>
      <c r="S48" s="542"/>
      <c r="T48" s="542"/>
      <c r="U48" s="577"/>
      <c r="V48" s="577"/>
      <c r="W48" s="577"/>
      <c r="X48" s="577"/>
      <c r="Y48" s="577"/>
      <c r="Z48" s="577"/>
      <c r="AA48" s="577"/>
      <c r="AB48" s="577"/>
    </row>
    <row r="49" spans="15:28">
      <c r="O49" s="577"/>
      <c r="P49" s="577"/>
      <c r="Q49" s="577"/>
      <c r="R49" s="577"/>
      <c r="S49" s="542"/>
      <c r="T49" s="542"/>
      <c r="U49" s="577"/>
      <c r="V49" s="577"/>
      <c r="W49" s="577"/>
      <c r="X49" s="577"/>
      <c r="Y49" s="577"/>
      <c r="Z49" s="577"/>
      <c r="AA49" s="577"/>
      <c r="AB49" s="577"/>
    </row>
    <row r="50" spans="15:28">
      <c r="S50" s="288"/>
      <c r="T50" s="288"/>
    </row>
    <row r="51" spans="15:28">
      <c r="S51" s="288"/>
      <c r="T51" s="288"/>
    </row>
    <row r="52" spans="15:28">
      <c r="S52" s="288"/>
      <c r="T52" s="288"/>
    </row>
    <row r="53" spans="15:28">
      <c r="S53" s="288"/>
      <c r="T53" s="288"/>
    </row>
    <row r="54" spans="15:28">
      <c r="S54" s="288"/>
      <c r="T54" s="288"/>
    </row>
    <row r="55" spans="15:28">
      <c r="S55" s="288"/>
      <c r="T55" s="288"/>
    </row>
    <row r="56" spans="15:28">
      <c r="S56" s="288"/>
      <c r="T56" s="288"/>
    </row>
    <row r="57" spans="15:28">
      <c r="S57" s="288"/>
      <c r="T57" s="288"/>
    </row>
    <row r="59" spans="15:28">
      <c r="S59" s="288"/>
      <c r="T59" s="288"/>
    </row>
    <row r="60" spans="15:28">
      <c r="S60" s="288"/>
      <c r="T60" s="288"/>
    </row>
    <row r="61" spans="15:28">
      <c r="S61" s="288"/>
      <c r="T61" s="288"/>
    </row>
    <row r="62" spans="15:28">
      <c r="S62" s="288"/>
      <c r="T62" s="288"/>
    </row>
    <row r="63" spans="15:28">
      <c r="S63" s="329">
        <f>IF(tlInputR1Event3=1,20,23)</f>
        <v>23</v>
      </c>
      <c r="T63" s="288" t="s">
        <v>468</v>
      </c>
    </row>
  </sheetData>
  <sheetProtection selectLockedCells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P434"/>
  <sheetViews>
    <sheetView topLeftCell="A28" workbookViewId="0">
      <selection activeCell="A50" sqref="A50"/>
    </sheetView>
  </sheetViews>
  <sheetFormatPr defaultColWidth="9.33203125" defaultRowHeight="10"/>
  <cols>
    <col min="1" max="1" width="41.77734375" style="63" customWidth="1"/>
    <col min="2" max="3" width="2.77734375" style="63" customWidth="1"/>
    <col min="4" max="4" width="12.33203125" style="63" customWidth="1"/>
    <col min="5" max="7" width="14.6640625" style="159" customWidth="1"/>
    <col min="8" max="8" width="28.44140625" style="63" customWidth="1"/>
    <col min="9" max="9" width="13.109375" style="63" customWidth="1"/>
    <col min="10" max="10" width="11.6640625" style="63" customWidth="1"/>
    <col min="11" max="13" width="14.33203125" style="63" customWidth="1"/>
    <col min="14" max="16384" width="9.33203125" style="63"/>
  </cols>
  <sheetData>
    <row r="1" spans="1:16" s="61" customFormat="1" ht="10.5">
      <c r="A1" s="134" t="s">
        <v>193</v>
      </c>
      <c r="E1" s="176"/>
      <c r="F1" s="176"/>
      <c r="G1" s="176"/>
    </row>
    <row r="2" spans="1:16" s="83" customFormat="1" ht="12.75" customHeight="1">
      <c r="C2" s="135"/>
      <c r="E2" s="177"/>
      <c r="F2" s="320"/>
      <c r="G2" s="177"/>
    </row>
    <row r="3" spans="1:16" s="83" customFormat="1">
      <c r="B3" s="83" t="s">
        <v>138</v>
      </c>
      <c r="D3" s="136" t="s">
        <v>123</v>
      </c>
      <c r="E3" s="177"/>
      <c r="F3" s="321"/>
      <c r="G3" s="177"/>
    </row>
    <row r="4" spans="1:16" ht="12" customHeight="1">
      <c r="B4" s="138"/>
    </row>
    <row r="5" spans="1:16" s="70" customFormat="1">
      <c r="C5" s="71"/>
      <c r="D5" s="71"/>
      <c r="E5" s="179"/>
      <c r="F5" s="179"/>
      <c r="G5" s="179"/>
    </row>
    <row r="7" spans="1:16" ht="10.5">
      <c r="B7" s="67" t="s">
        <v>136</v>
      </c>
    </row>
    <row r="8" spans="1:16">
      <c r="B8" s="139"/>
      <c r="C8" s="73" t="s">
        <v>110</v>
      </c>
    </row>
    <row r="9" spans="1:16">
      <c r="B9" s="141"/>
      <c r="C9" s="73" t="s">
        <v>107</v>
      </c>
    </row>
    <row r="10" spans="1:16">
      <c r="B10" s="142"/>
      <c r="C10" s="73" t="s">
        <v>164</v>
      </c>
      <c r="E10" s="322"/>
    </row>
    <row r="12" spans="1:16" s="61" customFormat="1">
      <c r="A12" s="61" t="s">
        <v>227</v>
      </c>
      <c r="E12" s="176" t="s">
        <v>162</v>
      </c>
      <c r="F12" s="176" t="s">
        <v>161</v>
      </c>
      <c r="G12" s="176" t="s">
        <v>160</v>
      </c>
      <c r="K12" s="176" t="s">
        <v>162</v>
      </c>
      <c r="L12" s="176" t="s">
        <v>161</v>
      </c>
      <c r="M12" s="176" t="s">
        <v>160</v>
      </c>
    </row>
    <row r="13" spans="1:16" s="70" customFormat="1" ht="11.5">
      <c r="A13" s="386" t="s">
        <v>473</v>
      </c>
      <c r="B13" s="386"/>
      <c r="C13" s="386"/>
      <c r="D13" s="386"/>
      <c r="E13" s="386"/>
      <c r="F13" s="386"/>
      <c r="G13" s="386"/>
      <c r="H13" s="386"/>
      <c r="I13" s="386"/>
      <c r="J13" s="645" t="s">
        <v>474</v>
      </c>
      <c r="K13" s="377"/>
      <c r="L13" s="377"/>
      <c r="M13" s="377"/>
      <c r="N13" s="377"/>
      <c r="O13" s="377"/>
      <c r="P13" s="377"/>
    </row>
    <row r="14" spans="1:16">
      <c r="E14" s="325"/>
      <c r="F14" s="325"/>
      <c r="G14" s="325"/>
      <c r="H14" s="63" t="s">
        <v>226</v>
      </c>
      <c r="K14" s="325">
        <f>cbal!E14</f>
        <v>0</v>
      </c>
      <c r="L14" s="325">
        <f>cbal!F14</f>
        <v>0</v>
      </c>
      <c r="M14" s="325">
        <f>cbal!G14</f>
        <v>0</v>
      </c>
      <c r="N14" s="63" t="s">
        <v>5214</v>
      </c>
    </row>
    <row r="15" spans="1:16">
      <c r="A15" s="332" t="s">
        <v>347</v>
      </c>
      <c r="D15" s="640">
        <f>E46+E248</f>
        <v>12684353.5</v>
      </c>
      <c r="E15" s="730">
        <v>12684353.5</v>
      </c>
      <c r="F15" s="730">
        <v>14202531</v>
      </c>
      <c r="G15" s="730">
        <v>13669275</v>
      </c>
      <c r="H15" s="8" t="s">
        <v>3340</v>
      </c>
      <c r="I15" s="131" t="b">
        <f t="shared" ref="I15:I79" si="0">MAX(E15:G15)=MIN(E15:G15)</f>
        <v>0</v>
      </c>
      <c r="J15" s="640">
        <f>K46+K248</f>
        <v>12795324</v>
      </c>
      <c r="K15" s="513">
        <f>cbal!E15</f>
        <v>12795324</v>
      </c>
      <c r="L15" s="513">
        <f>cbal!F15</f>
        <v>14202531</v>
      </c>
      <c r="M15" s="513">
        <f>cbal!G15</f>
        <v>13669275</v>
      </c>
      <c r="N15" s="8" t="s">
        <v>5215</v>
      </c>
      <c r="O15" s="131" t="b">
        <f t="shared" ref="O15:O79" si="1">MAX(K15:M15)=MIN(K15:M15)</f>
        <v>0</v>
      </c>
    </row>
    <row r="16" spans="1:16">
      <c r="A16" s="332" t="s">
        <v>486</v>
      </c>
      <c r="E16" s="514">
        <v>0</v>
      </c>
      <c r="F16" s="514">
        <v>0</v>
      </c>
      <c r="G16" s="514">
        <v>0</v>
      </c>
      <c r="H16" s="8" t="s">
        <v>3341</v>
      </c>
      <c r="I16" s="131" t="b">
        <f t="shared" si="0"/>
        <v>1</v>
      </c>
      <c r="K16" s="514">
        <f>cbal!E16</f>
        <v>8.7486130057792266E-3</v>
      </c>
      <c r="L16" s="514">
        <f>cbal!F16</f>
        <v>0</v>
      </c>
      <c r="M16" s="514">
        <f>cbal!G16</f>
        <v>0</v>
      </c>
      <c r="N16" s="8" t="s">
        <v>5216</v>
      </c>
      <c r="O16" s="131" t="b">
        <f t="shared" si="1"/>
        <v>0</v>
      </c>
    </row>
    <row r="17" spans="1:15" s="8" customFormat="1">
      <c r="A17" s="332" t="s">
        <v>488</v>
      </c>
      <c r="E17" s="519">
        <f>(calcLOB1Stars*calcLOB1Patients+calcLOB2Stars*calcLOB2Patients)/(calcLOB1Patients+calcLOB2Patients)</f>
        <v>0.72786859688195993</v>
      </c>
      <c r="F17" s="519">
        <f>(calcLOB1Stars*calcLOB1Patients+calcLOB2Stars*calcLOB2Patients)/(calcLOB1Patients+calcLOB2Patients)</f>
        <v>0.80117245508982038</v>
      </c>
      <c r="G17" s="519">
        <f>(calcLOB1Stars*calcLOB1Patients+calcLOB2Stars*calcLOB2Patients)/(calcLOB1Patients+calcLOB2Patients)</f>
        <v>0.75818935281837141</v>
      </c>
      <c r="H17" s="131" t="s">
        <v>3345</v>
      </c>
      <c r="I17" s="131" t="b">
        <f t="shared" si="0"/>
        <v>0</v>
      </c>
      <c r="K17" s="519">
        <f>cbal!E17</f>
        <v>0.72786859688195993</v>
      </c>
      <c r="L17" s="519">
        <f>cbal!F17</f>
        <v>0.80117245508982038</v>
      </c>
      <c r="M17" s="519">
        <f>cbal!G17</f>
        <v>0.75818935281837141</v>
      </c>
      <c r="N17" s="131" t="s">
        <v>5217</v>
      </c>
      <c r="O17" s="131" t="b">
        <f t="shared" si="1"/>
        <v>0</v>
      </c>
    </row>
    <row r="18" spans="1:15">
      <c r="A18" s="8" t="s">
        <v>489</v>
      </c>
      <c r="E18" s="514">
        <f>(obalLOB1ESAT+obalLOB2ESAT)/2</f>
        <v>0.7</v>
      </c>
      <c r="F18" s="514">
        <f>(obalLOB1ESAT+obalLOB2ESAT)/2</f>
        <v>0.7</v>
      </c>
      <c r="G18" s="514">
        <f>(obalLOB1ESAT+obalLOB2ESAT)/2</f>
        <v>0.7</v>
      </c>
      <c r="H18" s="482" t="s">
        <v>3349</v>
      </c>
      <c r="I18" s="131" t="b">
        <f t="shared" si="0"/>
        <v>1</v>
      </c>
      <c r="K18" s="514">
        <f>cbal!E18</f>
        <v>0.7</v>
      </c>
      <c r="L18" s="514">
        <f>cbal!F18</f>
        <v>0.74275000000000002</v>
      </c>
      <c r="M18" s="514">
        <f>cbal!G18</f>
        <v>0.72324999999999995</v>
      </c>
      <c r="N18" s="482" t="s">
        <v>5218</v>
      </c>
      <c r="O18" s="131" t="b">
        <f t="shared" si="1"/>
        <v>0</v>
      </c>
    </row>
    <row r="19" spans="1:15">
      <c r="A19" s="8" t="s">
        <v>3346</v>
      </c>
      <c r="E19" s="520">
        <v>0.84</v>
      </c>
      <c r="F19" s="520">
        <v>0.84</v>
      </c>
      <c r="G19" s="520">
        <v>0.84</v>
      </c>
      <c r="H19" s="482" t="s">
        <v>3350</v>
      </c>
      <c r="I19" s="131" t="b">
        <f t="shared" si="0"/>
        <v>1</v>
      </c>
      <c r="K19" s="520">
        <f>cbal!E19</f>
        <v>0.76669554565701548</v>
      </c>
      <c r="L19" s="520">
        <f>cbal!F19</f>
        <v>0.80836485029940119</v>
      </c>
      <c r="M19" s="520">
        <f>cbal!G19</f>
        <v>0.75397217118997917</v>
      </c>
      <c r="N19" s="482" t="s">
        <v>5219</v>
      </c>
      <c r="O19" s="131" t="b">
        <f t="shared" si="1"/>
        <v>0</v>
      </c>
    </row>
    <row r="20" spans="1:15">
      <c r="E20" s="325"/>
      <c r="F20" s="325"/>
      <c r="G20" s="325"/>
      <c r="I20" s="131" t="b">
        <f t="shared" si="0"/>
        <v>1</v>
      </c>
      <c r="K20" s="325">
        <f>cbal!E20</f>
        <v>0</v>
      </c>
      <c r="L20" s="325">
        <f>cbal!F20</f>
        <v>0</v>
      </c>
      <c r="M20" s="325">
        <f>cbal!G20</f>
        <v>0</v>
      </c>
      <c r="O20" s="131" t="b">
        <f t="shared" si="1"/>
        <v>1</v>
      </c>
    </row>
    <row r="21" spans="1:15" s="170" customFormat="1" ht="14.25" customHeight="1">
      <c r="A21" s="87" t="str">
        <f>nmLOB1</f>
        <v>Riverside</v>
      </c>
      <c r="E21" s="326"/>
      <c r="F21" s="326"/>
      <c r="G21" s="326"/>
      <c r="I21" s="131" t="b">
        <f t="shared" si="0"/>
        <v>1</v>
      </c>
      <c r="K21" s="326">
        <f>cbal!E21</f>
        <v>0</v>
      </c>
      <c r="L21" s="326">
        <f>cbal!F21</f>
        <v>0</v>
      </c>
      <c r="M21" s="326">
        <f>cbal!G21</f>
        <v>0</v>
      </c>
      <c r="O21" s="131" t="b">
        <f t="shared" si="1"/>
        <v>1</v>
      </c>
    </row>
    <row r="22" spans="1:15">
      <c r="A22" s="63" t="str">
        <f>nmSeg1</f>
        <v>Medicare</v>
      </c>
      <c r="E22" s="440">
        <v>0.57999999999999996</v>
      </c>
      <c r="F22" s="440">
        <v>0.57999999999999996</v>
      </c>
      <c r="G22" s="440">
        <v>0.57999999999999996</v>
      </c>
      <c r="H22" s="8" t="s">
        <v>715</v>
      </c>
      <c r="I22" s="131" t="b">
        <f t="shared" si="0"/>
        <v>1</v>
      </c>
      <c r="K22" s="440">
        <f>cbal!E22</f>
        <v>0.57999999999999996</v>
      </c>
      <c r="L22" s="440">
        <f>cbal!F22</f>
        <v>0.57999999999999996</v>
      </c>
      <c r="M22" s="440">
        <f>cbal!G22</f>
        <v>0.57999999999999996</v>
      </c>
      <c r="N22" s="8" t="s">
        <v>5220</v>
      </c>
      <c r="O22" s="131" t="b">
        <f t="shared" si="1"/>
        <v>1</v>
      </c>
    </row>
    <row r="23" spans="1:15">
      <c r="A23" s="63" t="str">
        <f>nmSeg2</f>
        <v>PPS</v>
      </c>
      <c r="E23" s="440">
        <v>0.1</v>
      </c>
      <c r="F23" s="440">
        <v>0.1</v>
      </c>
      <c r="G23" s="440">
        <v>0.1</v>
      </c>
      <c r="H23" s="8" t="s">
        <v>716</v>
      </c>
      <c r="I23" s="131" t="b">
        <f t="shared" si="0"/>
        <v>1</v>
      </c>
      <c r="K23" s="440">
        <f>cbal!E23</f>
        <v>0.1</v>
      </c>
      <c r="L23" s="440">
        <f>cbal!F23</f>
        <v>0.1</v>
      </c>
      <c r="M23" s="440">
        <f>cbal!G23</f>
        <v>0.1</v>
      </c>
      <c r="N23" s="8" t="s">
        <v>5221</v>
      </c>
      <c r="O23" s="131" t="b">
        <f t="shared" si="1"/>
        <v>1</v>
      </c>
    </row>
    <row r="24" spans="1:15">
      <c r="A24" s="63" t="str">
        <f>nmSeg3</f>
        <v>Other</v>
      </c>
      <c r="E24" s="440">
        <v>0.32</v>
      </c>
      <c r="F24" s="440">
        <v>0.32</v>
      </c>
      <c r="G24" s="440">
        <v>0.32</v>
      </c>
      <c r="H24" s="8" t="s">
        <v>717</v>
      </c>
      <c r="I24" s="131" t="b">
        <f t="shared" si="0"/>
        <v>1</v>
      </c>
      <c r="K24" s="440">
        <f>cbal!E24</f>
        <v>0.32</v>
      </c>
      <c r="L24" s="440">
        <f>cbal!F24</f>
        <v>0.32</v>
      </c>
      <c r="M24" s="440">
        <f>cbal!G24</f>
        <v>0.32</v>
      </c>
      <c r="N24" s="8" t="s">
        <v>5222</v>
      </c>
      <c r="O24" s="131" t="b">
        <f t="shared" si="1"/>
        <v>1</v>
      </c>
    </row>
    <row r="25" spans="1:15">
      <c r="A25" s="157" t="str">
        <f>nmEmp1 &amp; " Visits Per Episode"</f>
        <v>Skilled Nursing Visits Per Episode</v>
      </c>
      <c r="E25" s="441">
        <v>6.8</v>
      </c>
      <c r="F25" s="441">
        <v>6.8</v>
      </c>
      <c r="G25" s="441">
        <v>6.8</v>
      </c>
      <c r="H25" s="8" t="s">
        <v>718</v>
      </c>
      <c r="I25" s="131" t="b">
        <f t="shared" si="0"/>
        <v>1</v>
      </c>
      <c r="K25" s="441">
        <f>cbal!E25</f>
        <v>6.8</v>
      </c>
      <c r="L25" s="441">
        <f>cbal!F25</f>
        <v>6.8</v>
      </c>
      <c r="M25" s="441">
        <f>cbal!G25</f>
        <v>6.8</v>
      </c>
      <c r="N25" s="8" t="s">
        <v>5223</v>
      </c>
      <c r="O25" s="131" t="b">
        <f t="shared" si="1"/>
        <v>1</v>
      </c>
    </row>
    <row r="26" spans="1:15">
      <c r="A26" s="157" t="str">
        <f>nmEmp2 &amp; " Visits Per Episode"</f>
        <v>Occupational Therapy Visits Per Episode</v>
      </c>
      <c r="E26" s="441">
        <v>1.75</v>
      </c>
      <c r="F26" s="441">
        <v>1.75</v>
      </c>
      <c r="G26" s="441">
        <v>1.75</v>
      </c>
      <c r="H26" s="8" t="s">
        <v>719</v>
      </c>
      <c r="I26" s="131" t="b">
        <f t="shared" si="0"/>
        <v>1</v>
      </c>
      <c r="K26" s="441">
        <f>cbal!E26</f>
        <v>1.75</v>
      </c>
      <c r="L26" s="441">
        <f>cbal!F26</f>
        <v>1.75</v>
      </c>
      <c r="M26" s="441">
        <f>cbal!G26</f>
        <v>1.75</v>
      </c>
      <c r="N26" s="8" t="s">
        <v>5224</v>
      </c>
      <c r="O26" s="131" t="b">
        <f t="shared" si="1"/>
        <v>1</v>
      </c>
    </row>
    <row r="27" spans="1:15">
      <c r="A27" s="157" t="str">
        <f>nmEmp3 &amp; " Visits Per Episode"</f>
        <v>Physical Therapy Visits Per Episode</v>
      </c>
      <c r="E27" s="441">
        <v>6.8</v>
      </c>
      <c r="F27" s="441">
        <v>6.8</v>
      </c>
      <c r="G27" s="441">
        <v>6.8</v>
      </c>
      <c r="H27" s="8" t="s">
        <v>720</v>
      </c>
      <c r="I27" s="131" t="b">
        <f t="shared" si="0"/>
        <v>1</v>
      </c>
      <c r="K27" s="441">
        <f>cbal!E27</f>
        <v>6.8</v>
      </c>
      <c r="L27" s="441">
        <f>cbal!F27</f>
        <v>6.8</v>
      </c>
      <c r="M27" s="441">
        <f>cbal!G27</f>
        <v>6.8</v>
      </c>
      <c r="N27" s="8" t="s">
        <v>5225</v>
      </c>
      <c r="O27" s="131" t="b">
        <f t="shared" si="1"/>
        <v>1</v>
      </c>
    </row>
    <row r="28" spans="1:15">
      <c r="A28" s="157" t="str">
        <f>nmEmp1 &amp; " " &amp;  nmSeg1 &amp;  " Revenue Per Visit"</f>
        <v>Skilled Nursing Medicare Revenue Per Visit</v>
      </c>
      <c r="E28" s="441">
        <v>180</v>
      </c>
      <c r="F28" s="441">
        <v>180</v>
      </c>
      <c r="G28" s="441">
        <v>180</v>
      </c>
      <c r="H28" s="8" t="s">
        <v>2656</v>
      </c>
      <c r="I28" s="131" t="b">
        <f t="shared" si="0"/>
        <v>1</v>
      </c>
      <c r="K28" s="441">
        <f>cbal!E28</f>
        <v>180</v>
      </c>
      <c r="L28" s="441">
        <f>cbal!F28</f>
        <v>180</v>
      </c>
      <c r="M28" s="441">
        <f>cbal!G28</f>
        <v>180</v>
      </c>
      <c r="N28" s="8" t="s">
        <v>5226</v>
      </c>
      <c r="O28" s="131" t="b">
        <f t="shared" si="1"/>
        <v>1</v>
      </c>
    </row>
    <row r="29" spans="1:15">
      <c r="A29" s="157" t="str">
        <f>nmEmp1 &amp; " " &amp;  nmSeg2 &amp;  " Revenue Per Visit"</f>
        <v>Skilled Nursing PPS Revenue Per Visit</v>
      </c>
      <c r="E29" s="441">
        <v>160</v>
      </c>
      <c r="F29" s="441">
        <v>160</v>
      </c>
      <c r="G29" s="441">
        <v>160</v>
      </c>
      <c r="H29" s="8" t="s">
        <v>2657</v>
      </c>
      <c r="I29" s="131" t="b">
        <f t="shared" si="0"/>
        <v>1</v>
      </c>
      <c r="K29" s="441">
        <f>cbal!E29</f>
        <v>160</v>
      </c>
      <c r="L29" s="441">
        <f>cbal!F29</f>
        <v>160</v>
      </c>
      <c r="M29" s="441">
        <f>cbal!G29</f>
        <v>160</v>
      </c>
      <c r="N29" s="8" t="s">
        <v>5227</v>
      </c>
      <c r="O29" s="131" t="b">
        <f t="shared" si="1"/>
        <v>1</v>
      </c>
    </row>
    <row r="30" spans="1:15">
      <c r="A30" s="157" t="str">
        <f>nmEmp1 &amp; " " &amp;  nmSeg3 &amp;  " Revenue Per Visit"</f>
        <v>Skilled Nursing Other Revenue Per Visit</v>
      </c>
      <c r="E30" s="441">
        <v>100</v>
      </c>
      <c r="F30" s="441">
        <v>100</v>
      </c>
      <c r="G30" s="441">
        <v>100</v>
      </c>
      <c r="H30" s="8" t="s">
        <v>2658</v>
      </c>
      <c r="I30" s="131" t="b">
        <f t="shared" si="0"/>
        <v>1</v>
      </c>
      <c r="K30" s="441">
        <f>cbal!E30</f>
        <v>100</v>
      </c>
      <c r="L30" s="441">
        <f>cbal!F30</f>
        <v>100</v>
      </c>
      <c r="M30" s="441">
        <f>cbal!G30</f>
        <v>100</v>
      </c>
      <c r="N30" s="8" t="s">
        <v>5228</v>
      </c>
      <c r="O30" s="131" t="b">
        <f t="shared" si="1"/>
        <v>1</v>
      </c>
    </row>
    <row r="31" spans="1:15">
      <c r="A31" s="157" t="str">
        <f>nmEmp2 &amp; " " &amp;  nmSeg1 &amp;  " Revenue Per Visit"</f>
        <v>Occupational Therapy Medicare Revenue Per Visit</v>
      </c>
      <c r="E31" s="441">
        <v>180</v>
      </c>
      <c r="F31" s="441">
        <v>180</v>
      </c>
      <c r="G31" s="441">
        <v>180</v>
      </c>
      <c r="H31" s="8" t="s">
        <v>2662</v>
      </c>
      <c r="I31" s="131" t="b">
        <f t="shared" si="0"/>
        <v>1</v>
      </c>
      <c r="K31" s="441">
        <f>cbal!E31</f>
        <v>180</v>
      </c>
      <c r="L31" s="441">
        <f>cbal!F31</f>
        <v>180</v>
      </c>
      <c r="M31" s="441">
        <f>cbal!G31</f>
        <v>180</v>
      </c>
      <c r="N31" s="8" t="s">
        <v>5229</v>
      </c>
      <c r="O31" s="131" t="b">
        <f t="shared" si="1"/>
        <v>1</v>
      </c>
    </row>
    <row r="32" spans="1:15">
      <c r="A32" s="157" t="str">
        <f>nmEmp2 &amp; " " &amp;  nmSeg2 &amp;  " Revenue Per Visit"</f>
        <v>Occupational Therapy PPS Revenue Per Visit</v>
      </c>
      <c r="E32" s="441">
        <v>165</v>
      </c>
      <c r="F32" s="441">
        <v>165</v>
      </c>
      <c r="G32" s="441">
        <v>165</v>
      </c>
      <c r="H32" s="8" t="s">
        <v>2663</v>
      </c>
      <c r="I32" s="131" t="b">
        <f t="shared" si="0"/>
        <v>1</v>
      </c>
      <c r="K32" s="441">
        <f>cbal!E32</f>
        <v>165</v>
      </c>
      <c r="L32" s="441">
        <f>cbal!F32</f>
        <v>165</v>
      </c>
      <c r="M32" s="441">
        <f>cbal!G32</f>
        <v>165</v>
      </c>
      <c r="N32" s="8" t="s">
        <v>5230</v>
      </c>
      <c r="O32" s="131" t="b">
        <f t="shared" si="1"/>
        <v>1</v>
      </c>
    </row>
    <row r="33" spans="1:15">
      <c r="A33" s="157" t="str">
        <f>nmEmp2 &amp; " " &amp;  nmSeg3 &amp;  " Revenue Per Visit"</f>
        <v>Occupational Therapy Other Revenue Per Visit</v>
      </c>
      <c r="E33" s="441">
        <v>100</v>
      </c>
      <c r="F33" s="441">
        <v>100</v>
      </c>
      <c r="G33" s="441">
        <v>100</v>
      </c>
      <c r="H33" s="8" t="s">
        <v>2664</v>
      </c>
      <c r="I33" s="131" t="b">
        <f t="shared" si="0"/>
        <v>1</v>
      </c>
      <c r="K33" s="441">
        <f>cbal!E33</f>
        <v>100</v>
      </c>
      <c r="L33" s="441">
        <f>cbal!F33</f>
        <v>100</v>
      </c>
      <c r="M33" s="441">
        <f>cbal!G33</f>
        <v>100</v>
      </c>
      <c r="N33" s="8" t="s">
        <v>5231</v>
      </c>
      <c r="O33" s="131" t="b">
        <f t="shared" si="1"/>
        <v>1</v>
      </c>
    </row>
    <row r="34" spans="1:15">
      <c r="A34" s="157" t="str">
        <f>nmEmp3 &amp; " " &amp;  nmSeg1 &amp;  " Revenue Per Visit"</f>
        <v>Physical Therapy Medicare Revenue Per Visit</v>
      </c>
      <c r="E34" s="441">
        <v>180</v>
      </c>
      <c r="F34" s="441">
        <v>180</v>
      </c>
      <c r="G34" s="441">
        <v>180</v>
      </c>
      <c r="H34" s="8" t="s">
        <v>2668</v>
      </c>
      <c r="I34" s="131" t="b">
        <f t="shared" si="0"/>
        <v>1</v>
      </c>
      <c r="K34" s="441">
        <f>cbal!E34</f>
        <v>180</v>
      </c>
      <c r="L34" s="441">
        <f>cbal!F34</f>
        <v>180</v>
      </c>
      <c r="M34" s="441">
        <f>cbal!G34</f>
        <v>180</v>
      </c>
      <c r="N34" s="8" t="s">
        <v>5232</v>
      </c>
      <c r="O34" s="131" t="b">
        <f t="shared" si="1"/>
        <v>1</v>
      </c>
    </row>
    <row r="35" spans="1:15">
      <c r="A35" s="157" t="str">
        <f>nmEmp3 &amp; " " &amp;  nmSeg2 &amp;  " Revenue Per Visit"</f>
        <v>Physical Therapy PPS Revenue Per Visit</v>
      </c>
      <c r="E35" s="441">
        <v>165</v>
      </c>
      <c r="F35" s="441">
        <v>165</v>
      </c>
      <c r="G35" s="441">
        <v>165</v>
      </c>
      <c r="H35" s="8" t="s">
        <v>2669</v>
      </c>
      <c r="I35" s="131" t="b">
        <f t="shared" si="0"/>
        <v>1</v>
      </c>
      <c r="K35" s="441">
        <f>cbal!E35</f>
        <v>165</v>
      </c>
      <c r="L35" s="441">
        <f>cbal!F35</f>
        <v>165</v>
      </c>
      <c r="M35" s="441">
        <f>cbal!G35</f>
        <v>165</v>
      </c>
      <c r="N35" s="8" t="s">
        <v>5233</v>
      </c>
      <c r="O35" s="131" t="b">
        <f t="shared" si="1"/>
        <v>1</v>
      </c>
    </row>
    <row r="36" spans="1:15">
      <c r="A36" s="157" t="str">
        <f>nmEmp3 &amp; " " &amp;  nmSeg3 &amp;  " Revenue Per Visit"</f>
        <v>Physical Therapy Other Revenue Per Visit</v>
      </c>
      <c r="E36" s="441">
        <v>100</v>
      </c>
      <c r="F36" s="441">
        <v>100</v>
      </c>
      <c r="G36" s="441">
        <v>100</v>
      </c>
      <c r="H36" s="8" t="s">
        <v>2670</v>
      </c>
      <c r="I36" s="131" t="b">
        <f t="shared" si="0"/>
        <v>1</v>
      </c>
      <c r="K36" s="441">
        <f>cbal!E36</f>
        <v>100</v>
      </c>
      <c r="L36" s="441">
        <f>cbal!F36</f>
        <v>100</v>
      </c>
      <c r="M36" s="441">
        <f>cbal!G36</f>
        <v>100</v>
      </c>
      <c r="N36" s="8" t="s">
        <v>5234</v>
      </c>
      <c r="O36" s="131" t="b">
        <f t="shared" si="1"/>
        <v>1</v>
      </c>
    </row>
    <row r="37" spans="1:15">
      <c r="A37" s="157" t="str">
        <f>nmEmp1 &amp; " Cost Per Visit"</f>
        <v>Skilled Nursing Cost Per Visit</v>
      </c>
      <c r="E37" s="441">
        <v>87</v>
      </c>
      <c r="F37" s="441">
        <v>87</v>
      </c>
      <c r="G37" s="441">
        <v>87</v>
      </c>
      <c r="H37" s="8" t="s">
        <v>2627</v>
      </c>
      <c r="I37" s="131" t="b">
        <f t="shared" si="0"/>
        <v>1</v>
      </c>
      <c r="K37" s="441">
        <f>cbal!E37</f>
        <v>87</v>
      </c>
      <c r="L37" s="441">
        <f>cbal!F37</f>
        <v>87</v>
      </c>
      <c r="M37" s="441">
        <f>cbal!G37</f>
        <v>87</v>
      </c>
      <c r="N37" s="8" t="s">
        <v>5235</v>
      </c>
      <c r="O37" s="131" t="b">
        <f t="shared" si="1"/>
        <v>1</v>
      </c>
    </row>
    <row r="38" spans="1:15">
      <c r="A38" s="157" t="str">
        <f>nmEmp2  &amp; " Cost Per Visit"</f>
        <v>Occupational Therapy Cost Per Visit</v>
      </c>
      <c r="E38" s="441">
        <v>96</v>
      </c>
      <c r="F38" s="441">
        <v>96</v>
      </c>
      <c r="G38" s="441">
        <v>96</v>
      </c>
      <c r="H38" s="8" t="s">
        <v>2628</v>
      </c>
      <c r="I38" s="131" t="b">
        <f t="shared" si="0"/>
        <v>1</v>
      </c>
      <c r="K38" s="441">
        <f>cbal!E38</f>
        <v>96</v>
      </c>
      <c r="L38" s="441">
        <f>cbal!F38</f>
        <v>96</v>
      </c>
      <c r="M38" s="441">
        <f>cbal!G38</f>
        <v>96</v>
      </c>
      <c r="N38" s="8" t="s">
        <v>5236</v>
      </c>
      <c r="O38" s="131" t="b">
        <f t="shared" si="1"/>
        <v>1</v>
      </c>
    </row>
    <row r="39" spans="1:15">
      <c r="A39" s="157" t="str">
        <f>nmEmp3  &amp; " Cost Per Visit"</f>
        <v>Physical Therapy Cost Per Visit</v>
      </c>
      <c r="E39" s="441">
        <v>98</v>
      </c>
      <c r="F39" s="441">
        <v>98</v>
      </c>
      <c r="G39" s="441">
        <v>98</v>
      </c>
      <c r="H39" s="8" t="s">
        <v>2629</v>
      </c>
      <c r="I39" s="131" t="b">
        <f t="shared" si="0"/>
        <v>1</v>
      </c>
      <c r="K39" s="441">
        <f>cbal!E39</f>
        <v>98</v>
      </c>
      <c r="L39" s="441">
        <f>cbal!F39</f>
        <v>98</v>
      </c>
      <c r="M39" s="441">
        <f>cbal!G39</f>
        <v>98</v>
      </c>
      <c r="N39" s="8" t="s">
        <v>5237</v>
      </c>
      <c r="O39" s="131" t="b">
        <f t="shared" si="1"/>
        <v>1</v>
      </c>
    </row>
    <row r="40" spans="1:15">
      <c r="A40" s="157" t="str">
        <f>nmSeg1 &amp; " Recert Rate"</f>
        <v>Medicare Recert Rate</v>
      </c>
      <c r="E40" s="440">
        <v>0.25</v>
      </c>
      <c r="F40" s="440">
        <v>0.25</v>
      </c>
      <c r="G40" s="440">
        <v>0.25</v>
      </c>
      <c r="H40" s="8" t="s">
        <v>738</v>
      </c>
      <c r="I40" s="131" t="b">
        <f t="shared" si="0"/>
        <v>1</v>
      </c>
      <c r="K40" s="440">
        <f>cbal!E40</f>
        <v>0.25</v>
      </c>
      <c r="L40" s="440">
        <f>cbal!F40</f>
        <v>0.25</v>
      </c>
      <c r="M40" s="440">
        <f>cbal!G40</f>
        <v>0.25</v>
      </c>
      <c r="N40" s="8" t="s">
        <v>5238</v>
      </c>
      <c r="O40" s="131" t="b">
        <f t="shared" si="1"/>
        <v>1</v>
      </c>
    </row>
    <row r="41" spans="1:15">
      <c r="A41" s="157" t="str">
        <f>nmSeg2 &amp; " Recert Rate"</f>
        <v>PPS Recert Rate</v>
      </c>
      <c r="E41" s="440">
        <v>0.25</v>
      </c>
      <c r="F41" s="440">
        <v>0.25</v>
      </c>
      <c r="G41" s="440">
        <v>0.25</v>
      </c>
      <c r="H41" s="8" t="s">
        <v>739</v>
      </c>
      <c r="I41" s="131" t="b">
        <f t="shared" si="0"/>
        <v>1</v>
      </c>
      <c r="K41" s="440">
        <f>cbal!E41</f>
        <v>0.25</v>
      </c>
      <c r="L41" s="440">
        <f>cbal!F41</f>
        <v>0.25</v>
      </c>
      <c r="M41" s="440">
        <f>cbal!G41</f>
        <v>0.25</v>
      </c>
      <c r="N41" s="8" t="s">
        <v>5239</v>
      </c>
      <c r="O41" s="131" t="b">
        <f t="shared" si="1"/>
        <v>1</v>
      </c>
    </row>
    <row r="42" spans="1:15">
      <c r="A42" s="157" t="str">
        <f>nmSeg3 &amp; " Recert Rate"</f>
        <v>Other Recert Rate</v>
      </c>
      <c r="E42" s="440">
        <v>0.25</v>
      </c>
      <c r="F42" s="440">
        <v>0.25</v>
      </c>
      <c r="G42" s="440">
        <v>0.25</v>
      </c>
      <c r="H42" s="8" t="s">
        <v>740</v>
      </c>
      <c r="I42" s="131" t="b">
        <f t="shared" si="0"/>
        <v>1</v>
      </c>
      <c r="K42" s="440">
        <f>cbal!E42</f>
        <v>0.25</v>
      </c>
      <c r="L42" s="440">
        <f>cbal!F42</f>
        <v>0.25</v>
      </c>
      <c r="M42" s="440">
        <f>cbal!G42</f>
        <v>0.25</v>
      </c>
      <c r="N42" s="8" t="s">
        <v>5240</v>
      </c>
      <c r="O42" s="131" t="b">
        <f t="shared" si="1"/>
        <v>1</v>
      </c>
    </row>
    <row r="43" spans="1:15">
      <c r="A43" s="332" t="s">
        <v>225</v>
      </c>
      <c r="E43" s="440">
        <v>0.33300000000000002</v>
      </c>
      <c r="F43" s="440">
        <v>0.33300000000000002</v>
      </c>
      <c r="G43" s="440">
        <v>0.33300000000000002</v>
      </c>
      <c r="H43" s="8" t="s">
        <v>1969</v>
      </c>
      <c r="I43" s="131" t="b">
        <f t="shared" si="0"/>
        <v>1</v>
      </c>
      <c r="K43" s="440">
        <f>cbal!E43</f>
        <v>0.34805269853348336</v>
      </c>
      <c r="L43" s="440">
        <f>cbal!F43</f>
        <v>0.33300000000000002</v>
      </c>
      <c r="M43" s="440">
        <f>cbal!G43</f>
        <v>0.33300000000000002</v>
      </c>
      <c r="N43" s="8" t="s">
        <v>5241</v>
      </c>
      <c r="O43" s="131" t="b">
        <f t="shared" si="1"/>
        <v>0</v>
      </c>
    </row>
    <row r="44" spans="1:15">
      <c r="A44" s="332" t="s">
        <v>2679</v>
      </c>
      <c r="E44" s="473">
        <v>75000</v>
      </c>
      <c r="F44" s="473">
        <v>55000</v>
      </c>
      <c r="G44" s="473">
        <v>70000</v>
      </c>
      <c r="H44" s="8" t="s">
        <v>2681</v>
      </c>
      <c r="I44" s="131" t="b">
        <f t="shared" si="0"/>
        <v>0</v>
      </c>
      <c r="K44" s="473">
        <f>cbal!E44</f>
        <v>75000</v>
      </c>
      <c r="L44" s="473">
        <f>cbal!F44</f>
        <v>55000</v>
      </c>
      <c r="M44" s="473">
        <f>cbal!G44</f>
        <v>70000</v>
      </c>
      <c r="N44" s="8" t="s">
        <v>5242</v>
      </c>
      <c r="O44" s="131" t="b">
        <f t="shared" si="1"/>
        <v>0</v>
      </c>
    </row>
    <row r="45" spans="1:15">
      <c r="A45" s="332" t="s">
        <v>2680</v>
      </c>
      <c r="E45" s="473">
        <v>40000</v>
      </c>
      <c r="F45" s="473">
        <v>30000</v>
      </c>
      <c r="G45" s="473">
        <v>35000</v>
      </c>
      <c r="H45" s="8" t="s">
        <v>2682</v>
      </c>
      <c r="I45" s="131" t="b">
        <f t="shared" si="0"/>
        <v>0</v>
      </c>
      <c r="K45" s="473">
        <f>cbal!E45</f>
        <v>40000</v>
      </c>
      <c r="L45" s="473">
        <f>cbal!F45</f>
        <v>30000</v>
      </c>
      <c r="M45" s="473">
        <f>cbal!G45</f>
        <v>35000</v>
      </c>
      <c r="N45" s="8" t="s">
        <v>5243</v>
      </c>
      <c r="O45" s="131" t="b">
        <f t="shared" si="1"/>
        <v>0</v>
      </c>
    </row>
    <row r="46" spans="1:15">
      <c r="A46" s="332" t="s">
        <v>347</v>
      </c>
      <c r="D46" s="63">
        <f>cbal!E46</f>
        <v>7333446</v>
      </c>
      <c r="E46" s="730">
        <v>7354407.5</v>
      </c>
      <c r="F46" s="730">
        <v>10031067</v>
      </c>
      <c r="G46" s="730">
        <v>5392071</v>
      </c>
      <c r="H46" s="8" t="s">
        <v>2795</v>
      </c>
      <c r="I46" s="131" t="b">
        <f t="shared" si="0"/>
        <v>0</v>
      </c>
      <c r="J46" s="63" t="str">
        <f>cbal!N46</f>
        <v>cbalR2LOB1Rev</v>
      </c>
      <c r="K46" s="473">
        <f>cbal!E46</f>
        <v>7333446</v>
      </c>
      <c r="L46" s="473">
        <f>cbal!F46</f>
        <v>10031067</v>
      </c>
      <c r="M46" s="473">
        <f>cbal!G46</f>
        <v>5392071</v>
      </c>
      <c r="N46" s="8" t="s">
        <v>5244</v>
      </c>
      <c r="O46" s="131" t="b">
        <f t="shared" si="1"/>
        <v>0</v>
      </c>
    </row>
    <row r="47" spans="1:15">
      <c r="A47" s="332" t="s">
        <v>486</v>
      </c>
      <c r="E47" s="457">
        <v>0</v>
      </c>
      <c r="F47" s="457">
        <v>0</v>
      </c>
      <c r="G47" s="457">
        <v>0</v>
      </c>
      <c r="H47" s="8" t="s">
        <v>2989</v>
      </c>
      <c r="I47" s="131" t="b">
        <f t="shared" si="0"/>
        <v>1</v>
      </c>
      <c r="K47" s="457">
        <f>cbal!E47</f>
        <v>-2.8501956139906914E-3</v>
      </c>
      <c r="L47" s="457">
        <f>cbal!F47</f>
        <v>0</v>
      </c>
      <c r="M47" s="457">
        <f>cbal!G47</f>
        <v>0</v>
      </c>
      <c r="N47" s="8" t="s">
        <v>5245</v>
      </c>
      <c r="O47" s="131" t="b">
        <f t="shared" si="1"/>
        <v>0</v>
      </c>
    </row>
    <row r="48" spans="1:15">
      <c r="A48" s="332" t="s">
        <v>488</v>
      </c>
      <c r="E48" s="580">
        <v>0.78</v>
      </c>
      <c r="F48" s="580">
        <v>0.78</v>
      </c>
      <c r="G48" s="580">
        <v>0.78</v>
      </c>
      <c r="H48" s="8" t="s">
        <v>2796</v>
      </c>
      <c r="I48" s="131" t="b">
        <f t="shared" si="0"/>
        <v>1</v>
      </c>
      <c r="K48" s="580">
        <f>cbal!E48</f>
        <v>0.78900000000000003</v>
      </c>
      <c r="L48" s="580">
        <f>cbal!F48</f>
        <v>0.82020000000000004</v>
      </c>
      <c r="M48" s="580">
        <f>cbal!G48</f>
        <v>0.76490000000000002</v>
      </c>
      <c r="N48" s="8" t="s">
        <v>5246</v>
      </c>
      <c r="O48" s="131" t="b">
        <f t="shared" si="1"/>
        <v>0</v>
      </c>
    </row>
    <row r="49" spans="1:15">
      <c r="A49" s="332" t="s">
        <v>489</v>
      </c>
      <c r="E49" s="489">
        <v>0.75</v>
      </c>
      <c r="F49" s="489">
        <v>0.75</v>
      </c>
      <c r="G49" s="489">
        <v>0.75</v>
      </c>
      <c r="H49" s="8" t="s">
        <v>2797</v>
      </c>
      <c r="I49" s="131" t="b">
        <f t="shared" si="0"/>
        <v>1</v>
      </c>
      <c r="K49" s="489">
        <f>cbal!E49</f>
        <v>0.75</v>
      </c>
      <c r="L49" s="489">
        <f>cbal!F49</f>
        <v>0.77549999999999997</v>
      </c>
      <c r="M49" s="489">
        <f>cbal!G49</f>
        <v>0.74349999999999994</v>
      </c>
      <c r="N49" s="8" t="s">
        <v>5247</v>
      </c>
      <c r="O49" s="131" t="b">
        <f t="shared" si="1"/>
        <v>0</v>
      </c>
    </row>
    <row r="50" spans="1:15">
      <c r="A50" s="332" t="s">
        <v>490</v>
      </c>
      <c r="E50" s="489">
        <v>0.85</v>
      </c>
      <c r="F50" s="489">
        <v>0.85</v>
      </c>
      <c r="G50" s="489">
        <v>0.85</v>
      </c>
      <c r="H50" s="8" t="s">
        <v>2798</v>
      </c>
      <c r="I50" s="131" t="b">
        <f t="shared" si="0"/>
        <v>1</v>
      </c>
      <c r="K50" s="489">
        <f>cbal!E50</f>
        <v>0.8599</v>
      </c>
      <c r="L50" s="489">
        <f>cbal!F50</f>
        <v>0.84666999999999992</v>
      </c>
      <c r="M50" s="489">
        <f>cbal!G50</f>
        <v>0.82153999999999994</v>
      </c>
      <c r="N50" s="8" t="s">
        <v>5248</v>
      </c>
      <c r="O50" s="131" t="b">
        <f t="shared" si="1"/>
        <v>0</v>
      </c>
    </row>
    <row r="51" spans="1:15">
      <c r="A51" s="332" t="s">
        <v>2984</v>
      </c>
      <c r="E51" s="489">
        <v>0.8</v>
      </c>
      <c r="F51" s="489">
        <v>0.8</v>
      </c>
      <c r="G51" s="489">
        <v>0.8</v>
      </c>
      <c r="H51" s="8" t="s">
        <v>2985</v>
      </c>
      <c r="I51" s="131" t="b">
        <f t="shared" si="0"/>
        <v>1</v>
      </c>
      <c r="K51" s="489">
        <f>cbal!E51</f>
        <v>0.8</v>
      </c>
      <c r="L51" s="489">
        <f>cbal!F51</f>
        <v>0.8</v>
      </c>
      <c r="M51" s="489">
        <f>cbal!G51</f>
        <v>0.79700000000000004</v>
      </c>
      <c r="N51" s="8" t="s">
        <v>5249</v>
      </c>
      <c r="O51" s="131" t="b">
        <f t="shared" si="1"/>
        <v>0</v>
      </c>
    </row>
    <row r="52" spans="1:15">
      <c r="A52" s="332" t="s">
        <v>498</v>
      </c>
      <c r="E52" s="489">
        <v>0.9</v>
      </c>
      <c r="F52" s="489">
        <v>0.9</v>
      </c>
      <c r="G52" s="489">
        <v>0.9</v>
      </c>
      <c r="H52" s="8" t="s">
        <v>2799</v>
      </c>
      <c r="I52" s="131" t="b">
        <f t="shared" si="0"/>
        <v>1</v>
      </c>
      <c r="K52" s="489">
        <f>cbal!E52</f>
        <v>0.8</v>
      </c>
      <c r="L52" s="489">
        <f>cbal!F52</f>
        <v>0.93</v>
      </c>
      <c r="M52" s="489">
        <f>cbal!G52</f>
        <v>1.03</v>
      </c>
      <c r="N52" s="8" t="s">
        <v>5250</v>
      </c>
      <c r="O52" s="131" t="b">
        <f t="shared" si="1"/>
        <v>0</v>
      </c>
    </row>
    <row r="53" spans="1:15">
      <c r="A53" s="332" t="s">
        <v>4061</v>
      </c>
      <c r="E53" s="473">
        <f>SUM(data!$E$41:$E$44)*80%</f>
        <v>21.6</v>
      </c>
      <c r="F53" s="692">
        <v>35</v>
      </c>
      <c r="G53" s="692">
        <v>16</v>
      </c>
      <c r="H53" s="8" t="s">
        <v>4063</v>
      </c>
      <c r="I53" s="131" t="b">
        <f t="shared" si="0"/>
        <v>0</v>
      </c>
      <c r="K53" s="473">
        <f>cbal!E53</f>
        <v>21.6</v>
      </c>
      <c r="L53" s="473">
        <f>cbal!F53</f>
        <v>35</v>
      </c>
      <c r="M53" s="473">
        <f>cbal!G53</f>
        <v>16</v>
      </c>
      <c r="N53" s="8" t="s">
        <v>5251</v>
      </c>
      <c r="O53" s="131" t="b">
        <f t="shared" si="1"/>
        <v>0</v>
      </c>
    </row>
    <row r="54" spans="1:15">
      <c r="A54" s="332" t="s">
        <v>4062</v>
      </c>
      <c r="E54" s="473">
        <f>SUM(data!$E$41:$E$44)*20%</f>
        <v>5.4</v>
      </c>
      <c r="F54" s="692">
        <v>12</v>
      </c>
      <c r="G54" s="692">
        <v>6</v>
      </c>
      <c r="H54" s="8" t="s">
        <v>4064</v>
      </c>
      <c r="I54" s="131" t="b">
        <f t="shared" si="0"/>
        <v>0</v>
      </c>
      <c r="K54" s="473">
        <f>cbal!E54</f>
        <v>5.4</v>
      </c>
      <c r="L54" s="473">
        <f>cbal!F54</f>
        <v>12</v>
      </c>
      <c r="M54" s="473">
        <f>cbal!G54</f>
        <v>6</v>
      </c>
      <c r="N54" s="8" t="s">
        <v>5252</v>
      </c>
      <c r="O54" s="131" t="b">
        <f t="shared" si="1"/>
        <v>0</v>
      </c>
    </row>
    <row r="55" spans="1:15">
      <c r="A55" s="332" t="str">
        <f>nmDisc1 &amp; " Retention"</f>
        <v>RN Retention</v>
      </c>
      <c r="E55" s="756">
        <v>0.95</v>
      </c>
      <c r="F55" s="756">
        <v>0.95</v>
      </c>
      <c r="G55" s="756">
        <v>0.95</v>
      </c>
      <c r="H55" s="8" t="s">
        <v>4600</v>
      </c>
      <c r="I55" s="131" t="b">
        <f t="shared" si="0"/>
        <v>1</v>
      </c>
      <c r="K55" s="489">
        <f>cbal!E55</f>
        <v>0.85499999999999998</v>
      </c>
      <c r="L55" s="489">
        <f>cbal!F55</f>
        <v>0.87680250000000004</v>
      </c>
      <c r="M55" s="489">
        <f>cbal!G55</f>
        <v>0.84944249999999999</v>
      </c>
      <c r="N55" s="8" t="s">
        <v>5253</v>
      </c>
      <c r="O55" s="131" t="b">
        <f t="shared" si="1"/>
        <v>0</v>
      </c>
    </row>
    <row r="56" spans="1:15">
      <c r="A56" s="332" t="str">
        <f>nmDisc2 &amp; " Retention"</f>
        <v>LPN Retention</v>
      </c>
      <c r="E56" s="756">
        <v>0.95</v>
      </c>
      <c r="F56" s="756">
        <v>0.95</v>
      </c>
      <c r="G56" s="756">
        <v>0.95</v>
      </c>
      <c r="H56" s="8" t="s">
        <v>4601</v>
      </c>
      <c r="I56" s="131" t="b">
        <f t="shared" si="0"/>
        <v>1</v>
      </c>
      <c r="K56" s="489">
        <f>cbal!E56</f>
        <v>0.95</v>
      </c>
      <c r="L56" s="489">
        <f>cbal!F56</f>
        <v>0.97422500000000001</v>
      </c>
      <c r="M56" s="489">
        <f>cbal!G56</f>
        <v>0.94382499999999991</v>
      </c>
      <c r="N56" s="8" t="s">
        <v>5254</v>
      </c>
      <c r="O56" s="131" t="b">
        <f t="shared" si="1"/>
        <v>0</v>
      </c>
    </row>
    <row r="57" spans="1:15">
      <c r="A57" s="332" t="str">
        <f>nmDisc3 &amp; " Retention"</f>
        <v>PT Retention</v>
      </c>
      <c r="E57" s="756">
        <v>0.95</v>
      </c>
      <c r="F57" s="756">
        <v>0.95</v>
      </c>
      <c r="G57" s="756">
        <v>0.95</v>
      </c>
      <c r="H57" s="8" t="s">
        <v>4602</v>
      </c>
      <c r="I57" s="131" t="b">
        <f t="shared" si="0"/>
        <v>1</v>
      </c>
      <c r="K57" s="489">
        <f>cbal!E57</f>
        <v>0.95</v>
      </c>
      <c r="L57" s="489">
        <f>cbal!F57</f>
        <v>0.97422500000000001</v>
      </c>
      <c r="M57" s="489">
        <f>cbal!G57</f>
        <v>0.94382499999999991</v>
      </c>
      <c r="N57" s="8" t="s">
        <v>5255</v>
      </c>
      <c r="O57" s="131" t="b">
        <f t="shared" si="1"/>
        <v>0</v>
      </c>
    </row>
    <row r="58" spans="1:15">
      <c r="A58" s="332" t="str">
        <f>nmDisc4 &amp; " Retention"</f>
        <v>OT Retention</v>
      </c>
      <c r="E58" s="756">
        <v>0.95</v>
      </c>
      <c r="F58" s="756">
        <v>0.95</v>
      </c>
      <c r="G58" s="756">
        <v>0.95</v>
      </c>
      <c r="H58" s="8" t="s">
        <v>4603</v>
      </c>
      <c r="I58" s="131" t="b">
        <f t="shared" si="0"/>
        <v>1</v>
      </c>
      <c r="K58" s="489">
        <f>cbal!E58</f>
        <v>0.95</v>
      </c>
      <c r="L58" s="489">
        <f>cbal!F58</f>
        <v>0.97422500000000001</v>
      </c>
      <c r="M58" s="489">
        <f>cbal!G58</f>
        <v>0.94382499999999991</v>
      </c>
      <c r="N58" s="8" t="s">
        <v>5256</v>
      </c>
      <c r="O58" s="131" t="b">
        <f t="shared" si="1"/>
        <v>0</v>
      </c>
    </row>
    <row r="59" spans="1:15">
      <c r="A59" s="332" t="s">
        <v>8370</v>
      </c>
      <c r="E59" s="756">
        <v>1</v>
      </c>
      <c r="F59" s="756">
        <v>1</v>
      </c>
      <c r="G59" s="756">
        <v>1</v>
      </c>
      <c r="H59" s="8" t="s">
        <v>8371</v>
      </c>
      <c r="I59" s="131"/>
      <c r="K59" s="489">
        <f>cbal!E59</f>
        <v>1.1402077868585265</v>
      </c>
      <c r="L59" s="489">
        <f>cbal!F59</f>
        <v>0.93080111425526457</v>
      </c>
      <c r="M59" s="489">
        <f>cbal!G59</f>
        <v>0.83826360110558551</v>
      </c>
      <c r="N59" s="8" t="s">
        <v>8372</v>
      </c>
      <c r="O59" s="131" t="b">
        <f t="shared" si="1"/>
        <v>0</v>
      </c>
    </row>
    <row r="60" spans="1:15">
      <c r="A60" s="157"/>
      <c r="I60" s="131" t="b">
        <f t="shared" si="0"/>
        <v>1</v>
      </c>
      <c r="K60" s="159">
        <f>cbal!E60</f>
        <v>0</v>
      </c>
      <c r="L60" s="159">
        <f>cbal!F60</f>
        <v>0</v>
      </c>
      <c r="M60" s="159">
        <f>cbal!G60</f>
        <v>0</v>
      </c>
      <c r="O60" s="131" t="b">
        <f t="shared" si="1"/>
        <v>1</v>
      </c>
    </row>
    <row r="61" spans="1:15">
      <c r="A61" s="157" t="s">
        <v>498</v>
      </c>
      <c r="I61" s="131" t="b">
        <f t="shared" si="0"/>
        <v>1</v>
      </c>
      <c r="K61" s="159">
        <f>cbal!E61</f>
        <v>0</v>
      </c>
      <c r="L61" s="159">
        <f>cbal!F61</f>
        <v>0</v>
      </c>
      <c r="M61" s="159">
        <f>cbal!G61</f>
        <v>0</v>
      </c>
      <c r="O61" s="131" t="b">
        <f t="shared" si="1"/>
        <v>1</v>
      </c>
    </row>
    <row r="62" spans="1:15">
      <c r="A62" s="157" t="s">
        <v>561</v>
      </c>
      <c r="E62" s="457">
        <v>0.7</v>
      </c>
      <c r="F62" s="457">
        <v>0.7</v>
      </c>
      <c r="G62" s="457">
        <v>0.7</v>
      </c>
      <c r="H62" s="63" t="s">
        <v>4586</v>
      </c>
      <c r="I62" s="131" t="b">
        <f t="shared" si="0"/>
        <v>1</v>
      </c>
      <c r="K62" s="457">
        <f>cbal!E62</f>
        <v>0.8</v>
      </c>
      <c r="L62" s="457">
        <f>cbal!F62</f>
        <v>0.9</v>
      </c>
      <c r="M62" s="457">
        <f>cbal!G62</f>
        <v>1.02</v>
      </c>
      <c r="N62" s="63" t="s">
        <v>5257</v>
      </c>
      <c r="O62" s="131" t="b">
        <f t="shared" si="1"/>
        <v>0</v>
      </c>
    </row>
    <row r="63" spans="1:15">
      <c r="A63" s="157" t="s">
        <v>562</v>
      </c>
      <c r="E63" s="457">
        <v>0</v>
      </c>
      <c r="F63" s="457">
        <v>0</v>
      </c>
      <c r="G63" s="457">
        <v>0</v>
      </c>
      <c r="H63" s="63" t="s">
        <v>4587</v>
      </c>
      <c r="I63" s="131" t="b">
        <f t="shared" si="0"/>
        <v>1</v>
      </c>
      <c r="K63" s="457">
        <f>cbal!E63</f>
        <v>0</v>
      </c>
      <c r="L63" s="457">
        <f>cbal!F63</f>
        <v>0</v>
      </c>
      <c r="M63" s="457">
        <f>cbal!G63</f>
        <v>0</v>
      </c>
      <c r="N63" s="63" t="s">
        <v>5258</v>
      </c>
      <c r="O63" s="131" t="b">
        <f t="shared" si="1"/>
        <v>1</v>
      </c>
    </row>
    <row r="64" spans="1:15">
      <c r="A64" s="157" t="s">
        <v>563</v>
      </c>
      <c r="E64" s="457">
        <v>0</v>
      </c>
      <c r="F64" s="457">
        <v>0</v>
      </c>
      <c r="G64" s="457">
        <v>0</v>
      </c>
      <c r="H64" s="63" t="s">
        <v>4588</v>
      </c>
      <c r="I64" s="131" t="b">
        <f t="shared" si="0"/>
        <v>1</v>
      </c>
      <c r="K64" s="457">
        <f>cbal!E64</f>
        <v>0</v>
      </c>
      <c r="L64" s="457">
        <f>cbal!F64</f>
        <v>0.03</v>
      </c>
      <c r="M64" s="457">
        <f>cbal!G64</f>
        <v>0.01</v>
      </c>
      <c r="N64" s="63" t="s">
        <v>5259</v>
      </c>
      <c r="O64" s="131" t="b">
        <f t="shared" si="1"/>
        <v>0</v>
      </c>
    </row>
    <row r="65" spans="1:15">
      <c r="A65" s="157" t="s">
        <v>564</v>
      </c>
      <c r="E65" s="457">
        <v>0</v>
      </c>
      <c r="F65" s="457">
        <v>0</v>
      </c>
      <c r="G65" s="457">
        <v>0</v>
      </c>
      <c r="H65" s="63" t="s">
        <v>4589</v>
      </c>
      <c r="I65" s="131" t="b">
        <f t="shared" si="0"/>
        <v>1</v>
      </c>
      <c r="K65" s="457">
        <f>cbal!E65</f>
        <v>0</v>
      </c>
      <c r="L65" s="457">
        <f>cbal!F65</f>
        <v>0</v>
      </c>
      <c r="M65" s="457">
        <f>cbal!G65</f>
        <v>0</v>
      </c>
      <c r="N65" s="63" t="s">
        <v>5260</v>
      </c>
      <c r="O65" s="131" t="b">
        <f t="shared" si="1"/>
        <v>1</v>
      </c>
    </row>
    <row r="66" spans="1:15">
      <c r="A66" s="157" t="s">
        <v>565</v>
      </c>
      <c r="E66" s="457">
        <v>0</v>
      </c>
      <c r="F66" s="457">
        <v>0</v>
      </c>
      <c r="G66" s="457">
        <v>0</v>
      </c>
      <c r="H66" s="63" t="s">
        <v>4590</v>
      </c>
      <c r="I66" s="131" t="b">
        <f t="shared" si="0"/>
        <v>1</v>
      </c>
      <c r="K66" s="457">
        <f>cbal!E66</f>
        <v>0</v>
      </c>
      <c r="L66" s="457">
        <f>cbal!F66</f>
        <v>0</v>
      </c>
      <c r="M66" s="457">
        <f>cbal!G66</f>
        <v>0</v>
      </c>
      <c r="N66" s="63" t="s">
        <v>5261</v>
      </c>
      <c r="O66" s="131" t="b">
        <f t="shared" si="1"/>
        <v>1</v>
      </c>
    </row>
    <row r="67" spans="1:15">
      <c r="A67" s="157" t="s">
        <v>566</v>
      </c>
      <c r="E67" s="457">
        <v>0</v>
      </c>
      <c r="F67" s="457">
        <v>0</v>
      </c>
      <c r="G67" s="457">
        <v>0</v>
      </c>
      <c r="H67" s="63" t="s">
        <v>4591</v>
      </c>
      <c r="I67" s="131" t="b">
        <f t="shared" si="0"/>
        <v>1</v>
      </c>
      <c r="K67" s="457">
        <f>cbal!E67</f>
        <v>0</v>
      </c>
      <c r="L67" s="457">
        <f>cbal!F67</f>
        <v>0</v>
      </c>
      <c r="M67" s="457">
        <f>cbal!G67</f>
        <v>0</v>
      </c>
      <c r="N67" s="63" t="s">
        <v>5262</v>
      </c>
      <c r="O67" s="131" t="b">
        <f t="shared" si="1"/>
        <v>1</v>
      </c>
    </row>
    <row r="68" spans="1:15">
      <c r="A68" s="157" t="s">
        <v>13</v>
      </c>
      <c r="E68" s="589">
        <v>0.95</v>
      </c>
      <c r="F68" s="589">
        <v>0.95</v>
      </c>
      <c r="G68" s="589">
        <v>0.95</v>
      </c>
      <c r="H68" s="131" t="s">
        <v>4592</v>
      </c>
      <c r="I68" s="131" t="b">
        <f t="shared" si="0"/>
        <v>1</v>
      </c>
      <c r="K68" s="589">
        <f>cbal!E68</f>
        <v>0.8</v>
      </c>
      <c r="L68" s="589">
        <f>cbal!F68</f>
        <v>0.93</v>
      </c>
      <c r="M68" s="589">
        <f>cbal!G68</f>
        <v>1.03</v>
      </c>
      <c r="N68" s="131" t="s">
        <v>5263</v>
      </c>
      <c r="O68" s="131" t="b">
        <f t="shared" si="1"/>
        <v>0</v>
      </c>
    </row>
    <row r="69" spans="1:15">
      <c r="A69" s="157"/>
      <c r="I69" s="131" t="b">
        <f t="shared" si="0"/>
        <v>1</v>
      </c>
      <c r="K69" s="159">
        <f>cbal!E69</f>
        <v>0</v>
      </c>
      <c r="L69" s="159">
        <f>cbal!F69</f>
        <v>0</v>
      </c>
      <c r="M69" s="159">
        <f>cbal!G69</f>
        <v>0</v>
      </c>
      <c r="O69" s="131" t="b">
        <f t="shared" si="1"/>
        <v>1</v>
      </c>
    </row>
    <row r="70" spans="1:15">
      <c r="A70" s="8" t="s">
        <v>1496</v>
      </c>
      <c r="I70" s="131" t="b">
        <f t="shared" si="0"/>
        <v>1</v>
      </c>
      <c r="K70" s="159">
        <f>cbal!E70</f>
        <v>0</v>
      </c>
      <c r="L70" s="159">
        <f>cbal!F70</f>
        <v>0</v>
      </c>
      <c r="M70" s="159">
        <f>cbal!G70</f>
        <v>0</v>
      </c>
      <c r="O70" s="131" t="b">
        <f t="shared" si="1"/>
        <v>1</v>
      </c>
    </row>
    <row r="71" spans="1:15">
      <c r="A71" s="8" t="s">
        <v>595</v>
      </c>
      <c r="D71" s="63">
        <v>1</v>
      </c>
      <c r="E71" s="159" t="str">
        <f t="shared" ref="E71:G80" si="2">VLOOKUP($D71,dataTableCC1Staff,2,FALSE)</f>
        <v>RN</v>
      </c>
      <c r="F71" s="159" t="str">
        <f t="shared" si="2"/>
        <v>RN</v>
      </c>
      <c r="G71" s="159" t="str">
        <f t="shared" si="2"/>
        <v>RN</v>
      </c>
      <c r="H71" s="8" t="s">
        <v>1501</v>
      </c>
      <c r="I71" s="131" t="b">
        <f t="shared" si="0"/>
        <v>1</v>
      </c>
      <c r="J71" s="63">
        <v>1</v>
      </c>
      <c r="K71" s="159" t="str">
        <f>cbal!E71</f>
        <v>RN</v>
      </c>
      <c r="L71" s="159" t="str">
        <f>cbal!F71</f>
        <v>RN</v>
      </c>
      <c r="M71" s="159" t="str">
        <f>cbal!G71</f>
        <v>RN</v>
      </c>
      <c r="N71" s="8" t="s">
        <v>5264</v>
      </c>
      <c r="O71" s="131" t="b">
        <f t="shared" si="1"/>
        <v>1</v>
      </c>
    </row>
    <row r="72" spans="1:15">
      <c r="A72" s="8" t="s">
        <v>596</v>
      </c>
      <c r="D72" s="63">
        <v>2</v>
      </c>
      <c r="E72" s="159" t="str">
        <f t="shared" si="2"/>
        <v>RN</v>
      </c>
      <c r="F72" s="159" t="str">
        <f t="shared" si="2"/>
        <v>RN</v>
      </c>
      <c r="G72" s="159" t="str">
        <f t="shared" si="2"/>
        <v>RN</v>
      </c>
      <c r="H72" s="8" t="s">
        <v>1502</v>
      </c>
      <c r="I72" s="131" t="b">
        <f t="shared" si="0"/>
        <v>1</v>
      </c>
      <c r="J72" s="63">
        <v>2</v>
      </c>
      <c r="K72" s="159" t="str">
        <f>cbal!E72</f>
        <v>RN</v>
      </c>
      <c r="L72" s="159" t="str">
        <f>cbal!F72</f>
        <v>RN</v>
      </c>
      <c r="M72" s="159" t="str">
        <f>cbal!G72</f>
        <v>RN</v>
      </c>
      <c r="N72" s="8" t="s">
        <v>5265</v>
      </c>
      <c r="O72" s="131" t="b">
        <f t="shared" si="1"/>
        <v>1</v>
      </c>
    </row>
    <row r="73" spans="1:15">
      <c r="A73" s="8" t="s">
        <v>597</v>
      </c>
      <c r="D73" s="63">
        <v>3</v>
      </c>
      <c r="E73" s="159" t="str">
        <f t="shared" si="2"/>
        <v>RN</v>
      </c>
      <c r="F73" s="159" t="str">
        <f t="shared" si="2"/>
        <v>RN</v>
      </c>
      <c r="G73" s="159" t="str">
        <f t="shared" si="2"/>
        <v>RN</v>
      </c>
      <c r="H73" s="8" t="s">
        <v>1503</v>
      </c>
      <c r="I73" s="131" t="b">
        <f t="shared" si="0"/>
        <v>1</v>
      </c>
      <c r="J73" s="63">
        <v>3</v>
      </c>
      <c r="K73" s="159" t="str">
        <f>cbal!E73</f>
        <v>RN</v>
      </c>
      <c r="L73" s="159" t="str">
        <f>cbal!F73</f>
        <v>RN</v>
      </c>
      <c r="M73" s="159" t="str">
        <f>cbal!G73</f>
        <v>RN</v>
      </c>
      <c r="N73" s="8" t="s">
        <v>5266</v>
      </c>
      <c r="O73" s="131" t="b">
        <f t="shared" si="1"/>
        <v>1</v>
      </c>
    </row>
    <row r="74" spans="1:15">
      <c r="A74" s="8" t="s">
        <v>598</v>
      </c>
      <c r="D74" s="8">
        <v>4</v>
      </c>
      <c r="E74" s="159" t="str">
        <f t="shared" si="2"/>
        <v>LPN</v>
      </c>
      <c r="F74" s="159" t="str">
        <f t="shared" si="2"/>
        <v>LPN</v>
      </c>
      <c r="G74" s="159" t="str">
        <f t="shared" si="2"/>
        <v>LPN</v>
      </c>
      <c r="H74" s="8" t="s">
        <v>1504</v>
      </c>
      <c r="I74" s="131" t="b">
        <f t="shared" si="0"/>
        <v>1</v>
      </c>
      <c r="J74" s="8">
        <v>4</v>
      </c>
      <c r="K74" s="159" t="str">
        <f>cbal!E74</f>
        <v>LPN</v>
      </c>
      <c r="L74" s="159" t="str">
        <f>cbal!F74</f>
        <v>LPN</v>
      </c>
      <c r="M74" s="159" t="str">
        <f>cbal!G74</f>
        <v>LPN</v>
      </c>
      <c r="N74" s="8" t="s">
        <v>5267</v>
      </c>
      <c r="O74" s="131" t="b">
        <f t="shared" si="1"/>
        <v>1</v>
      </c>
    </row>
    <row r="75" spans="1:15">
      <c r="A75" s="8" t="s">
        <v>599</v>
      </c>
      <c r="D75" s="8">
        <v>5</v>
      </c>
      <c r="E75" s="159" t="str">
        <f t="shared" si="2"/>
        <v>LPN</v>
      </c>
      <c r="F75" s="159" t="str">
        <f t="shared" si="2"/>
        <v>LPN</v>
      </c>
      <c r="G75" s="159" t="str">
        <f t="shared" si="2"/>
        <v>LPN</v>
      </c>
      <c r="H75" s="8" t="s">
        <v>1505</v>
      </c>
      <c r="I75" s="131" t="b">
        <f t="shared" si="0"/>
        <v>1</v>
      </c>
      <c r="J75" s="8">
        <v>5</v>
      </c>
      <c r="K75" s="159" t="str">
        <f>cbal!E75</f>
        <v>LPN</v>
      </c>
      <c r="L75" s="159" t="str">
        <f>cbal!F75</f>
        <v>LPN</v>
      </c>
      <c r="M75" s="159" t="str">
        <f>cbal!G75</f>
        <v>LPN</v>
      </c>
      <c r="N75" s="8" t="s">
        <v>5268</v>
      </c>
      <c r="O75" s="131" t="b">
        <f t="shared" si="1"/>
        <v>1</v>
      </c>
    </row>
    <row r="76" spans="1:15">
      <c r="A76" s="8" t="s">
        <v>600</v>
      </c>
      <c r="D76" s="8">
        <v>6</v>
      </c>
      <c r="E76" s="159" t="str">
        <f t="shared" si="2"/>
        <v>PTA</v>
      </c>
      <c r="F76" s="159" t="str">
        <f t="shared" si="2"/>
        <v>PTA</v>
      </c>
      <c r="G76" s="159" t="str">
        <f t="shared" si="2"/>
        <v>PTA</v>
      </c>
      <c r="H76" s="8" t="s">
        <v>1506</v>
      </c>
      <c r="I76" s="131" t="b">
        <f t="shared" si="0"/>
        <v>1</v>
      </c>
      <c r="J76" s="8">
        <v>6</v>
      </c>
      <c r="K76" s="159" t="str">
        <f>cbal!E76</f>
        <v>PTA</v>
      </c>
      <c r="L76" s="159" t="str">
        <f>cbal!F76</f>
        <v>PTA</v>
      </c>
      <c r="M76" s="159" t="str">
        <f>cbal!G76</f>
        <v>PTA</v>
      </c>
      <c r="N76" s="8" t="s">
        <v>5269</v>
      </c>
      <c r="O76" s="131" t="b">
        <f t="shared" si="1"/>
        <v>1</v>
      </c>
    </row>
    <row r="77" spans="1:15">
      <c r="A77" s="8" t="s">
        <v>601</v>
      </c>
      <c r="D77" s="63">
        <v>7</v>
      </c>
      <c r="E77" s="159" t="str">
        <f t="shared" si="2"/>
        <v>PT</v>
      </c>
      <c r="F77" s="159" t="str">
        <f t="shared" si="2"/>
        <v>PT</v>
      </c>
      <c r="G77" s="159" t="str">
        <f t="shared" si="2"/>
        <v>PT</v>
      </c>
      <c r="H77" s="8" t="s">
        <v>1507</v>
      </c>
      <c r="I77" s="131" t="b">
        <f t="shared" si="0"/>
        <v>1</v>
      </c>
      <c r="J77" s="63">
        <v>7</v>
      </c>
      <c r="K77" s="159" t="str">
        <f>cbal!E77</f>
        <v>PT</v>
      </c>
      <c r="L77" s="159" t="str">
        <f>cbal!F77</f>
        <v>PT</v>
      </c>
      <c r="M77" s="159" t="str">
        <f>cbal!G77</f>
        <v>PT</v>
      </c>
      <c r="N77" s="8" t="s">
        <v>5270</v>
      </c>
      <c r="O77" s="131" t="b">
        <f t="shared" si="1"/>
        <v>1</v>
      </c>
    </row>
    <row r="78" spans="1:15">
      <c r="A78" s="8" t="s">
        <v>602</v>
      </c>
      <c r="D78" s="63">
        <v>8</v>
      </c>
      <c r="E78" s="159" t="str">
        <f t="shared" si="2"/>
        <v>PT</v>
      </c>
      <c r="F78" s="159" t="str">
        <f t="shared" si="2"/>
        <v>PT</v>
      </c>
      <c r="G78" s="159" t="str">
        <f t="shared" si="2"/>
        <v>PT</v>
      </c>
      <c r="H78" s="8" t="s">
        <v>1508</v>
      </c>
      <c r="I78" s="131" t="b">
        <f t="shared" si="0"/>
        <v>1</v>
      </c>
      <c r="J78" s="63">
        <v>8</v>
      </c>
      <c r="K78" s="159" t="str">
        <f>cbal!E78</f>
        <v>PT</v>
      </c>
      <c r="L78" s="159" t="str">
        <f>cbal!F78</f>
        <v>PT</v>
      </c>
      <c r="M78" s="159" t="str">
        <f>cbal!G78</f>
        <v>PT</v>
      </c>
      <c r="N78" s="8" t="s">
        <v>5271</v>
      </c>
      <c r="O78" s="131" t="b">
        <f t="shared" si="1"/>
        <v>1</v>
      </c>
    </row>
    <row r="79" spans="1:15">
      <c r="A79" s="8" t="s">
        <v>603</v>
      </c>
      <c r="D79" s="63">
        <v>9</v>
      </c>
      <c r="E79" s="159" t="str">
        <f t="shared" si="2"/>
        <v>PT</v>
      </c>
      <c r="F79" s="159" t="str">
        <f t="shared" si="2"/>
        <v>PT</v>
      </c>
      <c r="G79" s="159" t="str">
        <f t="shared" si="2"/>
        <v>PT</v>
      </c>
      <c r="H79" s="8" t="s">
        <v>1509</v>
      </c>
      <c r="I79" s="131" t="b">
        <f t="shared" si="0"/>
        <v>1</v>
      </c>
      <c r="J79" s="63">
        <v>9</v>
      </c>
      <c r="K79" s="159" t="str">
        <f>cbal!E79</f>
        <v>PT</v>
      </c>
      <c r="L79" s="159" t="str">
        <f>cbal!F79</f>
        <v>PT</v>
      </c>
      <c r="M79" s="159" t="str">
        <f>cbal!G79</f>
        <v>PT</v>
      </c>
      <c r="N79" s="8" t="s">
        <v>5272</v>
      </c>
      <c r="O79" s="131" t="b">
        <f t="shared" si="1"/>
        <v>1</v>
      </c>
    </row>
    <row r="80" spans="1:15">
      <c r="A80" s="8" t="s">
        <v>604</v>
      </c>
      <c r="D80" s="8">
        <v>10</v>
      </c>
      <c r="E80" s="159" t="str">
        <f t="shared" si="2"/>
        <v>OT</v>
      </c>
      <c r="F80" s="159" t="str">
        <f t="shared" si="2"/>
        <v>OT</v>
      </c>
      <c r="G80" s="159" t="str">
        <f t="shared" si="2"/>
        <v>OT</v>
      </c>
      <c r="H80" s="8" t="s">
        <v>1510</v>
      </c>
      <c r="I80" s="131" t="b">
        <f t="shared" ref="I80:I151" si="3">MAX(E80:G80)=MIN(E80:G80)</f>
        <v>1</v>
      </c>
      <c r="J80" s="8">
        <v>10</v>
      </c>
      <c r="K80" s="159" t="str">
        <f>cbal!E80</f>
        <v>OT</v>
      </c>
      <c r="L80" s="159" t="str">
        <f>cbal!F80</f>
        <v>OT</v>
      </c>
      <c r="M80" s="159" t="str">
        <f>cbal!G80</f>
        <v>OT</v>
      </c>
      <c r="N80" s="8" t="s">
        <v>5273</v>
      </c>
      <c r="O80" s="131" t="b">
        <f t="shared" ref="O80:O151" si="4">MAX(K80:M80)=MIN(K80:M80)</f>
        <v>1</v>
      </c>
    </row>
    <row r="81" spans="1:15">
      <c r="A81" s="8" t="s">
        <v>1497</v>
      </c>
      <c r="D81" s="8">
        <v>11</v>
      </c>
      <c r="H81" s="8" t="s">
        <v>1511</v>
      </c>
      <c r="I81" s="131" t="b">
        <f t="shared" si="3"/>
        <v>1</v>
      </c>
      <c r="J81" s="8">
        <v>11</v>
      </c>
      <c r="K81" s="159">
        <f>cbal!E81</f>
        <v>0</v>
      </c>
      <c r="L81" s="159">
        <f>cbal!F81</f>
        <v>0</v>
      </c>
      <c r="M81" s="159">
        <f>cbal!G81</f>
        <v>0</v>
      </c>
      <c r="N81" s="8" t="s">
        <v>5274</v>
      </c>
      <c r="O81" s="131" t="b">
        <f t="shared" si="4"/>
        <v>1</v>
      </c>
    </row>
    <row r="82" spans="1:15">
      <c r="A82" s="8" t="s">
        <v>1498</v>
      </c>
      <c r="D82" s="63">
        <v>12</v>
      </c>
      <c r="H82" s="8" t="s">
        <v>1512</v>
      </c>
      <c r="I82" s="131" t="b">
        <f t="shared" si="3"/>
        <v>1</v>
      </c>
      <c r="J82" s="63">
        <v>12</v>
      </c>
      <c r="K82" s="159">
        <f>cbal!E82</f>
        <v>0</v>
      </c>
      <c r="L82" s="159">
        <f>cbal!F82</f>
        <v>0</v>
      </c>
      <c r="M82" s="159">
        <f>cbal!G82</f>
        <v>0</v>
      </c>
      <c r="N82" s="8" t="s">
        <v>5275</v>
      </c>
      <c r="O82" s="131" t="b">
        <f t="shared" si="4"/>
        <v>1</v>
      </c>
    </row>
    <row r="83" spans="1:15">
      <c r="A83" s="8" t="s">
        <v>3998</v>
      </c>
      <c r="D83" s="63">
        <v>19</v>
      </c>
      <c r="E83" s="159" t="str">
        <f t="shared" ref="E83:G86" si="5">VLOOKUP($D83,dataTableCC1Staff,2,FALSE)</f>
        <v>RN</v>
      </c>
      <c r="F83" s="159" t="str">
        <f t="shared" si="5"/>
        <v>RN</v>
      </c>
      <c r="G83" s="159" t="str">
        <f t="shared" si="5"/>
        <v>RN</v>
      </c>
      <c r="H83" s="8" t="s">
        <v>4002</v>
      </c>
      <c r="I83" s="131" t="b">
        <f t="shared" si="3"/>
        <v>1</v>
      </c>
      <c r="J83" s="63">
        <v>19</v>
      </c>
      <c r="K83" s="159" t="str">
        <f>cbal!E83</f>
        <v>RN</v>
      </c>
      <c r="L83" s="159" t="str">
        <f>cbal!F83</f>
        <v>RN</v>
      </c>
      <c r="M83" s="159" t="str">
        <f>cbal!G83</f>
        <v>RN</v>
      </c>
      <c r="N83" s="8" t="s">
        <v>5276</v>
      </c>
      <c r="O83" s="131" t="b">
        <f t="shared" si="4"/>
        <v>1</v>
      </c>
    </row>
    <row r="84" spans="1:15">
      <c r="A84" s="8" t="s">
        <v>3999</v>
      </c>
      <c r="D84" s="63">
        <v>20</v>
      </c>
      <c r="E84" s="159" t="str">
        <f t="shared" si="5"/>
        <v>LPN</v>
      </c>
      <c r="F84" s="159" t="str">
        <f t="shared" si="5"/>
        <v>LPN</v>
      </c>
      <c r="G84" s="159" t="str">
        <f t="shared" si="5"/>
        <v>LPN</v>
      </c>
      <c r="H84" s="8" t="s">
        <v>4003</v>
      </c>
      <c r="I84" s="131" t="b">
        <f t="shared" si="3"/>
        <v>1</v>
      </c>
      <c r="J84" s="63">
        <v>20</v>
      </c>
      <c r="K84" s="159" t="str">
        <f>cbal!E84</f>
        <v>LPN</v>
      </c>
      <c r="L84" s="159" t="str">
        <f>cbal!F84</f>
        <v>LPN</v>
      </c>
      <c r="M84" s="159" t="str">
        <f>cbal!G84</f>
        <v>LPN</v>
      </c>
      <c r="N84" s="8" t="s">
        <v>5277</v>
      </c>
      <c r="O84" s="131" t="b">
        <f t="shared" si="4"/>
        <v>1</v>
      </c>
    </row>
    <row r="85" spans="1:15">
      <c r="A85" s="8" t="s">
        <v>4000</v>
      </c>
      <c r="D85" s="63">
        <v>21</v>
      </c>
      <c r="E85" s="159" t="str">
        <f t="shared" si="5"/>
        <v>PT</v>
      </c>
      <c r="F85" s="159" t="str">
        <f t="shared" si="5"/>
        <v>PT</v>
      </c>
      <c r="G85" s="159" t="str">
        <f t="shared" si="5"/>
        <v>PT</v>
      </c>
      <c r="H85" s="8" t="s">
        <v>4004</v>
      </c>
      <c r="I85" s="131" t="b">
        <f t="shared" si="3"/>
        <v>1</v>
      </c>
      <c r="J85" s="63">
        <v>21</v>
      </c>
      <c r="K85" s="159" t="str">
        <f>cbal!E85</f>
        <v>PT</v>
      </c>
      <c r="L85" s="159" t="str">
        <f>cbal!F85</f>
        <v>PT</v>
      </c>
      <c r="M85" s="159" t="str">
        <f>cbal!G85</f>
        <v>PT</v>
      </c>
      <c r="N85" s="8" t="s">
        <v>5278</v>
      </c>
      <c r="O85" s="131" t="b">
        <f t="shared" si="4"/>
        <v>1</v>
      </c>
    </row>
    <row r="86" spans="1:15">
      <c r="A86" s="8" t="s">
        <v>4001</v>
      </c>
      <c r="D86" s="63">
        <v>22</v>
      </c>
      <c r="E86" s="159" t="str">
        <f t="shared" si="5"/>
        <v>OT</v>
      </c>
      <c r="F86" s="159" t="str">
        <f t="shared" si="5"/>
        <v>OT</v>
      </c>
      <c r="G86" s="159" t="str">
        <f t="shared" si="5"/>
        <v>OT</v>
      </c>
      <c r="H86" s="8" t="s">
        <v>4005</v>
      </c>
      <c r="I86" s="131" t="b">
        <f t="shared" si="3"/>
        <v>1</v>
      </c>
      <c r="J86" s="63">
        <v>22</v>
      </c>
      <c r="K86" s="159" t="str">
        <f>cbal!E86</f>
        <v>OT</v>
      </c>
      <c r="L86" s="159" t="str">
        <f>cbal!F86</f>
        <v>OT</v>
      </c>
      <c r="M86" s="159" t="str">
        <f>cbal!G86</f>
        <v>OT</v>
      </c>
      <c r="N86" s="8" t="s">
        <v>5279</v>
      </c>
      <c r="O86" s="131" t="b">
        <f t="shared" si="4"/>
        <v>1</v>
      </c>
    </row>
    <row r="87" spans="1:15">
      <c r="I87" s="131" t="b">
        <f t="shared" si="3"/>
        <v>1</v>
      </c>
      <c r="K87" s="159">
        <f>cbal!E87</f>
        <v>0</v>
      </c>
      <c r="L87" s="159">
        <f>cbal!F87</f>
        <v>0</v>
      </c>
      <c r="M87" s="159">
        <f>cbal!G87</f>
        <v>0</v>
      </c>
      <c r="O87" s="131" t="b">
        <f t="shared" si="4"/>
        <v>1</v>
      </c>
    </row>
    <row r="88" spans="1:15">
      <c r="A88" s="8" t="s">
        <v>1525</v>
      </c>
      <c r="I88" s="131" t="b">
        <f t="shared" si="3"/>
        <v>1</v>
      </c>
      <c r="K88" s="159">
        <f>cbal!E88</f>
        <v>0</v>
      </c>
      <c r="L88" s="159">
        <f>cbal!F88</f>
        <v>0</v>
      </c>
      <c r="M88" s="159">
        <f>cbal!G88</f>
        <v>0</v>
      </c>
      <c r="O88" s="131" t="b">
        <f t="shared" si="4"/>
        <v>1</v>
      </c>
    </row>
    <row r="89" spans="1:15">
      <c r="A89" s="8" t="s">
        <v>595</v>
      </c>
      <c r="D89" s="63">
        <v>1</v>
      </c>
      <c r="E89" s="159" t="str">
        <f t="shared" ref="E89:G98" si="6">VLOOKUP($D89,dataTableCC1Staff,3,FALSE)</f>
        <v>Full-Time</v>
      </c>
      <c r="F89" s="159" t="str">
        <f t="shared" si="6"/>
        <v>Full-Time</v>
      </c>
      <c r="G89" s="159" t="str">
        <f t="shared" si="6"/>
        <v>Full-Time</v>
      </c>
      <c r="H89" s="8" t="s">
        <v>1526</v>
      </c>
      <c r="I89" s="131" t="b">
        <f t="shared" si="3"/>
        <v>1</v>
      </c>
      <c r="J89" s="63">
        <v>1</v>
      </c>
      <c r="K89" s="159" t="str">
        <f>cbal!E89</f>
        <v>Full-Time</v>
      </c>
      <c r="L89" s="159" t="str">
        <f>cbal!F89</f>
        <v>Full-Time</v>
      </c>
      <c r="M89" s="159" t="str">
        <f>cbal!G89</f>
        <v>Full-Time</v>
      </c>
      <c r="N89" s="8" t="s">
        <v>5280</v>
      </c>
      <c r="O89" s="131" t="b">
        <f t="shared" si="4"/>
        <v>1</v>
      </c>
    </row>
    <row r="90" spans="1:15">
      <c r="A90" s="8" t="s">
        <v>596</v>
      </c>
      <c r="D90" s="63">
        <v>2</v>
      </c>
      <c r="E90" s="159" t="str">
        <f t="shared" si="6"/>
        <v>Full-Time</v>
      </c>
      <c r="F90" s="159" t="str">
        <f t="shared" si="6"/>
        <v>Full-Time</v>
      </c>
      <c r="G90" s="159" t="str">
        <f t="shared" si="6"/>
        <v>Full-Time</v>
      </c>
      <c r="H90" s="8" t="s">
        <v>1527</v>
      </c>
      <c r="I90" s="131" t="b">
        <f t="shared" si="3"/>
        <v>1</v>
      </c>
      <c r="J90" s="63">
        <v>2</v>
      </c>
      <c r="K90" s="159" t="str">
        <f>cbal!E90</f>
        <v>Full-Time</v>
      </c>
      <c r="L90" s="159" t="str">
        <f>cbal!F90</f>
        <v>Full-Time</v>
      </c>
      <c r="M90" s="159" t="str">
        <f>cbal!G90</f>
        <v>Full-Time</v>
      </c>
      <c r="N90" s="8" t="s">
        <v>5281</v>
      </c>
      <c r="O90" s="131" t="b">
        <f t="shared" si="4"/>
        <v>1</v>
      </c>
    </row>
    <row r="91" spans="1:15">
      <c r="A91" s="8" t="s">
        <v>597</v>
      </c>
      <c r="D91" s="63">
        <v>3</v>
      </c>
      <c r="E91" s="159" t="str">
        <f t="shared" si="6"/>
        <v>Part-Time</v>
      </c>
      <c r="F91" s="159" t="str">
        <f t="shared" si="6"/>
        <v>Part-Time</v>
      </c>
      <c r="G91" s="159" t="str">
        <f t="shared" si="6"/>
        <v>Part-Time</v>
      </c>
      <c r="H91" s="8" t="s">
        <v>1528</v>
      </c>
      <c r="I91" s="131" t="b">
        <f t="shared" si="3"/>
        <v>1</v>
      </c>
      <c r="J91" s="63">
        <v>3</v>
      </c>
      <c r="K91" s="159" t="str">
        <f>cbal!E91</f>
        <v>Part-Time</v>
      </c>
      <c r="L91" s="159" t="str">
        <f>cbal!F91</f>
        <v>Part-Time</v>
      </c>
      <c r="M91" s="159" t="str">
        <f>cbal!G91</f>
        <v>Part-Time</v>
      </c>
      <c r="N91" s="8" t="s">
        <v>5282</v>
      </c>
      <c r="O91" s="131" t="b">
        <f t="shared" si="4"/>
        <v>1</v>
      </c>
    </row>
    <row r="92" spans="1:15">
      <c r="A92" s="8" t="s">
        <v>598</v>
      </c>
      <c r="D92" s="8">
        <v>4</v>
      </c>
      <c r="E92" s="159" t="str">
        <f t="shared" si="6"/>
        <v>Full-Time</v>
      </c>
      <c r="F92" s="159" t="str">
        <f t="shared" si="6"/>
        <v>Full-Time</v>
      </c>
      <c r="G92" s="159" t="str">
        <f t="shared" si="6"/>
        <v>Full-Time</v>
      </c>
      <c r="H92" s="8" t="s">
        <v>1529</v>
      </c>
      <c r="I92" s="131" t="b">
        <f t="shared" si="3"/>
        <v>1</v>
      </c>
      <c r="J92" s="8">
        <v>4</v>
      </c>
      <c r="K92" s="159" t="str">
        <f>cbal!E92</f>
        <v>Full-Time</v>
      </c>
      <c r="L92" s="159" t="str">
        <f>cbal!F92</f>
        <v>Full-Time</v>
      </c>
      <c r="M92" s="159" t="str">
        <f>cbal!G92</f>
        <v>Full-Time</v>
      </c>
      <c r="N92" s="8" t="s">
        <v>5283</v>
      </c>
      <c r="O92" s="131" t="b">
        <f t="shared" si="4"/>
        <v>1</v>
      </c>
    </row>
    <row r="93" spans="1:15">
      <c r="A93" s="8" t="s">
        <v>599</v>
      </c>
      <c r="D93" s="8">
        <v>5</v>
      </c>
      <c r="E93" s="159" t="str">
        <f t="shared" si="6"/>
        <v>Full-Time</v>
      </c>
      <c r="F93" s="159" t="str">
        <f t="shared" si="6"/>
        <v>Full-Time</v>
      </c>
      <c r="G93" s="159" t="str">
        <f t="shared" si="6"/>
        <v>Full-Time</v>
      </c>
      <c r="H93" s="8" t="s">
        <v>1530</v>
      </c>
      <c r="I93" s="131" t="b">
        <f t="shared" si="3"/>
        <v>1</v>
      </c>
      <c r="J93" s="8">
        <v>5</v>
      </c>
      <c r="K93" s="159" t="str">
        <f>cbal!E93</f>
        <v>Full-Time</v>
      </c>
      <c r="L93" s="159" t="str">
        <f>cbal!F93</f>
        <v>Full-Time</v>
      </c>
      <c r="M93" s="159" t="str">
        <f>cbal!G93</f>
        <v>Full-Time</v>
      </c>
      <c r="N93" s="8" t="s">
        <v>5284</v>
      </c>
      <c r="O93" s="131" t="b">
        <f t="shared" si="4"/>
        <v>1</v>
      </c>
    </row>
    <row r="94" spans="1:15">
      <c r="A94" s="8" t="s">
        <v>600</v>
      </c>
      <c r="D94" s="8">
        <v>6</v>
      </c>
      <c r="E94" s="159" t="str">
        <f t="shared" si="6"/>
        <v>Full-Time</v>
      </c>
      <c r="F94" s="159" t="str">
        <f t="shared" si="6"/>
        <v>Full-Time</v>
      </c>
      <c r="G94" s="159" t="str">
        <f t="shared" si="6"/>
        <v>Full-Time</v>
      </c>
      <c r="H94" s="8" t="s">
        <v>1531</v>
      </c>
      <c r="I94" s="131" t="b">
        <f t="shared" si="3"/>
        <v>1</v>
      </c>
      <c r="J94" s="8">
        <v>6</v>
      </c>
      <c r="K94" s="159" t="str">
        <f>cbal!E94</f>
        <v>Full-Time</v>
      </c>
      <c r="L94" s="159" t="str">
        <f>cbal!F94</f>
        <v>Full-Time</v>
      </c>
      <c r="M94" s="159" t="str">
        <f>cbal!G94</f>
        <v>Full-Time</v>
      </c>
      <c r="N94" s="8" t="s">
        <v>5285</v>
      </c>
      <c r="O94" s="131" t="b">
        <f t="shared" si="4"/>
        <v>1</v>
      </c>
    </row>
    <row r="95" spans="1:15">
      <c r="A95" s="8" t="s">
        <v>601</v>
      </c>
      <c r="D95" s="63">
        <v>7</v>
      </c>
      <c r="E95" s="159" t="str">
        <f t="shared" si="6"/>
        <v>Full-Time</v>
      </c>
      <c r="F95" s="159" t="str">
        <f t="shared" si="6"/>
        <v>Full-Time</v>
      </c>
      <c r="G95" s="159" t="str">
        <f t="shared" si="6"/>
        <v>Full-Time</v>
      </c>
      <c r="H95" s="8" t="s">
        <v>1532</v>
      </c>
      <c r="I95" s="131" t="b">
        <f t="shared" si="3"/>
        <v>1</v>
      </c>
      <c r="J95" s="63">
        <v>7</v>
      </c>
      <c r="K95" s="159" t="str">
        <f>cbal!E95</f>
        <v>Full-Time</v>
      </c>
      <c r="L95" s="159" t="str">
        <f>cbal!F95</f>
        <v>Full-Time</v>
      </c>
      <c r="M95" s="159" t="str">
        <f>cbal!G95</f>
        <v>Full-Time</v>
      </c>
      <c r="N95" s="8" t="s">
        <v>5286</v>
      </c>
      <c r="O95" s="131" t="b">
        <f t="shared" si="4"/>
        <v>1</v>
      </c>
    </row>
    <row r="96" spans="1:15">
      <c r="A96" s="8" t="s">
        <v>602</v>
      </c>
      <c r="D96" s="63">
        <v>8</v>
      </c>
      <c r="E96" s="159" t="str">
        <f t="shared" si="6"/>
        <v>Full-Time</v>
      </c>
      <c r="F96" s="159" t="str">
        <f t="shared" si="6"/>
        <v>Full-Time</v>
      </c>
      <c r="G96" s="159" t="str">
        <f t="shared" si="6"/>
        <v>Full-Time</v>
      </c>
      <c r="H96" s="8" t="s">
        <v>1533</v>
      </c>
      <c r="I96" s="131" t="b">
        <f t="shared" si="3"/>
        <v>1</v>
      </c>
      <c r="J96" s="63">
        <v>8</v>
      </c>
      <c r="K96" s="159" t="str">
        <f>cbal!E96</f>
        <v>Full-Time</v>
      </c>
      <c r="L96" s="159" t="str">
        <f>cbal!F96</f>
        <v>Full-Time</v>
      </c>
      <c r="M96" s="159" t="str">
        <f>cbal!G96</f>
        <v>Full-Time</v>
      </c>
      <c r="N96" s="8" t="s">
        <v>5287</v>
      </c>
      <c r="O96" s="131" t="b">
        <f t="shared" si="4"/>
        <v>1</v>
      </c>
    </row>
    <row r="97" spans="1:15">
      <c r="A97" s="8" t="s">
        <v>603</v>
      </c>
      <c r="D97" s="63">
        <v>9</v>
      </c>
      <c r="E97" s="159" t="str">
        <f t="shared" si="6"/>
        <v>Part-Time</v>
      </c>
      <c r="F97" s="159" t="str">
        <f t="shared" si="6"/>
        <v>Part-Time</v>
      </c>
      <c r="G97" s="159" t="str">
        <f t="shared" si="6"/>
        <v>Part-Time</v>
      </c>
      <c r="H97" s="8" t="s">
        <v>1534</v>
      </c>
      <c r="I97" s="131" t="b">
        <f t="shared" si="3"/>
        <v>1</v>
      </c>
      <c r="J97" s="63">
        <v>9</v>
      </c>
      <c r="K97" s="159" t="str">
        <f>cbal!E97</f>
        <v>Part-Time</v>
      </c>
      <c r="L97" s="159" t="str">
        <f>cbal!F97</f>
        <v>Part-Time</v>
      </c>
      <c r="M97" s="159" t="str">
        <f>cbal!G97</f>
        <v>Part-Time</v>
      </c>
      <c r="N97" s="8" t="s">
        <v>5288</v>
      </c>
      <c r="O97" s="131" t="b">
        <f t="shared" si="4"/>
        <v>1</v>
      </c>
    </row>
    <row r="98" spans="1:15">
      <c r="A98" s="8" t="s">
        <v>604</v>
      </c>
      <c r="D98" s="8">
        <v>10</v>
      </c>
      <c r="E98" s="159" t="str">
        <f t="shared" si="6"/>
        <v>Full-Time</v>
      </c>
      <c r="F98" s="159" t="str">
        <f t="shared" si="6"/>
        <v>Full-Time</v>
      </c>
      <c r="G98" s="159" t="str">
        <f t="shared" si="6"/>
        <v>Full-Time</v>
      </c>
      <c r="H98" s="8" t="s">
        <v>1535</v>
      </c>
      <c r="I98" s="131" t="b">
        <f t="shared" si="3"/>
        <v>1</v>
      </c>
      <c r="J98" s="8">
        <v>10</v>
      </c>
      <c r="K98" s="159" t="str">
        <f>cbal!E98</f>
        <v>Full-Time</v>
      </c>
      <c r="L98" s="159" t="str">
        <f>cbal!F98</f>
        <v>Full-Time</v>
      </c>
      <c r="M98" s="159" t="str">
        <f>cbal!G98</f>
        <v>Full-Time</v>
      </c>
      <c r="N98" s="8" t="s">
        <v>5289</v>
      </c>
      <c r="O98" s="131" t="b">
        <f t="shared" si="4"/>
        <v>1</v>
      </c>
    </row>
    <row r="99" spans="1:15">
      <c r="A99" s="8" t="s">
        <v>1497</v>
      </c>
      <c r="D99" s="8">
        <v>11</v>
      </c>
      <c r="H99" s="8" t="s">
        <v>1536</v>
      </c>
      <c r="I99" s="131" t="b">
        <f t="shared" si="3"/>
        <v>1</v>
      </c>
      <c r="J99" s="8">
        <v>11</v>
      </c>
      <c r="K99" s="159">
        <f>cbal!E99</f>
        <v>0</v>
      </c>
      <c r="L99" s="159">
        <f>cbal!F99</f>
        <v>0</v>
      </c>
      <c r="M99" s="159">
        <f>cbal!G99</f>
        <v>0</v>
      </c>
      <c r="N99" s="8" t="s">
        <v>5290</v>
      </c>
      <c r="O99" s="131" t="b">
        <f t="shared" si="4"/>
        <v>1</v>
      </c>
    </row>
    <row r="100" spans="1:15">
      <c r="A100" s="8" t="s">
        <v>1498</v>
      </c>
      <c r="D100" s="63">
        <v>12</v>
      </c>
      <c r="H100" s="8" t="s">
        <v>1537</v>
      </c>
      <c r="I100" s="131" t="b">
        <f t="shared" si="3"/>
        <v>1</v>
      </c>
      <c r="J100" s="63">
        <v>12</v>
      </c>
      <c r="K100" s="159">
        <f>cbal!E100</f>
        <v>0</v>
      </c>
      <c r="L100" s="159">
        <f>cbal!F100</f>
        <v>0</v>
      </c>
      <c r="M100" s="159">
        <f>cbal!G100</f>
        <v>0</v>
      </c>
      <c r="N100" s="8" t="s">
        <v>5291</v>
      </c>
      <c r="O100" s="131" t="b">
        <f t="shared" si="4"/>
        <v>1</v>
      </c>
    </row>
    <row r="101" spans="1:15">
      <c r="A101" s="8" t="s">
        <v>3998</v>
      </c>
      <c r="D101" s="63">
        <v>19</v>
      </c>
      <c r="E101" s="159" t="str">
        <f t="shared" ref="E101:G104" si="7">VLOOKUP($D101,dataTableCC1Staff,3,FALSE)</f>
        <v>Full-Time</v>
      </c>
      <c r="F101" s="159" t="str">
        <f t="shared" si="7"/>
        <v>Full-Time</v>
      </c>
      <c r="G101" s="159" t="str">
        <f t="shared" si="7"/>
        <v>Full-Time</v>
      </c>
      <c r="H101" s="8" t="s">
        <v>4010</v>
      </c>
      <c r="I101" s="131" t="b">
        <f t="shared" si="3"/>
        <v>1</v>
      </c>
      <c r="J101" s="63">
        <v>19</v>
      </c>
      <c r="K101" s="159" t="str">
        <f>cbal!E101</f>
        <v>Full-Time</v>
      </c>
      <c r="L101" s="159" t="str">
        <f>cbal!F101</f>
        <v>Full-Time</v>
      </c>
      <c r="M101" s="159" t="str">
        <f>cbal!G101</f>
        <v>Full-Time</v>
      </c>
      <c r="N101" s="8" t="s">
        <v>5292</v>
      </c>
      <c r="O101" s="131" t="b">
        <f t="shared" si="4"/>
        <v>1</v>
      </c>
    </row>
    <row r="102" spans="1:15">
      <c r="A102" s="8" t="s">
        <v>3999</v>
      </c>
      <c r="D102" s="63">
        <v>20</v>
      </c>
      <c r="E102" s="159" t="str">
        <f t="shared" si="7"/>
        <v>Full-Time</v>
      </c>
      <c r="F102" s="159" t="str">
        <f t="shared" si="7"/>
        <v>Full-Time</v>
      </c>
      <c r="G102" s="159" t="str">
        <f t="shared" si="7"/>
        <v>Full-Time</v>
      </c>
      <c r="H102" s="8" t="s">
        <v>4011</v>
      </c>
      <c r="I102" s="131" t="b">
        <f t="shared" si="3"/>
        <v>1</v>
      </c>
      <c r="J102" s="63">
        <v>20</v>
      </c>
      <c r="K102" s="159" t="str">
        <f>cbal!E102</f>
        <v>Full-Time</v>
      </c>
      <c r="L102" s="159" t="str">
        <f>cbal!F102</f>
        <v>Full-Time</v>
      </c>
      <c r="M102" s="159" t="str">
        <f>cbal!G102</f>
        <v>Full-Time</v>
      </c>
      <c r="N102" s="8" t="s">
        <v>5293</v>
      </c>
      <c r="O102" s="131" t="b">
        <f t="shared" si="4"/>
        <v>1</v>
      </c>
    </row>
    <row r="103" spans="1:15">
      <c r="A103" s="8" t="s">
        <v>4000</v>
      </c>
      <c r="D103" s="63">
        <v>21</v>
      </c>
      <c r="E103" s="159" t="str">
        <f t="shared" si="7"/>
        <v>Full-Time</v>
      </c>
      <c r="F103" s="159" t="str">
        <f t="shared" si="7"/>
        <v>Full-Time</v>
      </c>
      <c r="G103" s="159" t="str">
        <f t="shared" si="7"/>
        <v>Full-Time</v>
      </c>
      <c r="H103" s="8" t="s">
        <v>4012</v>
      </c>
      <c r="I103" s="131" t="b">
        <f t="shared" si="3"/>
        <v>1</v>
      </c>
      <c r="J103" s="63">
        <v>21</v>
      </c>
      <c r="K103" s="159" t="str">
        <f>cbal!E103</f>
        <v>Full-Time</v>
      </c>
      <c r="L103" s="159" t="str">
        <f>cbal!F103</f>
        <v>Full-Time</v>
      </c>
      <c r="M103" s="159" t="str">
        <f>cbal!G103</f>
        <v>Full-Time</v>
      </c>
      <c r="N103" s="8" t="s">
        <v>5294</v>
      </c>
      <c r="O103" s="131" t="b">
        <f t="shared" si="4"/>
        <v>1</v>
      </c>
    </row>
    <row r="104" spans="1:15">
      <c r="A104" s="8" t="s">
        <v>4001</v>
      </c>
      <c r="D104" s="63">
        <v>22</v>
      </c>
      <c r="E104" s="159" t="str">
        <f t="shared" si="7"/>
        <v>Full-Time</v>
      </c>
      <c r="F104" s="159" t="str">
        <f t="shared" si="7"/>
        <v>Full-Time</v>
      </c>
      <c r="G104" s="159" t="str">
        <f t="shared" si="7"/>
        <v>Full-Time</v>
      </c>
      <c r="H104" s="8" t="s">
        <v>4013</v>
      </c>
      <c r="I104" s="131" t="b">
        <f t="shared" si="3"/>
        <v>1</v>
      </c>
      <c r="J104" s="63">
        <v>22</v>
      </c>
      <c r="K104" s="159" t="str">
        <f>cbal!E104</f>
        <v>Full-Time</v>
      </c>
      <c r="L104" s="159" t="str">
        <f>cbal!F104</f>
        <v>Full-Time</v>
      </c>
      <c r="M104" s="159" t="str">
        <f>cbal!G104</f>
        <v>Full-Time</v>
      </c>
      <c r="N104" s="8" t="s">
        <v>5295</v>
      </c>
      <c r="O104" s="131" t="b">
        <f t="shared" si="4"/>
        <v>1</v>
      </c>
    </row>
    <row r="105" spans="1:15">
      <c r="I105" s="131" t="b">
        <f t="shared" si="3"/>
        <v>1</v>
      </c>
      <c r="K105" s="159">
        <f>cbal!E105</f>
        <v>0</v>
      </c>
      <c r="L105" s="159">
        <f>cbal!F105</f>
        <v>0</v>
      </c>
      <c r="M105" s="159">
        <f>cbal!G105</f>
        <v>0</v>
      </c>
      <c r="O105" s="131" t="b">
        <f t="shared" si="4"/>
        <v>1</v>
      </c>
    </row>
    <row r="106" spans="1:15">
      <c r="A106" s="8" t="s">
        <v>1983</v>
      </c>
      <c r="I106" s="131" t="b">
        <f t="shared" si="3"/>
        <v>1</v>
      </c>
      <c r="K106" s="159">
        <f>cbal!E106</f>
        <v>0</v>
      </c>
      <c r="L106" s="159">
        <f>cbal!F106</f>
        <v>0</v>
      </c>
      <c r="M106" s="159">
        <f>cbal!G106</f>
        <v>0</v>
      </c>
      <c r="O106" s="131" t="b">
        <f t="shared" si="4"/>
        <v>1</v>
      </c>
    </row>
    <row r="107" spans="1:15">
      <c r="A107" s="8" t="s">
        <v>595</v>
      </c>
      <c r="D107" s="63">
        <v>1</v>
      </c>
      <c r="E107" s="159" t="str">
        <f t="shared" ref="E107:G116" si="8">VLOOKUP($D107,dataTableCC1Staff,4,FALSE)</f>
        <v>Tiana Teachout  </v>
      </c>
      <c r="F107" s="159" t="str">
        <f t="shared" si="8"/>
        <v>Tiana Teachout  </v>
      </c>
      <c r="G107" s="159" t="str">
        <f t="shared" si="8"/>
        <v>Tiana Teachout  </v>
      </c>
      <c r="H107" s="8" t="s">
        <v>1984</v>
      </c>
      <c r="I107" s="131" t="b">
        <f t="shared" si="3"/>
        <v>1</v>
      </c>
      <c r="J107" s="63">
        <v>1</v>
      </c>
      <c r="K107" s="159" t="str">
        <f>cbal!E107</f>
        <v>Tiana Teachout  </v>
      </c>
      <c r="L107" s="159" t="str">
        <f>cbal!F107</f>
        <v>Tiana Teachout  </v>
      </c>
      <c r="M107" s="159" t="str">
        <f>cbal!G107</f>
        <v>Tiana Teachout  </v>
      </c>
      <c r="N107" s="8" t="s">
        <v>5296</v>
      </c>
      <c r="O107" s="131" t="b">
        <f t="shared" si="4"/>
        <v>1</v>
      </c>
    </row>
    <row r="108" spans="1:15">
      <c r="A108" s="8" t="s">
        <v>596</v>
      </c>
      <c r="D108" s="63">
        <v>2</v>
      </c>
      <c r="E108" s="159" t="str">
        <f t="shared" si="8"/>
        <v>Vernon Vale  </v>
      </c>
      <c r="F108" s="159" t="str">
        <f t="shared" si="8"/>
        <v>Vernon Vale  </v>
      </c>
      <c r="G108" s="159" t="str">
        <f t="shared" si="8"/>
        <v>Vernon Vale  </v>
      </c>
      <c r="H108" s="8" t="s">
        <v>1985</v>
      </c>
      <c r="I108" s="131" t="b">
        <f t="shared" si="3"/>
        <v>1</v>
      </c>
      <c r="J108" s="63">
        <v>2</v>
      </c>
      <c r="K108" s="159" t="str">
        <f>cbal!E108</f>
        <v>Vernon Vale  </v>
      </c>
      <c r="L108" s="159" t="str">
        <f>cbal!F108</f>
        <v>Vernon Vale  </v>
      </c>
      <c r="M108" s="159" t="str">
        <f>cbal!G108</f>
        <v>Vernon Vale  </v>
      </c>
      <c r="N108" s="8" t="s">
        <v>5297</v>
      </c>
      <c r="O108" s="131" t="b">
        <f t="shared" si="4"/>
        <v>1</v>
      </c>
    </row>
    <row r="109" spans="1:15">
      <c r="A109" s="8" t="s">
        <v>597</v>
      </c>
      <c r="D109" s="63">
        <v>3</v>
      </c>
      <c r="E109" s="159" t="str">
        <f t="shared" si="8"/>
        <v>Shelby Schoenfeld  </v>
      </c>
      <c r="F109" s="159" t="str">
        <f t="shared" si="8"/>
        <v>Shelby Schoenfeld  </v>
      </c>
      <c r="G109" s="159" t="str">
        <f t="shared" si="8"/>
        <v>Shelby Schoenfeld  </v>
      </c>
      <c r="H109" s="8" t="s">
        <v>1986</v>
      </c>
      <c r="I109" s="131" t="b">
        <f t="shared" si="3"/>
        <v>1</v>
      </c>
      <c r="J109" s="63">
        <v>3</v>
      </c>
      <c r="K109" s="159" t="str">
        <f>cbal!E109</f>
        <v>Shelby Schoenfeld  </v>
      </c>
      <c r="L109" s="159" t="str">
        <f>cbal!F109</f>
        <v>Shelby Schoenfeld  </v>
      </c>
      <c r="M109" s="159" t="str">
        <f>cbal!G109</f>
        <v>Shelby Schoenfeld  </v>
      </c>
      <c r="N109" s="8" t="s">
        <v>5298</v>
      </c>
      <c r="O109" s="131" t="b">
        <f t="shared" si="4"/>
        <v>1</v>
      </c>
    </row>
    <row r="110" spans="1:15">
      <c r="A110" s="8" t="s">
        <v>598</v>
      </c>
      <c r="D110" s="8">
        <v>4</v>
      </c>
      <c r="E110" s="159" t="str">
        <f t="shared" si="8"/>
        <v>Edmond Estepp  </v>
      </c>
      <c r="F110" s="159" t="str">
        <f t="shared" si="8"/>
        <v>Edmond Estepp  </v>
      </c>
      <c r="G110" s="159" t="str">
        <f t="shared" si="8"/>
        <v>Edmond Estepp  </v>
      </c>
      <c r="H110" s="8" t="s">
        <v>1987</v>
      </c>
      <c r="I110" s="131" t="b">
        <f t="shared" si="3"/>
        <v>1</v>
      </c>
      <c r="J110" s="8">
        <v>4</v>
      </c>
      <c r="K110" s="159" t="str">
        <f>cbal!E110</f>
        <v>Edmond Estepp  </v>
      </c>
      <c r="L110" s="159" t="str">
        <f>cbal!F110</f>
        <v>Edmond Estepp  </v>
      </c>
      <c r="M110" s="159" t="str">
        <f>cbal!G110</f>
        <v>Edmond Estepp  </v>
      </c>
      <c r="N110" s="8" t="s">
        <v>5299</v>
      </c>
      <c r="O110" s="131" t="b">
        <f t="shared" si="4"/>
        <v>1</v>
      </c>
    </row>
    <row r="111" spans="1:15">
      <c r="A111" s="8" t="s">
        <v>599</v>
      </c>
      <c r="D111" s="8">
        <v>5</v>
      </c>
      <c r="E111" s="159" t="str">
        <f t="shared" si="8"/>
        <v>Beatrice Ballew  </v>
      </c>
      <c r="F111" s="159" t="str">
        <f t="shared" si="8"/>
        <v>Beatrice Ballew  </v>
      </c>
      <c r="G111" s="159" t="str">
        <f t="shared" si="8"/>
        <v>Beatrice Ballew  </v>
      </c>
      <c r="H111" s="8" t="s">
        <v>1988</v>
      </c>
      <c r="I111" s="131" t="b">
        <f t="shared" si="3"/>
        <v>1</v>
      </c>
      <c r="J111" s="8">
        <v>5</v>
      </c>
      <c r="K111" s="159" t="str">
        <f>cbal!E111</f>
        <v>Beatrice Ballew  </v>
      </c>
      <c r="L111" s="159" t="str">
        <f>cbal!F111</f>
        <v>Beatrice Ballew  </v>
      </c>
      <c r="M111" s="159" t="str">
        <f>cbal!G111</f>
        <v>Beatrice Ballew  </v>
      </c>
      <c r="N111" s="8" t="s">
        <v>5300</v>
      </c>
      <c r="O111" s="131" t="b">
        <f t="shared" si="4"/>
        <v>1</v>
      </c>
    </row>
    <row r="112" spans="1:15">
      <c r="A112" s="8" t="s">
        <v>600</v>
      </c>
      <c r="D112" s="8">
        <v>6</v>
      </c>
      <c r="E112" s="159" t="str">
        <f t="shared" si="8"/>
        <v>Joy Jernigan  </v>
      </c>
      <c r="F112" s="159" t="str">
        <f t="shared" si="8"/>
        <v>Joy Jernigan  </v>
      </c>
      <c r="G112" s="159" t="str">
        <f t="shared" si="8"/>
        <v>Joy Jernigan  </v>
      </c>
      <c r="H112" s="8" t="s">
        <v>1989</v>
      </c>
      <c r="I112" s="131" t="b">
        <f t="shared" si="3"/>
        <v>1</v>
      </c>
      <c r="J112" s="8">
        <v>6</v>
      </c>
      <c r="K112" s="159" t="str">
        <f>cbal!E112</f>
        <v>Joy Jernigan  </v>
      </c>
      <c r="L112" s="159" t="str">
        <f>cbal!F112</f>
        <v>Joy Jernigan  </v>
      </c>
      <c r="M112" s="159" t="str">
        <f>cbal!G112</f>
        <v>Joy Jernigan  </v>
      </c>
      <c r="N112" s="8" t="s">
        <v>5301</v>
      </c>
      <c r="O112" s="131" t="b">
        <f t="shared" si="4"/>
        <v>1</v>
      </c>
    </row>
    <row r="113" spans="1:15">
      <c r="A113" s="8" t="s">
        <v>601</v>
      </c>
      <c r="D113" s="63">
        <v>7</v>
      </c>
      <c r="E113" s="159" t="str">
        <f t="shared" si="8"/>
        <v>Ellie Elizalde  </v>
      </c>
      <c r="F113" s="159" t="str">
        <f t="shared" si="8"/>
        <v>Ellie Elizalde  </v>
      </c>
      <c r="G113" s="159" t="str">
        <f t="shared" si="8"/>
        <v>Ellie Elizalde  </v>
      </c>
      <c r="H113" s="8" t="s">
        <v>1990</v>
      </c>
      <c r="I113" s="131" t="b">
        <f t="shared" si="3"/>
        <v>1</v>
      </c>
      <c r="J113" s="63">
        <v>7</v>
      </c>
      <c r="K113" s="159" t="str">
        <f>cbal!E113</f>
        <v>Ellie Elizalde  </v>
      </c>
      <c r="L113" s="159" t="str">
        <f>cbal!F113</f>
        <v>Ellie Elizalde  </v>
      </c>
      <c r="M113" s="159" t="str">
        <f>cbal!G113</f>
        <v>Ellie Elizalde  </v>
      </c>
      <c r="N113" s="8" t="s">
        <v>5302</v>
      </c>
      <c r="O113" s="131" t="b">
        <f t="shared" si="4"/>
        <v>1</v>
      </c>
    </row>
    <row r="114" spans="1:15">
      <c r="A114" s="8" t="s">
        <v>602</v>
      </c>
      <c r="D114" s="63">
        <v>8</v>
      </c>
      <c r="E114" s="159" t="str">
        <f t="shared" si="8"/>
        <v>Jestine Jeffers  </v>
      </c>
      <c r="F114" s="159" t="str">
        <f t="shared" si="8"/>
        <v>Jestine Jeffers  </v>
      </c>
      <c r="G114" s="159" t="str">
        <f t="shared" si="8"/>
        <v>Jestine Jeffers  </v>
      </c>
      <c r="H114" s="8" t="s">
        <v>1991</v>
      </c>
      <c r="I114" s="131" t="b">
        <f t="shared" si="3"/>
        <v>1</v>
      </c>
      <c r="J114" s="63">
        <v>8</v>
      </c>
      <c r="K114" s="159" t="str">
        <f>cbal!E114</f>
        <v>Jestine Jeffers  </v>
      </c>
      <c r="L114" s="159" t="str">
        <f>cbal!F114</f>
        <v>Jestine Jeffers  </v>
      </c>
      <c r="M114" s="159" t="str">
        <f>cbal!G114</f>
        <v>Jestine Jeffers  </v>
      </c>
      <c r="N114" s="8" t="s">
        <v>5303</v>
      </c>
      <c r="O114" s="131" t="b">
        <f t="shared" si="4"/>
        <v>1</v>
      </c>
    </row>
    <row r="115" spans="1:15">
      <c r="A115" s="8" t="s">
        <v>603</v>
      </c>
      <c r="D115" s="63">
        <v>9</v>
      </c>
      <c r="E115" s="159" t="str">
        <f t="shared" si="8"/>
        <v>Elease Esters  </v>
      </c>
      <c r="F115" s="159" t="str">
        <f t="shared" si="8"/>
        <v>Elease Esters  </v>
      </c>
      <c r="G115" s="159" t="str">
        <f t="shared" si="8"/>
        <v>Elease Esters  </v>
      </c>
      <c r="H115" s="8" t="s">
        <v>1992</v>
      </c>
      <c r="I115" s="131" t="b">
        <f t="shared" si="3"/>
        <v>1</v>
      </c>
      <c r="J115" s="63">
        <v>9</v>
      </c>
      <c r="K115" s="159" t="str">
        <f>cbal!E115</f>
        <v>Elease Esters  </v>
      </c>
      <c r="L115" s="159" t="str">
        <f>cbal!F115</f>
        <v>Elease Esters  </v>
      </c>
      <c r="M115" s="159" t="str">
        <f>cbal!G115</f>
        <v>Elease Esters  </v>
      </c>
      <c r="N115" s="8" t="s">
        <v>5304</v>
      </c>
      <c r="O115" s="131" t="b">
        <f t="shared" si="4"/>
        <v>1</v>
      </c>
    </row>
    <row r="116" spans="1:15">
      <c r="A116" s="8" t="s">
        <v>604</v>
      </c>
      <c r="D116" s="8">
        <v>10</v>
      </c>
      <c r="E116" s="159" t="str">
        <f t="shared" si="8"/>
        <v>Ginger Gault  </v>
      </c>
      <c r="F116" s="159" t="str">
        <f t="shared" si="8"/>
        <v>Ginger Gault  </v>
      </c>
      <c r="G116" s="159" t="str">
        <f t="shared" si="8"/>
        <v>Ginger Gault  </v>
      </c>
      <c r="H116" s="8" t="s">
        <v>1993</v>
      </c>
      <c r="I116" s="131" t="b">
        <f t="shared" si="3"/>
        <v>1</v>
      </c>
      <c r="J116" s="8">
        <v>10</v>
      </c>
      <c r="K116" s="159" t="str">
        <f>cbal!E116</f>
        <v>Ginger Gault  </v>
      </c>
      <c r="L116" s="159" t="str">
        <f>cbal!F116</f>
        <v>Ginger Gault  </v>
      </c>
      <c r="M116" s="159" t="str">
        <f>cbal!G116</f>
        <v>Ginger Gault  </v>
      </c>
      <c r="N116" s="8" t="s">
        <v>5305</v>
      </c>
      <c r="O116" s="131" t="b">
        <f t="shared" si="4"/>
        <v>1</v>
      </c>
    </row>
    <row r="117" spans="1:15">
      <c r="A117" s="8" t="s">
        <v>1497</v>
      </c>
      <c r="D117" s="8">
        <v>11</v>
      </c>
      <c r="H117" s="8" t="s">
        <v>1994</v>
      </c>
      <c r="I117" s="131" t="b">
        <f t="shared" si="3"/>
        <v>1</v>
      </c>
      <c r="J117" s="8">
        <v>11</v>
      </c>
      <c r="K117" s="159">
        <f>cbal!E117</f>
        <v>0</v>
      </c>
      <c r="L117" s="159">
        <f>cbal!F117</f>
        <v>0</v>
      </c>
      <c r="M117" s="159">
        <f>cbal!G117</f>
        <v>0</v>
      </c>
      <c r="N117" s="8" t="s">
        <v>5306</v>
      </c>
      <c r="O117" s="131" t="b">
        <f t="shared" si="4"/>
        <v>1</v>
      </c>
    </row>
    <row r="118" spans="1:15">
      <c r="A118" s="8" t="s">
        <v>1498</v>
      </c>
      <c r="D118" s="63">
        <v>12</v>
      </c>
      <c r="H118" s="8" t="s">
        <v>1995</v>
      </c>
      <c r="I118" s="131" t="b">
        <f t="shared" si="3"/>
        <v>1</v>
      </c>
      <c r="J118" s="63">
        <v>12</v>
      </c>
      <c r="K118" s="473">
        <f>cbal!E118</f>
        <v>0</v>
      </c>
      <c r="L118" s="473">
        <f>cbal!F118</f>
        <v>0</v>
      </c>
      <c r="M118" s="473">
        <f>cbal!G118</f>
        <v>0</v>
      </c>
      <c r="N118" s="8" t="s">
        <v>5307</v>
      </c>
      <c r="O118" s="131" t="b">
        <f t="shared" si="4"/>
        <v>1</v>
      </c>
    </row>
    <row r="119" spans="1:15">
      <c r="A119" s="633" t="s">
        <v>3998</v>
      </c>
      <c r="C119" s="63" t="s">
        <v>550</v>
      </c>
      <c r="E119" s="159">
        <v>4.5</v>
      </c>
      <c r="F119" s="473">
        <v>8.59375</v>
      </c>
      <c r="G119" s="473">
        <v>4.6875</v>
      </c>
      <c r="H119" s="8" t="s">
        <v>8254</v>
      </c>
      <c r="I119" s="131" t="b">
        <f t="shared" ref="I119:I122" si="9">MAX(E119:G119)=MIN(E119:G119)</f>
        <v>0</v>
      </c>
      <c r="K119" s="473">
        <f>cbal!E119</f>
        <v>3.8475000000000001</v>
      </c>
      <c r="L119" s="473">
        <f>cbal!F119</f>
        <v>7.5350214843750001</v>
      </c>
      <c r="M119" s="473">
        <f>cbal!G119</f>
        <v>3.9817617187500001</v>
      </c>
      <c r="N119" s="8" t="s">
        <v>8262</v>
      </c>
      <c r="O119" s="131" t="b">
        <f t="shared" ref="O119:O122" si="10">MAX(K119:M119)=MIN(K119:M119)</f>
        <v>0</v>
      </c>
    </row>
    <row r="120" spans="1:15">
      <c r="A120" s="633" t="s">
        <v>3999</v>
      </c>
      <c r="C120" s="63" t="s">
        <v>554</v>
      </c>
      <c r="E120" s="159">
        <v>6.5</v>
      </c>
      <c r="F120" s="473">
        <v>8.615384615384615</v>
      </c>
      <c r="G120" s="473">
        <v>4.615384615384615</v>
      </c>
      <c r="H120" s="8" t="s">
        <v>8255</v>
      </c>
      <c r="I120" s="131" t="b">
        <f t="shared" si="9"/>
        <v>0</v>
      </c>
      <c r="K120" s="473">
        <f>cbal!E120</f>
        <v>5.5575000000000001</v>
      </c>
      <c r="L120" s="473">
        <f>cbal!F120</f>
        <v>7.5539907692307695</v>
      </c>
      <c r="M120" s="473">
        <f>cbal!G120</f>
        <v>3.9205038461538457</v>
      </c>
      <c r="N120" s="8" t="s">
        <v>8263</v>
      </c>
      <c r="O120" s="131" t="b">
        <f t="shared" si="10"/>
        <v>0</v>
      </c>
    </row>
    <row r="121" spans="1:15">
      <c r="A121" s="633" t="s">
        <v>4000</v>
      </c>
      <c r="C121" s="63" t="s">
        <v>556</v>
      </c>
      <c r="E121" s="159">
        <v>10</v>
      </c>
      <c r="F121" s="473">
        <v>18.571428571428573</v>
      </c>
      <c r="G121" s="473">
        <v>9.5238095238095237</v>
      </c>
      <c r="H121" s="8" t="s">
        <v>8256</v>
      </c>
      <c r="I121" s="131" t="b">
        <f t="shared" si="9"/>
        <v>0</v>
      </c>
      <c r="K121" s="473">
        <f>cbal!E121</f>
        <v>8.5500000000000007</v>
      </c>
      <c r="L121" s="473">
        <f>cbal!F121</f>
        <v>16.283475000000003</v>
      </c>
      <c r="M121" s="473">
        <f>cbal!G121</f>
        <v>8.0899285714285707</v>
      </c>
      <c r="N121" s="8" t="s">
        <v>8264</v>
      </c>
      <c r="O121" s="131" t="b">
        <f t="shared" si="10"/>
        <v>0</v>
      </c>
    </row>
    <row r="122" spans="1:15">
      <c r="A122" s="633" t="s">
        <v>4001</v>
      </c>
      <c r="C122" s="63" t="s">
        <v>555</v>
      </c>
      <c r="E122" s="159">
        <v>3</v>
      </c>
      <c r="F122" s="473">
        <v>5.5555555555555554</v>
      </c>
      <c r="G122" s="473">
        <v>3.3333333333333335</v>
      </c>
      <c r="H122" s="8" t="s">
        <v>8257</v>
      </c>
      <c r="I122" s="131" t="b">
        <f t="shared" si="9"/>
        <v>0</v>
      </c>
      <c r="K122" s="473">
        <f>cbal!E122</f>
        <v>2.5649999999999999</v>
      </c>
      <c r="L122" s="473">
        <f>cbal!F122</f>
        <v>4.8711250000000001</v>
      </c>
      <c r="M122" s="473">
        <f>cbal!G122</f>
        <v>2.8314750000000002</v>
      </c>
      <c r="N122" s="8" t="s">
        <v>8265</v>
      </c>
      <c r="O122" s="131" t="b">
        <f t="shared" si="10"/>
        <v>0</v>
      </c>
    </row>
    <row r="123" spans="1:15">
      <c r="A123" s="633" t="s">
        <v>3998</v>
      </c>
      <c r="C123" s="63" t="s">
        <v>550</v>
      </c>
      <c r="E123" s="473">
        <v>28</v>
      </c>
      <c r="F123" s="473">
        <v>32</v>
      </c>
      <c r="G123" s="473">
        <v>32</v>
      </c>
      <c r="H123" s="8" t="s">
        <v>8270</v>
      </c>
      <c r="I123" s="131" t="b">
        <f t="shared" ref="I123:I126" si="11">MAX(E123:G123)=MIN(E123:G123)</f>
        <v>0</v>
      </c>
      <c r="K123" s="473">
        <f>cbal!E123</f>
        <v>28</v>
      </c>
      <c r="L123" s="473">
        <f>cbal!F123</f>
        <v>32</v>
      </c>
      <c r="M123" s="473">
        <f>cbal!G123</f>
        <v>32</v>
      </c>
      <c r="N123" s="8" t="s">
        <v>8274</v>
      </c>
      <c r="O123" s="131" t="b">
        <f t="shared" ref="O123:O126" si="12">MAX(K123:M123)=MIN(K123:M123)</f>
        <v>0</v>
      </c>
    </row>
    <row r="124" spans="1:15">
      <c r="A124" s="633" t="s">
        <v>3999</v>
      </c>
      <c r="C124" s="63" t="s">
        <v>554</v>
      </c>
      <c r="E124" s="473">
        <v>31</v>
      </c>
      <c r="F124" s="473">
        <v>32.5</v>
      </c>
      <c r="G124" s="473">
        <v>32.5</v>
      </c>
      <c r="H124" s="8" t="s">
        <v>8271</v>
      </c>
      <c r="I124" s="131" t="b">
        <f t="shared" si="11"/>
        <v>0</v>
      </c>
      <c r="K124" s="473">
        <f>cbal!E124</f>
        <v>31</v>
      </c>
      <c r="L124" s="473">
        <f>cbal!F124</f>
        <v>32.5</v>
      </c>
      <c r="M124" s="473">
        <f>cbal!G124</f>
        <v>32.5</v>
      </c>
      <c r="N124" s="8" t="s">
        <v>8275</v>
      </c>
      <c r="O124" s="131" t="b">
        <f t="shared" si="12"/>
        <v>0</v>
      </c>
    </row>
    <row r="125" spans="1:15">
      <c r="A125" s="633" t="s">
        <v>4000</v>
      </c>
      <c r="C125" s="63" t="s">
        <v>556</v>
      </c>
      <c r="E125" s="473">
        <v>33</v>
      </c>
      <c r="F125" s="473">
        <v>31.5</v>
      </c>
      <c r="G125" s="473">
        <v>31.5</v>
      </c>
      <c r="H125" s="8" t="s">
        <v>8272</v>
      </c>
      <c r="I125" s="131" t="b">
        <f t="shared" si="11"/>
        <v>0</v>
      </c>
      <c r="K125" s="473">
        <f>cbal!E125</f>
        <v>33</v>
      </c>
      <c r="L125" s="473">
        <f>cbal!F125</f>
        <v>31.5</v>
      </c>
      <c r="M125" s="473">
        <f>cbal!G125</f>
        <v>31.5</v>
      </c>
      <c r="N125" s="8" t="s">
        <v>8276</v>
      </c>
      <c r="O125" s="131" t="b">
        <f t="shared" si="12"/>
        <v>0</v>
      </c>
    </row>
    <row r="126" spans="1:15">
      <c r="A126" s="633" t="s">
        <v>4001</v>
      </c>
      <c r="C126" s="63" t="s">
        <v>555</v>
      </c>
      <c r="E126" s="473">
        <v>29</v>
      </c>
      <c r="F126" s="473">
        <v>27</v>
      </c>
      <c r="G126" s="473">
        <v>27</v>
      </c>
      <c r="H126" s="8" t="s">
        <v>8273</v>
      </c>
      <c r="I126" s="131" t="b">
        <f t="shared" si="11"/>
        <v>0</v>
      </c>
      <c r="K126" s="473">
        <f>cbal!E126</f>
        <v>29</v>
      </c>
      <c r="L126" s="473">
        <f>cbal!F126</f>
        <v>27</v>
      </c>
      <c r="M126" s="473">
        <f>cbal!G126</f>
        <v>27</v>
      </c>
      <c r="N126" s="8" t="s">
        <v>8277</v>
      </c>
      <c r="O126" s="131" t="b">
        <f t="shared" si="12"/>
        <v>0</v>
      </c>
    </row>
    <row r="127" spans="1:15">
      <c r="I127" s="131" t="b">
        <f t="shared" si="3"/>
        <v>1</v>
      </c>
      <c r="K127" s="159"/>
      <c r="L127" s="159"/>
      <c r="M127" s="159"/>
      <c r="O127" s="131" t="b">
        <f t="shared" si="4"/>
        <v>1</v>
      </c>
    </row>
    <row r="128" spans="1:15">
      <c r="A128" s="8" t="s">
        <v>1550</v>
      </c>
      <c r="I128" s="131" t="b">
        <f t="shared" si="3"/>
        <v>1</v>
      </c>
      <c r="K128" s="159"/>
      <c r="L128" s="159"/>
      <c r="M128" s="159"/>
      <c r="O128" s="131" t="b">
        <f t="shared" si="4"/>
        <v>1</v>
      </c>
    </row>
    <row r="129" spans="1:15">
      <c r="A129" s="8" t="s">
        <v>595</v>
      </c>
      <c r="D129" s="63">
        <v>1</v>
      </c>
      <c r="E129" s="473">
        <f t="shared" ref="E129:G138" si="13">VLOOKUP($D129,dataTableCC1Staff,5,FALSE)</f>
        <v>27</v>
      </c>
      <c r="F129" s="473">
        <f t="shared" si="13"/>
        <v>27</v>
      </c>
      <c r="G129" s="473">
        <f t="shared" si="13"/>
        <v>27</v>
      </c>
      <c r="H129" s="8" t="s">
        <v>1551</v>
      </c>
      <c r="I129" s="131" t="b">
        <f t="shared" si="3"/>
        <v>1</v>
      </c>
      <c r="J129" s="63">
        <v>1</v>
      </c>
      <c r="K129" s="159">
        <f>cbal!E129</f>
        <v>27</v>
      </c>
      <c r="L129" s="159">
        <f>cbal!F129</f>
        <v>27</v>
      </c>
      <c r="M129" s="159">
        <f>cbal!G129</f>
        <v>27</v>
      </c>
      <c r="N129" s="8" t="s">
        <v>5308</v>
      </c>
      <c r="O129" s="131" t="b">
        <f t="shared" si="4"/>
        <v>1</v>
      </c>
    </row>
    <row r="130" spans="1:15">
      <c r="A130" s="8" t="s">
        <v>596</v>
      </c>
      <c r="D130" s="63">
        <v>2</v>
      </c>
      <c r="E130" s="473">
        <f t="shared" si="13"/>
        <v>24</v>
      </c>
      <c r="F130" s="473">
        <f t="shared" si="13"/>
        <v>24</v>
      </c>
      <c r="G130" s="473">
        <f t="shared" si="13"/>
        <v>24</v>
      </c>
      <c r="H130" s="8" t="s">
        <v>1552</v>
      </c>
      <c r="I130" s="131" t="b">
        <f t="shared" si="3"/>
        <v>1</v>
      </c>
      <c r="J130" s="63">
        <v>2</v>
      </c>
      <c r="K130" s="159">
        <f>cbal!E130</f>
        <v>24</v>
      </c>
      <c r="L130" s="159">
        <f>cbal!F130</f>
        <v>24</v>
      </c>
      <c r="M130" s="159">
        <f>cbal!G130</f>
        <v>24</v>
      </c>
      <c r="N130" s="8" t="s">
        <v>5309</v>
      </c>
      <c r="O130" s="131" t="b">
        <f t="shared" si="4"/>
        <v>1</v>
      </c>
    </row>
    <row r="131" spans="1:15">
      <c r="A131" s="8" t="s">
        <v>597</v>
      </c>
      <c r="D131" s="63">
        <v>3</v>
      </c>
      <c r="E131" s="473">
        <f t="shared" si="13"/>
        <v>12.526315789473685</v>
      </c>
      <c r="F131" s="473">
        <f t="shared" si="13"/>
        <v>12.526315789473685</v>
      </c>
      <c r="G131" s="473">
        <f t="shared" si="13"/>
        <v>12.526315789473685</v>
      </c>
      <c r="H131" s="8" t="s">
        <v>1553</v>
      </c>
      <c r="I131" s="131" t="b">
        <f t="shared" si="3"/>
        <v>1</v>
      </c>
      <c r="J131" s="63">
        <v>3</v>
      </c>
      <c r="K131" s="159">
        <f>cbal!E131</f>
        <v>12.526315789473685</v>
      </c>
      <c r="L131" s="159">
        <f>cbal!F131</f>
        <v>12.526315789473685</v>
      </c>
      <c r="M131" s="159">
        <f>cbal!G131</f>
        <v>12.526315789473685</v>
      </c>
      <c r="N131" s="8" t="s">
        <v>5310</v>
      </c>
      <c r="O131" s="131" t="b">
        <f t="shared" si="4"/>
        <v>1</v>
      </c>
    </row>
    <row r="132" spans="1:15">
      <c r="A132" s="8" t="s">
        <v>598</v>
      </c>
      <c r="D132" s="8">
        <v>4</v>
      </c>
      <c r="E132" s="473">
        <f t="shared" si="13"/>
        <v>33</v>
      </c>
      <c r="F132" s="473">
        <f t="shared" si="13"/>
        <v>33</v>
      </c>
      <c r="G132" s="473">
        <f t="shared" si="13"/>
        <v>33</v>
      </c>
      <c r="H132" s="8" t="s">
        <v>1554</v>
      </c>
      <c r="I132" s="131" t="b">
        <f t="shared" si="3"/>
        <v>1</v>
      </c>
      <c r="J132" s="8">
        <v>4</v>
      </c>
      <c r="K132" s="159">
        <f>cbal!E132</f>
        <v>33</v>
      </c>
      <c r="L132" s="159">
        <f>cbal!F132</f>
        <v>33</v>
      </c>
      <c r="M132" s="159">
        <f>cbal!G132</f>
        <v>33</v>
      </c>
      <c r="N132" s="8" t="s">
        <v>5311</v>
      </c>
      <c r="O132" s="131" t="b">
        <f t="shared" si="4"/>
        <v>1</v>
      </c>
    </row>
    <row r="133" spans="1:15">
      <c r="A133" s="8" t="s">
        <v>599</v>
      </c>
      <c r="D133" s="8">
        <v>5</v>
      </c>
      <c r="E133" s="473">
        <f t="shared" si="13"/>
        <v>17.52577319587629</v>
      </c>
      <c r="F133" s="473">
        <f t="shared" si="13"/>
        <v>17.52577319587629</v>
      </c>
      <c r="G133" s="473">
        <f t="shared" si="13"/>
        <v>17.52577319587629</v>
      </c>
      <c r="H133" s="8" t="s">
        <v>1555</v>
      </c>
      <c r="I133" s="131" t="b">
        <f t="shared" si="3"/>
        <v>1</v>
      </c>
      <c r="J133" s="8">
        <v>5</v>
      </c>
      <c r="K133" s="159">
        <f>cbal!E133</f>
        <v>17.52577319587629</v>
      </c>
      <c r="L133" s="159">
        <f>cbal!F133</f>
        <v>17.52577319587629</v>
      </c>
      <c r="M133" s="159">
        <f>cbal!G133</f>
        <v>17.52577319587629</v>
      </c>
      <c r="N133" s="8" t="s">
        <v>5312</v>
      </c>
      <c r="O133" s="131" t="b">
        <f t="shared" si="4"/>
        <v>1</v>
      </c>
    </row>
    <row r="134" spans="1:15">
      <c r="A134" s="8" t="s">
        <v>600</v>
      </c>
      <c r="D134" s="8">
        <v>6</v>
      </c>
      <c r="E134" s="473">
        <f t="shared" si="13"/>
        <v>30</v>
      </c>
      <c r="F134" s="473">
        <f t="shared" si="13"/>
        <v>30</v>
      </c>
      <c r="G134" s="473">
        <f t="shared" si="13"/>
        <v>30</v>
      </c>
      <c r="H134" s="8" t="s">
        <v>1556</v>
      </c>
      <c r="I134" s="131" t="b">
        <f t="shared" si="3"/>
        <v>1</v>
      </c>
      <c r="J134" s="8">
        <v>6</v>
      </c>
      <c r="K134" s="159">
        <f>cbal!E134</f>
        <v>30</v>
      </c>
      <c r="L134" s="159">
        <f>cbal!F134</f>
        <v>30</v>
      </c>
      <c r="M134" s="159">
        <f>cbal!G134</f>
        <v>30</v>
      </c>
      <c r="N134" s="8" t="s">
        <v>5313</v>
      </c>
      <c r="O134" s="131" t="b">
        <f t="shared" si="4"/>
        <v>1</v>
      </c>
    </row>
    <row r="135" spans="1:15">
      <c r="A135" s="8" t="s">
        <v>601</v>
      </c>
      <c r="D135" s="63">
        <v>7</v>
      </c>
      <c r="E135" s="473">
        <f t="shared" si="13"/>
        <v>28</v>
      </c>
      <c r="F135" s="473">
        <f t="shared" si="13"/>
        <v>28</v>
      </c>
      <c r="G135" s="473">
        <f t="shared" si="13"/>
        <v>28</v>
      </c>
      <c r="H135" s="8" t="s">
        <v>1557</v>
      </c>
      <c r="I135" s="131" t="b">
        <f t="shared" si="3"/>
        <v>1</v>
      </c>
      <c r="J135" s="63">
        <v>7</v>
      </c>
      <c r="K135" s="159">
        <f>cbal!E135</f>
        <v>28</v>
      </c>
      <c r="L135" s="159">
        <f>cbal!F135</f>
        <v>28</v>
      </c>
      <c r="M135" s="159">
        <f>cbal!G135</f>
        <v>28</v>
      </c>
      <c r="N135" s="8" t="s">
        <v>5314</v>
      </c>
      <c r="O135" s="131" t="b">
        <f t="shared" si="4"/>
        <v>1</v>
      </c>
    </row>
    <row r="136" spans="1:15">
      <c r="A136" s="8" t="s">
        <v>602</v>
      </c>
      <c r="D136" s="63">
        <v>8</v>
      </c>
      <c r="E136" s="473">
        <f t="shared" si="13"/>
        <v>29</v>
      </c>
      <c r="F136" s="473">
        <f t="shared" si="13"/>
        <v>29</v>
      </c>
      <c r="G136" s="473">
        <f t="shared" si="13"/>
        <v>29</v>
      </c>
      <c r="H136" s="8" t="s">
        <v>1558</v>
      </c>
      <c r="I136" s="131" t="b">
        <f t="shared" si="3"/>
        <v>1</v>
      </c>
      <c r="J136" s="63">
        <v>8</v>
      </c>
      <c r="K136" s="159">
        <f>cbal!E136</f>
        <v>29</v>
      </c>
      <c r="L136" s="159">
        <f>cbal!F136</f>
        <v>29</v>
      </c>
      <c r="M136" s="159">
        <f>cbal!G136</f>
        <v>29</v>
      </c>
      <c r="N136" s="8" t="s">
        <v>5315</v>
      </c>
      <c r="O136" s="131" t="b">
        <f t="shared" si="4"/>
        <v>1</v>
      </c>
    </row>
    <row r="137" spans="1:15">
      <c r="A137" s="8" t="s">
        <v>603</v>
      </c>
      <c r="D137" s="63">
        <v>9</v>
      </c>
      <c r="E137" s="473">
        <f t="shared" si="13"/>
        <v>15.773195876288661</v>
      </c>
      <c r="F137" s="473">
        <f t="shared" si="13"/>
        <v>15.773195876288661</v>
      </c>
      <c r="G137" s="473">
        <f t="shared" si="13"/>
        <v>15.773195876288661</v>
      </c>
      <c r="H137" s="8" t="s">
        <v>1559</v>
      </c>
      <c r="I137" s="131" t="b">
        <f t="shared" si="3"/>
        <v>1</v>
      </c>
      <c r="J137" s="63">
        <v>9</v>
      </c>
      <c r="K137" s="159">
        <f>cbal!E137</f>
        <v>15.773195876288661</v>
      </c>
      <c r="L137" s="159">
        <f>cbal!F137</f>
        <v>15.773195876288661</v>
      </c>
      <c r="M137" s="159">
        <f>cbal!G137</f>
        <v>15.773195876288661</v>
      </c>
      <c r="N137" s="8" t="s">
        <v>5316</v>
      </c>
      <c r="O137" s="131" t="b">
        <f t="shared" si="4"/>
        <v>1</v>
      </c>
    </row>
    <row r="138" spans="1:15">
      <c r="A138" s="8" t="s">
        <v>604</v>
      </c>
      <c r="D138" s="8">
        <v>10</v>
      </c>
      <c r="E138" s="473">
        <f t="shared" si="13"/>
        <v>25.05263157894737</v>
      </c>
      <c r="F138" s="473">
        <f t="shared" si="13"/>
        <v>25.05263157894737</v>
      </c>
      <c r="G138" s="473">
        <f t="shared" si="13"/>
        <v>25.05263157894737</v>
      </c>
      <c r="H138" s="8" t="s">
        <v>1560</v>
      </c>
      <c r="I138" s="131" t="b">
        <f t="shared" si="3"/>
        <v>1</v>
      </c>
      <c r="J138" s="8">
        <v>10</v>
      </c>
      <c r="K138" s="159">
        <f>cbal!E138</f>
        <v>25.05263157894737</v>
      </c>
      <c r="L138" s="159">
        <f>cbal!F138</f>
        <v>25.05263157894737</v>
      </c>
      <c r="M138" s="159">
        <f>cbal!G138</f>
        <v>25.05263157894737</v>
      </c>
      <c r="N138" s="8" t="s">
        <v>5317</v>
      </c>
      <c r="O138" s="131" t="b">
        <f t="shared" si="4"/>
        <v>1</v>
      </c>
    </row>
    <row r="139" spans="1:15">
      <c r="A139" s="8" t="s">
        <v>1497</v>
      </c>
      <c r="D139" s="8">
        <v>11</v>
      </c>
      <c r="E139" s="159">
        <v>0</v>
      </c>
      <c r="F139" s="159">
        <v>0</v>
      </c>
      <c r="G139" s="159">
        <v>0</v>
      </c>
      <c r="H139" s="8" t="s">
        <v>1561</v>
      </c>
      <c r="I139" s="131" t="b">
        <f t="shared" si="3"/>
        <v>1</v>
      </c>
      <c r="J139" s="8">
        <v>11</v>
      </c>
      <c r="K139" s="159">
        <f>cbal!E139</f>
        <v>0</v>
      </c>
      <c r="L139" s="159">
        <f>cbal!F139</f>
        <v>0</v>
      </c>
      <c r="M139" s="159">
        <f>cbal!G139</f>
        <v>0</v>
      </c>
      <c r="N139" s="8" t="s">
        <v>5318</v>
      </c>
      <c r="O139" s="131" t="b">
        <f t="shared" si="4"/>
        <v>1</v>
      </c>
    </row>
    <row r="140" spans="1:15">
      <c r="A140" s="8" t="s">
        <v>1498</v>
      </c>
      <c r="D140" s="63">
        <v>12</v>
      </c>
      <c r="E140" s="159">
        <v>0</v>
      </c>
      <c r="F140" s="159">
        <v>0</v>
      </c>
      <c r="G140" s="159">
        <v>0</v>
      </c>
      <c r="H140" s="8" t="s">
        <v>1562</v>
      </c>
      <c r="I140" s="131" t="b">
        <f t="shared" si="3"/>
        <v>1</v>
      </c>
      <c r="J140" s="63">
        <v>12</v>
      </c>
      <c r="K140" s="159">
        <f>cbal!E140</f>
        <v>0</v>
      </c>
      <c r="L140" s="159">
        <f>cbal!F140</f>
        <v>0</v>
      </c>
      <c r="M140" s="159">
        <f>cbal!G140</f>
        <v>0</v>
      </c>
      <c r="N140" s="8" t="s">
        <v>5319</v>
      </c>
      <c r="O140" s="131" t="b">
        <f t="shared" si="4"/>
        <v>1</v>
      </c>
    </row>
    <row r="141" spans="1:15">
      <c r="A141" s="633" t="s">
        <v>3998</v>
      </c>
      <c r="D141" s="63">
        <v>19</v>
      </c>
      <c r="E141" s="752">
        <f>obalLOB1NumProdClinician13*obalLOB1BaseProdClinician13</f>
        <v>126</v>
      </c>
      <c r="F141" s="691">
        <f>obalLOB1NumProdClinician13*obalLOB1BaseProdClinician13</f>
        <v>275</v>
      </c>
      <c r="G141" s="691">
        <f>obalLOB1NumProdClinician13*obalLOB1BaseProdClinician13</f>
        <v>150</v>
      </c>
      <c r="H141" s="8" t="s">
        <v>4018</v>
      </c>
      <c r="I141" s="131" t="b">
        <f t="shared" si="3"/>
        <v>0</v>
      </c>
      <c r="J141" s="63">
        <v>19</v>
      </c>
      <c r="K141" s="159">
        <f>cbal!E141</f>
        <v>107.73</v>
      </c>
      <c r="L141" s="159">
        <f>cbal!F141</f>
        <v>241.1206875</v>
      </c>
      <c r="M141" s="159">
        <f>cbal!G141</f>
        <v>127.416375</v>
      </c>
      <c r="N141" s="8" t="s">
        <v>5320</v>
      </c>
      <c r="O141" s="131" t="b">
        <f t="shared" si="4"/>
        <v>0</v>
      </c>
    </row>
    <row r="142" spans="1:15">
      <c r="A142" s="633" t="s">
        <v>3999</v>
      </c>
      <c r="D142" s="63">
        <v>20</v>
      </c>
      <c r="E142" s="752">
        <f>obalLOB1NumProdClinician14*obalLOB1BaseProdClinician14</f>
        <v>201.5</v>
      </c>
      <c r="F142" s="691">
        <f>obalLOB1NumProdClinician14*obalLOB1BaseProdClinician14</f>
        <v>280</v>
      </c>
      <c r="G142" s="691">
        <f>obalLOB1NumProdClinician14*obalLOB1BaseProdClinician14</f>
        <v>150</v>
      </c>
      <c r="H142" s="8" t="s">
        <v>4019</v>
      </c>
      <c r="I142" s="131" t="b">
        <f t="shared" si="3"/>
        <v>0</v>
      </c>
      <c r="J142" s="63">
        <v>20</v>
      </c>
      <c r="K142" s="159">
        <f>cbal!E142</f>
        <v>172.2825</v>
      </c>
      <c r="L142" s="159">
        <f>cbal!F142</f>
        <v>272.78300000000002</v>
      </c>
      <c r="M142" s="159">
        <f>cbal!G142</f>
        <v>141.57374999999999</v>
      </c>
      <c r="N142" s="8" t="s">
        <v>5321</v>
      </c>
      <c r="O142" s="131" t="b">
        <f t="shared" si="4"/>
        <v>0</v>
      </c>
    </row>
    <row r="143" spans="1:15">
      <c r="A143" s="633" t="s">
        <v>4000</v>
      </c>
      <c r="D143" s="63">
        <v>21</v>
      </c>
      <c r="E143" s="752">
        <f>obalLOB1NumProdClinician15*obalLOB1BaseProdClinician15</f>
        <v>330</v>
      </c>
      <c r="F143" s="691">
        <f>obalLOB1NumProdClinician15*obalLOB1BaseProdClinician15</f>
        <v>585</v>
      </c>
      <c r="G143" s="691">
        <f>obalLOB1NumProdClinician15*obalLOB1BaseProdClinician15</f>
        <v>300</v>
      </c>
      <c r="H143" s="8" t="s">
        <v>4020</v>
      </c>
      <c r="I143" s="131" t="b">
        <f t="shared" si="3"/>
        <v>0</v>
      </c>
      <c r="J143" s="63">
        <v>21</v>
      </c>
      <c r="K143" s="159">
        <f>cbal!E143</f>
        <v>282.15000000000003</v>
      </c>
      <c r="L143" s="159">
        <f>cbal!F143</f>
        <v>569.92162499999995</v>
      </c>
      <c r="M143" s="159">
        <f>cbal!G143</f>
        <v>283.14749999999998</v>
      </c>
      <c r="N143" s="8" t="s">
        <v>5322</v>
      </c>
      <c r="O143" s="131" t="b">
        <f t="shared" si="4"/>
        <v>0</v>
      </c>
    </row>
    <row r="144" spans="1:15">
      <c r="A144" s="633" t="s">
        <v>4001</v>
      </c>
      <c r="D144" s="63">
        <v>22</v>
      </c>
      <c r="E144" s="752">
        <f>obalLOB1NumProdClinician16*obalLOB1BaseProdClinician16</f>
        <v>87</v>
      </c>
      <c r="F144" s="691">
        <f>obalLOB1NumProdClinician16*obalLOB1BaseProdClinician16</f>
        <v>150</v>
      </c>
      <c r="G144" s="691">
        <f>obalLOB1NumProdClinician16*obalLOB1BaseProdClinician16</f>
        <v>90</v>
      </c>
      <c r="H144" s="8" t="s">
        <v>4021</v>
      </c>
      <c r="I144" s="131" t="b">
        <f t="shared" si="3"/>
        <v>0</v>
      </c>
      <c r="J144" s="63">
        <v>22</v>
      </c>
      <c r="K144" s="159">
        <f>cbal!E144</f>
        <v>74.385000000000005</v>
      </c>
      <c r="L144" s="159">
        <f>cbal!F144</f>
        <v>146.13374999999999</v>
      </c>
      <c r="M144" s="159">
        <f>cbal!G144</f>
        <v>84.944249999999997</v>
      </c>
      <c r="N144" s="8" t="s">
        <v>5323</v>
      </c>
      <c r="O144" s="131" t="b">
        <f t="shared" si="4"/>
        <v>0</v>
      </c>
    </row>
    <row r="145" spans="1:15">
      <c r="A145" s="8" t="s">
        <v>1497</v>
      </c>
      <c r="D145" s="8">
        <v>11</v>
      </c>
      <c r="E145" s="159">
        <v>0</v>
      </c>
      <c r="F145" s="159">
        <v>0</v>
      </c>
      <c r="G145" s="159">
        <v>0</v>
      </c>
      <c r="H145" s="8" t="s">
        <v>3984</v>
      </c>
      <c r="I145" s="131" t="b">
        <f t="shared" si="3"/>
        <v>1</v>
      </c>
      <c r="J145" s="8">
        <v>11</v>
      </c>
      <c r="K145" s="159">
        <f>cbal!E145</f>
        <v>0</v>
      </c>
      <c r="L145" s="159">
        <f>cbal!F145</f>
        <v>0</v>
      </c>
      <c r="M145" s="159">
        <f>cbal!G145</f>
        <v>0</v>
      </c>
      <c r="N145" s="8" t="s">
        <v>5324</v>
      </c>
      <c r="O145" s="131" t="b">
        <f t="shared" si="4"/>
        <v>1</v>
      </c>
    </row>
    <row r="146" spans="1:15">
      <c r="A146" s="8" t="s">
        <v>1498</v>
      </c>
      <c r="D146" s="63">
        <v>12</v>
      </c>
      <c r="E146" s="159">
        <v>0</v>
      </c>
      <c r="F146" s="159">
        <v>0</v>
      </c>
      <c r="G146" s="159">
        <v>0</v>
      </c>
      <c r="H146" s="8" t="s">
        <v>3985</v>
      </c>
      <c r="I146" s="131" t="b">
        <f t="shared" si="3"/>
        <v>1</v>
      </c>
      <c r="J146" s="63">
        <v>12</v>
      </c>
      <c r="K146" s="159">
        <f>cbal!E146</f>
        <v>0</v>
      </c>
      <c r="L146" s="159">
        <f>cbal!F146</f>
        <v>0</v>
      </c>
      <c r="M146" s="159">
        <f>cbal!G146</f>
        <v>0</v>
      </c>
      <c r="N146" s="8" t="s">
        <v>5325</v>
      </c>
      <c r="O146" s="131" t="b">
        <f t="shared" si="4"/>
        <v>1</v>
      </c>
    </row>
    <row r="147" spans="1:15">
      <c r="I147" s="131" t="b">
        <f t="shared" si="3"/>
        <v>1</v>
      </c>
      <c r="K147" s="159">
        <f>cbal!E147</f>
        <v>0</v>
      </c>
      <c r="L147" s="159">
        <f>cbal!F147</f>
        <v>0</v>
      </c>
      <c r="M147" s="159">
        <f>cbal!G147</f>
        <v>0</v>
      </c>
      <c r="O147" s="131" t="b">
        <f t="shared" si="4"/>
        <v>1</v>
      </c>
    </row>
    <row r="148" spans="1:15">
      <c r="A148" s="8" t="s">
        <v>3785</v>
      </c>
      <c r="I148" s="131" t="b">
        <f t="shared" si="3"/>
        <v>1</v>
      </c>
      <c r="K148" s="159">
        <f>cbal!E148</f>
        <v>0</v>
      </c>
      <c r="L148" s="159">
        <f>cbal!F148</f>
        <v>0</v>
      </c>
      <c r="M148" s="159">
        <f>cbal!G148</f>
        <v>0</v>
      </c>
      <c r="O148" s="131" t="b">
        <f t="shared" si="4"/>
        <v>1</v>
      </c>
    </row>
    <row r="149" spans="1:15">
      <c r="A149" s="8" t="s">
        <v>595</v>
      </c>
      <c r="D149" s="63">
        <v>1</v>
      </c>
      <c r="E149" s="530">
        <f t="shared" ref="E149:G160" si="14">VLOOKUP($D149,dataTableCC1Staff,6,FALSE)</f>
        <v>6.5</v>
      </c>
      <c r="F149" s="530">
        <f t="shared" si="14"/>
        <v>6.5</v>
      </c>
      <c r="G149" s="530">
        <f t="shared" si="14"/>
        <v>6.5</v>
      </c>
      <c r="H149" s="8" t="s">
        <v>3786</v>
      </c>
      <c r="I149" s="131" t="b">
        <f t="shared" si="3"/>
        <v>1</v>
      </c>
      <c r="J149" s="63">
        <v>1</v>
      </c>
      <c r="K149" s="530">
        <f>cbal!E149</f>
        <v>6.5</v>
      </c>
      <c r="L149" s="530">
        <f>cbal!F149</f>
        <v>6.5</v>
      </c>
      <c r="M149" s="530">
        <f>cbal!G149</f>
        <v>6.5</v>
      </c>
      <c r="N149" s="8" t="s">
        <v>5326</v>
      </c>
      <c r="O149" s="131" t="b">
        <f t="shared" si="4"/>
        <v>1</v>
      </c>
    </row>
    <row r="150" spans="1:15">
      <c r="A150" s="8" t="s">
        <v>596</v>
      </c>
      <c r="D150" s="63">
        <v>2</v>
      </c>
      <c r="E150" s="530">
        <f t="shared" si="14"/>
        <v>5.3</v>
      </c>
      <c r="F150" s="530">
        <f t="shared" si="14"/>
        <v>5.3</v>
      </c>
      <c r="G150" s="530">
        <f t="shared" si="14"/>
        <v>5.3</v>
      </c>
      <c r="H150" s="8" t="s">
        <v>3787</v>
      </c>
      <c r="I150" s="131" t="b">
        <f t="shared" si="3"/>
        <v>1</v>
      </c>
      <c r="J150" s="63">
        <v>2</v>
      </c>
      <c r="K150" s="530">
        <f>cbal!E150</f>
        <v>5.3</v>
      </c>
      <c r="L150" s="530">
        <f>cbal!F150</f>
        <v>5.3</v>
      </c>
      <c r="M150" s="530">
        <f>cbal!G150</f>
        <v>5.3</v>
      </c>
      <c r="N150" s="8" t="s">
        <v>5327</v>
      </c>
      <c r="O150" s="131" t="b">
        <f t="shared" si="4"/>
        <v>1</v>
      </c>
    </row>
    <row r="151" spans="1:15">
      <c r="A151" s="8" t="s">
        <v>597</v>
      </c>
      <c r="D151" s="63">
        <v>3</v>
      </c>
      <c r="E151" s="530">
        <f t="shared" si="14"/>
        <v>4.5999999999999996</v>
      </c>
      <c r="F151" s="530">
        <f t="shared" si="14"/>
        <v>4.5999999999999996</v>
      </c>
      <c r="G151" s="530">
        <f t="shared" si="14"/>
        <v>4.5999999999999996</v>
      </c>
      <c r="H151" s="8" t="s">
        <v>3788</v>
      </c>
      <c r="I151" s="131" t="b">
        <f t="shared" si="3"/>
        <v>1</v>
      </c>
      <c r="J151" s="63">
        <v>3</v>
      </c>
      <c r="K151" s="530">
        <f>cbal!E151</f>
        <v>4.5999999999999996</v>
      </c>
      <c r="L151" s="530">
        <f>cbal!F151</f>
        <v>4.5999999999999996</v>
      </c>
      <c r="M151" s="530">
        <f>cbal!G151</f>
        <v>4.5999999999999996</v>
      </c>
      <c r="N151" s="8" t="s">
        <v>5328</v>
      </c>
      <c r="O151" s="131" t="b">
        <f t="shared" si="4"/>
        <v>1</v>
      </c>
    </row>
    <row r="152" spans="1:15">
      <c r="A152" s="8" t="s">
        <v>598</v>
      </c>
      <c r="D152" s="8">
        <v>4</v>
      </c>
      <c r="E152" s="530">
        <f t="shared" si="14"/>
        <v>3.1</v>
      </c>
      <c r="F152" s="530">
        <f t="shared" si="14"/>
        <v>3.1</v>
      </c>
      <c r="G152" s="530">
        <f t="shared" si="14"/>
        <v>3.1</v>
      </c>
      <c r="H152" s="8" t="s">
        <v>3789</v>
      </c>
      <c r="I152" s="131" t="b">
        <f t="shared" ref="I152:I215" si="15">MAX(E152:G152)=MIN(E152:G152)</f>
        <v>1</v>
      </c>
      <c r="J152" s="8">
        <v>4</v>
      </c>
      <c r="K152" s="530">
        <f>cbal!E152</f>
        <v>3.1</v>
      </c>
      <c r="L152" s="530">
        <f>cbal!F152</f>
        <v>3.1</v>
      </c>
      <c r="M152" s="530">
        <f>cbal!G152</f>
        <v>3.1</v>
      </c>
      <c r="N152" s="8" t="s">
        <v>5329</v>
      </c>
      <c r="O152" s="131" t="b">
        <f t="shared" ref="O152:O215" si="16">MAX(K152:M152)=MIN(K152:M152)</f>
        <v>1</v>
      </c>
    </row>
    <row r="153" spans="1:15">
      <c r="A153" s="8" t="s">
        <v>599</v>
      </c>
      <c r="D153" s="8">
        <v>5</v>
      </c>
      <c r="E153" s="530">
        <f t="shared" si="14"/>
        <v>3</v>
      </c>
      <c r="F153" s="530">
        <f t="shared" si="14"/>
        <v>3</v>
      </c>
      <c r="G153" s="530">
        <f t="shared" si="14"/>
        <v>3</v>
      </c>
      <c r="H153" s="8" t="s">
        <v>3790</v>
      </c>
      <c r="I153" s="131" t="b">
        <f t="shared" si="15"/>
        <v>1</v>
      </c>
      <c r="J153" s="8">
        <v>5</v>
      </c>
      <c r="K153" s="530">
        <f>cbal!E153</f>
        <v>3</v>
      </c>
      <c r="L153" s="530">
        <f>cbal!F153</f>
        <v>3</v>
      </c>
      <c r="M153" s="530">
        <f>cbal!G153</f>
        <v>3</v>
      </c>
      <c r="N153" s="8" t="s">
        <v>5330</v>
      </c>
      <c r="O153" s="131" t="b">
        <f t="shared" si="16"/>
        <v>1</v>
      </c>
    </row>
    <row r="154" spans="1:15">
      <c r="A154" s="8" t="s">
        <v>600</v>
      </c>
      <c r="D154" s="8">
        <v>6</v>
      </c>
      <c r="E154" s="530">
        <f t="shared" si="14"/>
        <v>5.7</v>
      </c>
      <c r="F154" s="530">
        <f t="shared" si="14"/>
        <v>5.7</v>
      </c>
      <c r="G154" s="530">
        <f t="shared" si="14"/>
        <v>5.7</v>
      </c>
      <c r="H154" s="8" t="s">
        <v>3791</v>
      </c>
      <c r="I154" s="131" t="b">
        <f t="shared" si="15"/>
        <v>1</v>
      </c>
      <c r="J154" s="8">
        <v>6</v>
      </c>
      <c r="K154" s="530">
        <f>cbal!E154</f>
        <v>5.7</v>
      </c>
      <c r="L154" s="530">
        <f>cbal!F154</f>
        <v>5.7</v>
      </c>
      <c r="M154" s="530">
        <f>cbal!G154</f>
        <v>5.7</v>
      </c>
      <c r="N154" s="8" t="s">
        <v>5331</v>
      </c>
      <c r="O154" s="131" t="b">
        <f t="shared" si="16"/>
        <v>1</v>
      </c>
    </row>
    <row r="155" spans="1:15">
      <c r="A155" s="8" t="s">
        <v>601</v>
      </c>
      <c r="D155" s="63">
        <v>7</v>
      </c>
      <c r="E155" s="530">
        <f t="shared" si="14"/>
        <v>3.6</v>
      </c>
      <c r="F155" s="530">
        <f t="shared" si="14"/>
        <v>3.6</v>
      </c>
      <c r="G155" s="530">
        <f t="shared" si="14"/>
        <v>3.6</v>
      </c>
      <c r="H155" s="8" t="s">
        <v>3792</v>
      </c>
      <c r="I155" s="131" t="b">
        <f t="shared" si="15"/>
        <v>1</v>
      </c>
      <c r="J155" s="63">
        <v>7</v>
      </c>
      <c r="K155" s="530">
        <f>cbal!E155</f>
        <v>3.6</v>
      </c>
      <c r="L155" s="530">
        <f>cbal!F155</f>
        <v>3.6</v>
      </c>
      <c r="M155" s="530">
        <f>cbal!G155</f>
        <v>3.6</v>
      </c>
      <c r="N155" s="8" t="s">
        <v>5332</v>
      </c>
      <c r="O155" s="131" t="b">
        <f t="shared" si="16"/>
        <v>1</v>
      </c>
    </row>
    <row r="156" spans="1:15">
      <c r="A156" s="8" t="s">
        <v>602</v>
      </c>
      <c r="D156" s="63">
        <v>8</v>
      </c>
      <c r="E156" s="530">
        <f t="shared" si="14"/>
        <v>6.2</v>
      </c>
      <c r="F156" s="530">
        <f t="shared" si="14"/>
        <v>6.2</v>
      </c>
      <c r="G156" s="530">
        <f t="shared" si="14"/>
        <v>6.2</v>
      </c>
      <c r="H156" s="8" t="s">
        <v>3793</v>
      </c>
      <c r="I156" s="131" t="b">
        <f t="shared" si="15"/>
        <v>1</v>
      </c>
      <c r="J156" s="63">
        <v>8</v>
      </c>
      <c r="K156" s="530">
        <f>cbal!E156</f>
        <v>6.2</v>
      </c>
      <c r="L156" s="530">
        <f>cbal!F156</f>
        <v>6.2</v>
      </c>
      <c r="M156" s="530">
        <f>cbal!G156</f>
        <v>6.2</v>
      </c>
      <c r="N156" s="8" t="s">
        <v>5333</v>
      </c>
      <c r="O156" s="131" t="b">
        <f t="shared" si="16"/>
        <v>1</v>
      </c>
    </row>
    <row r="157" spans="1:15">
      <c r="A157" s="8" t="s">
        <v>603</v>
      </c>
      <c r="D157" s="63">
        <v>9</v>
      </c>
      <c r="E157" s="530">
        <f t="shared" si="14"/>
        <v>3.2</v>
      </c>
      <c r="F157" s="530">
        <f t="shared" si="14"/>
        <v>3.2</v>
      </c>
      <c r="G157" s="530">
        <f t="shared" si="14"/>
        <v>3.2</v>
      </c>
      <c r="H157" s="8" t="s">
        <v>3794</v>
      </c>
      <c r="I157" s="131" t="b">
        <f t="shared" si="15"/>
        <v>1</v>
      </c>
      <c r="J157" s="63">
        <v>9</v>
      </c>
      <c r="K157" s="530">
        <f>cbal!E157</f>
        <v>3.2</v>
      </c>
      <c r="L157" s="530">
        <f>cbal!F157</f>
        <v>3.2</v>
      </c>
      <c r="M157" s="530">
        <f>cbal!G157</f>
        <v>3.2</v>
      </c>
      <c r="N157" s="8" t="s">
        <v>5334</v>
      </c>
      <c r="O157" s="131" t="b">
        <f t="shared" si="16"/>
        <v>1</v>
      </c>
    </row>
    <row r="158" spans="1:15">
      <c r="A158" s="8" t="s">
        <v>604</v>
      </c>
      <c r="D158" s="8">
        <v>10</v>
      </c>
      <c r="E158" s="530">
        <f t="shared" si="14"/>
        <v>3.1</v>
      </c>
      <c r="F158" s="530">
        <f t="shared" si="14"/>
        <v>3.1</v>
      </c>
      <c r="G158" s="530">
        <f t="shared" si="14"/>
        <v>3.1</v>
      </c>
      <c r="H158" s="8" t="s">
        <v>3795</v>
      </c>
      <c r="I158" s="131" t="b">
        <f t="shared" si="15"/>
        <v>1</v>
      </c>
      <c r="J158" s="8">
        <v>10</v>
      </c>
      <c r="K158" s="530">
        <f>cbal!E158</f>
        <v>3.1</v>
      </c>
      <c r="L158" s="530">
        <f>cbal!F158</f>
        <v>3.1</v>
      </c>
      <c r="M158" s="530">
        <f>cbal!G158</f>
        <v>3.1</v>
      </c>
      <c r="N158" s="8" t="s">
        <v>5335</v>
      </c>
      <c r="O158" s="131" t="b">
        <f t="shared" si="16"/>
        <v>1</v>
      </c>
    </row>
    <row r="159" spans="1:15">
      <c r="A159" s="8" t="s">
        <v>1497</v>
      </c>
      <c r="D159" s="8">
        <v>11</v>
      </c>
      <c r="E159" s="530">
        <f t="shared" si="14"/>
        <v>4.3</v>
      </c>
      <c r="F159" s="530">
        <f t="shared" si="14"/>
        <v>4.3</v>
      </c>
      <c r="G159" s="530">
        <f t="shared" si="14"/>
        <v>4.3</v>
      </c>
      <c r="H159" s="8" t="s">
        <v>3796</v>
      </c>
      <c r="I159" s="131" t="b">
        <f t="shared" si="15"/>
        <v>1</v>
      </c>
      <c r="J159" s="8">
        <v>11</v>
      </c>
      <c r="K159" s="530">
        <f>cbal!E159</f>
        <v>4.3</v>
      </c>
      <c r="L159" s="530">
        <f>cbal!F159</f>
        <v>4.3</v>
      </c>
      <c r="M159" s="530">
        <f>cbal!G159</f>
        <v>4.3</v>
      </c>
      <c r="N159" s="8" t="s">
        <v>5336</v>
      </c>
      <c r="O159" s="131" t="b">
        <f t="shared" si="16"/>
        <v>1</v>
      </c>
    </row>
    <row r="160" spans="1:15">
      <c r="A160" s="8" t="s">
        <v>1498</v>
      </c>
      <c r="D160" s="63">
        <v>12</v>
      </c>
      <c r="E160" s="530">
        <f t="shared" si="14"/>
        <v>4.3</v>
      </c>
      <c r="F160" s="530">
        <f t="shared" si="14"/>
        <v>4.3</v>
      </c>
      <c r="G160" s="530">
        <f t="shared" si="14"/>
        <v>4.3</v>
      </c>
      <c r="H160" s="8" t="s">
        <v>3797</v>
      </c>
      <c r="I160" s="131" t="b">
        <f t="shared" si="15"/>
        <v>1</v>
      </c>
      <c r="J160" s="63">
        <v>12</v>
      </c>
      <c r="K160" s="530">
        <f>cbal!E160</f>
        <v>4.3</v>
      </c>
      <c r="L160" s="530">
        <f>cbal!F160</f>
        <v>4.3</v>
      </c>
      <c r="M160" s="530">
        <f>cbal!G160</f>
        <v>4.3</v>
      </c>
      <c r="N160" s="8" t="s">
        <v>5337</v>
      </c>
      <c r="O160" s="131" t="b">
        <f t="shared" si="16"/>
        <v>1</v>
      </c>
    </row>
    <row r="161" spans="1:15">
      <c r="I161" s="131" t="b">
        <f t="shared" si="15"/>
        <v>1</v>
      </c>
      <c r="K161" s="159">
        <f>cbal!E161</f>
        <v>0</v>
      </c>
      <c r="L161" s="159">
        <f>cbal!F161</f>
        <v>0</v>
      </c>
      <c r="M161" s="159">
        <f>cbal!G161</f>
        <v>0</v>
      </c>
      <c r="O161" s="131" t="b">
        <f t="shared" si="16"/>
        <v>1</v>
      </c>
    </row>
    <row r="162" spans="1:15">
      <c r="A162" s="8" t="s">
        <v>2008</v>
      </c>
      <c r="I162" s="131" t="b">
        <f t="shared" si="15"/>
        <v>1</v>
      </c>
      <c r="K162" s="159">
        <f>cbal!E162</f>
        <v>0</v>
      </c>
      <c r="L162" s="159">
        <f>cbal!F162</f>
        <v>0</v>
      </c>
      <c r="M162" s="159">
        <f>cbal!G162</f>
        <v>0</v>
      </c>
      <c r="O162" s="131" t="b">
        <f t="shared" si="16"/>
        <v>1</v>
      </c>
    </row>
    <row r="163" spans="1:15">
      <c r="A163" s="8" t="s">
        <v>595</v>
      </c>
      <c r="D163" s="63">
        <v>1</v>
      </c>
      <c r="E163" s="530">
        <f t="shared" ref="E163:G174" si="17">E129*E149</f>
        <v>175.5</v>
      </c>
      <c r="F163" s="530">
        <f t="shared" si="17"/>
        <v>175.5</v>
      </c>
      <c r="G163" s="530">
        <f t="shared" si="17"/>
        <v>175.5</v>
      </c>
      <c r="H163" s="8" t="s">
        <v>2009</v>
      </c>
      <c r="I163" s="131" t="b">
        <f t="shared" si="15"/>
        <v>1</v>
      </c>
      <c r="J163" s="63">
        <v>1</v>
      </c>
      <c r="K163" s="530">
        <f>cbal!E163</f>
        <v>175.5</v>
      </c>
      <c r="L163" s="530">
        <f>cbal!F163</f>
        <v>175.5</v>
      </c>
      <c r="M163" s="530">
        <f>cbal!G163</f>
        <v>175.5</v>
      </c>
      <c r="N163" s="8" t="s">
        <v>5338</v>
      </c>
      <c r="O163" s="131" t="b">
        <f t="shared" si="16"/>
        <v>1</v>
      </c>
    </row>
    <row r="164" spans="1:15">
      <c r="A164" s="8" t="s">
        <v>596</v>
      </c>
      <c r="D164" s="63">
        <v>2</v>
      </c>
      <c r="E164" s="530">
        <f t="shared" si="17"/>
        <v>127.19999999999999</v>
      </c>
      <c r="F164" s="530">
        <f t="shared" si="17"/>
        <v>127.19999999999999</v>
      </c>
      <c r="G164" s="530">
        <f t="shared" si="17"/>
        <v>127.19999999999999</v>
      </c>
      <c r="H164" s="8" t="s">
        <v>2010</v>
      </c>
      <c r="I164" s="131" t="b">
        <f t="shared" si="15"/>
        <v>1</v>
      </c>
      <c r="J164" s="63">
        <v>2</v>
      </c>
      <c r="K164" s="530">
        <f>cbal!E164</f>
        <v>127.19999999999999</v>
      </c>
      <c r="L164" s="530">
        <f>cbal!F164</f>
        <v>127.19999999999999</v>
      </c>
      <c r="M164" s="530">
        <f>cbal!G164</f>
        <v>127.19999999999999</v>
      </c>
      <c r="N164" s="8" t="s">
        <v>5339</v>
      </c>
      <c r="O164" s="131" t="b">
        <f t="shared" si="16"/>
        <v>1</v>
      </c>
    </row>
    <row r="165" spans="1:15">
      <c r="A165" s="8" t="s">
        <v>597</v>
      </c>
      <c r="D165" s="63">
        <v>3</v>
      </c>
      <c r="E165" s="530">
        <f t="shared" si="17"/>
        <v>57.621052631578948</v>
      </c>
      <c r="F165" s="530">
        <f t="shared" si="17"/>
        <v>57.621052631578948</v>
      </c>
      <c r="G165" s="530">
        <f t="shared" si="17"/>
        <v>57.621052631578948</v>
      </c>
      <c r="H165" s="8" t="s">
        <v>2011</v>
      </c>
      <c r="I165" s="131" t="b">
        <f t="shared" si="15"/>
        <v>1</v>
      </c>
      <c r="J165" s="63">
        <v>3</v>
      </c>
      <c r="K165" s="530">
        <f>cbal!E165</f>
        <v>57.621052631578948</v>
      </c>
      <c r="L165" s="530">
        <f>cbal!F165</f>
        <v>57.621052631578948</v>
      </c>
      <c r="M165" s="530">
        <f>cbal!G165</f>
        <v>57.621052631578948</v>
      </c>
      <c r="N165" s="8" t="s">
        <v>5340</v>
      </c>
      <c r="O165" s="131" t="b">
        <f t="shared" si="16"/>
        <v>1</v>
      </c>
    </row>
    <row r="166" spans="1:15">
      <c r="A166" s="8" t="s">
        <v>598</v>
      </c>
      <c r="D166" s="8">
        <v>4</v>
      </c>
      <c r="E166" s="530">
        <f t="shared" si="17"/>
        <v>102.3</v>
      </c>
      <c r="F166" s="530">
        <f t="shared" si="17"/>
        <v>102.3</v>
      </c>
      <c r="G166" s="530">
        <f t="shared" si="17"/>
        <v>102.3</v>
      </c>
      <c r="H166" s="8" t="s">
        <v>2012</v>
      </c>
      <c r="I166" s="131" t="b">
        <f t="shared" si="15"/>
        <v>1</v>
      </c>
      <c r="J166" s="8">
        <v>4</v>
      </c>
      <c r="K166" s="530">
        <f>cbal!E166</f>
        <v>102.3</v>
      </c>
      <c r="L166" s="530">
        <f>cbal!F166</f>
        <v>102.3</v>
      </c>
      <c r="M166" s="530">
        <f>cbal!G166</f>
        <v>102.3</v>
      </c>
      <c r="N166" s="8" t="s">
        <v>5341</v>
      </c>
      <c r="O166" s="131" t="b">
        <f t="shared" si="16"/>
        <v>1</v>
      </c>
    </row>
    <row r="167" spans="1:15">
      <c r="A167" s="8" t="s">
        <v>599</v>
      </c>
      <c r="D167" s="8">
        <v>5</v>
      </c>
      <c r="E167" s="530">
        <f t="shared" si="17"/>
        <v>52.577319587628871</v>
      </c>
      <c r="F167" s="530">
        <f t="shared" si="17"/>
        <v>52.577319587628871</v>
      </c>
      <c r="G167" s="530">
        <f t="shared" si="17"/>
        <v>52.577319587628871</v>
      </c>
      <c r="H167" s="8" t="s">
        <v>2013</v>
      </c>
      <c r="I167" s="131" t="b">
        <f t="shared" si="15"/>
        <v>1</v>
      </c>
      <c r="J167" s="8">
        <v>5</v>
      </c>
      <c r="K167" s="530">
        <f>cbal!E167</f>
        <v>52.577319587628871</v>
      </c>
      <c r="L167" s="530">
        <f>cbal!F167</f>
        <v>52.577319587628871</v>
      </c>
      <c r="M167" s="530">
        <f>cbal!G167</f>
        <v>52.577319587628871</v>
      </c>
      <c r="N167" s="8" t="s">
        <v>5342</v>
      </c>
      <c r="O167" s="131" t="b">
        <f t="shared" si="16"/>
        <v>1</v>
      </c>
    </row>
    <row r="168" spans="1:15">
      <c r="A168" s="8" t="s">
        <v>600</v>
      </c>
      <c r="D168" s="8">
        <v>6</v>
      </c>
      <c r="E168" s="530">
        <f t="shared" si="17"/>
        <v>171</v>
      </c>
      <c r="F168" s="530">
        <f t="shared" si="17"/>
        <v>171</v>
      </c>
      <c r="G168" s="530">
        <f t="shared" si="17"/>
        <v>171</v>
      </c>
      <c r="H168" s="8" t="s">
        <v>2014</v>
      </c>
      <c r="I168" s="131" t="b">
        <f t="shared" si="15"/>
        <v>1</v>
      </c>
      <c r="J168" s="8">
        <v>6</v>
      </c>
      <c r="K168" s="530">
        <f>cbal!E168</f>
        <v>171</v>
      </c>
      <c r="L168" s="530">
        <f>cbal!F168</f>
        <v>171</v>
      </c>
      <c r="M168" s="530">
        <f>cbal!G168</f>
        <v>171</v>
      </c>
      <c r="N168" s="8" t="s">
        <v>5343</v>
      </c>
      <c r="O168" s="131" t="b">
        <f t="shared" si="16"/>
        <v>1</v>
      </c>
    </row>
    <row r="169" spans="1:15">
      <c r="A169" s="8" t="s">
        <v>601</v>
      </c>
      <c r="D169" s="63">
        <v>7</v>
      </c>
      <c r="E169" s="530">
        <f t="shared" si="17"/>
        <v>100.8</v>
      </c>
      <c r="F169" s="530">
        <f t="shared" si="17"/>
        <v>100.8</v>
      </c>
      <c r="G169" s="530">
        <f t="shared" si="17"/>
        <v>100.8</v>
      </c>
      <c r="H169" s="8" t="s">
        <v>2015</v>
      </c>
      <c r="I169" s="131" t="b">
        <f t="shared" si="15"/>
        <v>1</v>
      </c>
      <c r="J169" s="63">
        <v>7</v>
      </c>
      <c r="K169" s="530">
        <f>cbal!E169</f>
        <v>100.8</v>
      </c>
      <c r="L169" s="530">
        <f>cbal!F169</f>
        <v>100.8</v>
      </c>
      <c r="M169" s="530">
        <f>cbal!G169</f>
        <v>100.8</v>
      </c>
      <c r="N169" s="8" t="s">
        <v>5344</v>
      </c>
      <c r="O169" s="131" t="b">
        <f t="shared" si="16"/>
        <v>1</v>
      </c>
    </row>
    <row r="170" spans="1:15">
      <c r="A170" s="8" t="s">
        <v>602</v>
      </c>
      <c r="D170" s="63">
        <v>8</v>
      </c>
      <c r="E170" s="530">
        <f t="shared" si="17"/>
        <v>179.8</v>
      </c>
      <c r="F170" s="530">
        <f t="shared" si="17"/>
        <v>179.8</v>
      </c>
      <c r="G170" s="530">
        <f t="shared" si="17"/>
        <v>179.8</v>
      </c>
      <c r="H170" s="8" t="s">
        <v>2016</v>
      </c>
      <c r="I170" s="131" t="b">
        <f t="shared" si="15"/>
        <v>1</v>
      </c>
      <c r="J170" s="63">
        <v>8</v>
      </c>
      <c r="K170" s="530">
        <f>cbal!E170</f>
        <v>179.8</v>
      </c>
      <c r="L170" s="530">
        <f>cbal!F170</f>
        <v>179.8</v>
      </c>
      <c r="M170" s="530">
        <f>cbal!G170</f>
        <v>179.8</v>
      </c>
      <c r="N170" s="8" t="s">
        <v>5345</v>
      </c>
      <c r="O170" s="131" t="b">
        <f t="shared" si="16"/>
        <v>1</v>
      </c>
    </row>
    <row r="171" spans="1:15">
      <c r="A171" s="8" t="s">
        <v>603</v>
      </c>
      <c r="D171" s="63">
        <v>9</v>
      </c>
      <c r="E171" s="530">
        <f t="shared" si="17"/>
        <v>50.474226804123717</v>
      </c>
      <c r="F171" s="530">
        <f t="shared" si="17"/>
        <v>50.474226804123717</v>
      </c>
      <c r="G171" s="530">
        <f t="shared" si="17"/>
        <v>50.474226804123717</v>
      </c>
      <c r="H171" s="8" t="s">
        <v>2017</v>
      </c>
      <c r="I171" s="131" t="b">
        <f t="shared" si="15"/>
        <v>1</v>
      </c>
      <c r="J171" s="63">
        <v>9</v>
      </c>
      <c r="K171" s="530">
        <f>cbal!E171</f>
        <v>50.474226804123717</v>
      </c>
      <c r="L171" s="530">
        <f>cbal!F171</f>
        <v>50.474226804123717</v>
      </c>
      <c r="M171" s="530">
        <f>cbal!G171</f>
        <v>50.474226804123717</v>
      </c>
      <c r="N171" s="8" t="s">
        <v>5346</v>
      </c>
      <c r="O171" s="131" t="b">
        <f t="shared" si="16"/>
        <v>1</v>
      </c>
    </row>
    <row r="172" spans="1:15">
      <c r="A172" s="8" t="s">
        <v>604</v>
      </c>
      <c r="D172" s="8">
        <v>10</v>
      </c>
      <c r="E172" s="530">
        <f t="shared" si="17"/>
        <v>77.663157894736855</v>
      </c>
      <c r="F172" s="530">
        <f t="shared" si="17"/>
        <v>77.663157894736855</v>
      </c>
      <c r="G172" s="530">
        <f t="shared" si="17"/>
        <v>77.663157894736855</v>
      </c>
      <c r="H172" s="8" t="s">
        <v>2018</v>
      </c>
      <c r="I172" s="131" t="b">
        <f t="shared" si="15"/>
        <v>1</v>
      </c>
      <c r="J172" s="8">
        <v>10</v>
      </c>
      <c r="K172" s="530">
        <f>cbal!E172</f>
        <v>77.663157894736855</v>
      </c>
      <c r="L172" s="530">
        <f>cbal!F172</f>
        <v>77.663157894736855</v>
      </c>
      <c r="M172" s="530">
        <f>cbal!G172</f>
        <v>77.663157894736855</v>
      </c>
      <c r="N172" s="8" t="s">
        <v>5347</v>
      </c>
      <c r="O172" s="131" t="b">
        <f t="shared" si="16"/>
        <v>1</v>
      </c>
    </row>
    <row r="173" spans="1:15">
      <c r="A173" s="8" t="s">
        <v>1497</v>
      </c>
      <c r="D173" s="8">
        <v>11</v>
      </c>
      <c r="E173" s="530">
        <f t="shared" si="17"/>
        <v>0</v>
      </c>
      <c r="F173" s="530">
        <f t="shared" si="17"/>
        <v>0</v>
      </c>
      <c r="G173" s="530">
        <f t="shared" si="17"/>
        <v>0</v>
      </c>
      <c r="H173" s="8" t="s">
        <v>2019</v>
      </c>
      <c r="I173" s="131" t="b">
        <f t="shared" si="15"/>
        <v>1</v>
      </c>
      <c r="J173" s="8">
        <v>11</v>
      </c>
      <c r="K173" s="530">
        <f>cbal!E173</f>
        <v>0</v>
      </c>
      <c r="L173" s="530">
        <f>cbal!F173</f>
        <v>0</v>
      </c>
      <c r="M173" s="530">
        <f>cbal!G173</f>
        <v>0</v>
      </c>
      <c r="N173" s="8" t="s">
        <v>5348</v>
      </c>
      <c r="O173" s="131" t="b">
        <f t="shared" si="16"/>
        <v>1</v>
      </c>
    </row>
    <row r="174" spans="1:15">
      <c r="A174" s="8" t="s">
        <v>1498</v>
      </c>
      <c r="D174" s="63">
        <v>12</v>
      </c>
      <c r="E174" s="530">
        <f t="shared" si="17"/>
        <v>0</v>
      </c>
      <c r="F174" s="530">
        <f t="shared" si="17"/>
        <v>0</v>
      </c>
      <c r="G174" s="530">
        <f t="shared" si="17"/>
        <v>0</v>
      </c>
      <c r="H174" s="8" t="s">
        <v>2020</v>
      </c>
      <c r="I174" s="131" t="b">
        <f t="shared" si="15"/>
        <v>1</v>
      </c>
      <c r="J174" s="63">
        <v>12</v>
      </c>
      <c r="K174" s="530">
        <f>cbal!E174</f>
        <v>0</v>
      </c>
      <c r="L174" s="530">
        <f>cbal!F174</f>
        <v>0</v>
      </c>
      <c r="M174" s="530">
        <f>cbal!G174</f>
        <v>0</v>
      </c>
      <c r="N174" s="8" t="s">
        <v>5349</v>
      </c>
      <c r="O174" s="131" t="b">
        <f t="shared" si="16"/>
        <v>1</v>
      </c>
    </row>
    <row r="175" spans="1:15">
      <c r="I175" s="131" t="b">
        <f t="shared" si="15"/>
        <v>1</v>
      </c>
      <c r="K175" s="159">
        <f>cbal!E175</f>
        <v>0</v>
      </c>
      <c r="L175" s="159">
        <f>cbal!F175</f>
        <v>0</v>
      </c>
      <c r="M175" s="159">
        <f>cbal!G175</f>
        <v>0</v>
      </c>
      <c r="O175" s="131" t="b">
        <f t="shared" si="16"/>
        <v>1</v>
      </c>
    </row>
    <row r="176" spans="1:15">
      <c r="A176" s="8" t="s">
        <v>1602</v>
      </c>
      <c r="I176" s="131" t="b">
        <f t="shared" si="15"/>
        <v>1</v>
      </c>
      <c r="K176" s="159">
        <f>cbal!E176</f>
        <v>0</v>
      </c>
      <c r="L176" s="159">
        <f>cbal!F176</f>
        <v>0</v>
      </c>
      <c r="M176" s="159">
        <f>cbal!G176</f>
        <v>0</v>
      </c>
      <c r="O176" s="131" t="b">
        <f t="shared" si="16"/>
        <v>1</v>
      </c>
    </row>
    <row r="177" spans="1:15">
      <c r="A177" s="8" t="s">
        <v>595</v>
      </c>
      <c r="D177" s="63">
        <v>1</v>
      </c>
      <c r="E177" s="457">
        <f t="shared" ref="E177:G186" si="18">VLOOKUP($D177,dataTableCC1Staff,7,FALSE)</f>
        <v>0.15</v>
      </c>
      <c r="F177" s="457">
        <f t="shared" si="18"/>
        <v>0.15</v>
      </c>
      <c r="G177" s="457">
        <f t="shared" si="18"/>
        <v>0.15</v>
      </c>
      <c r="H177" s="8" t="s">
        <v>1590</v>
      </c>
      <c r="I177" s="131" t="b">
        <f t="shared" si="15"/>
        <v>1</v>
      </c>
      <c r="J177" s="63">
        <v>1</v>
      </c>
      <c r="K177" s="457">
        <f>cbal!E177</f>
        <v>0.15</v>
      </c>
      <c r="L177" s="457">
        <f>cbal!F177</f>
        <v>0.15</v>
      </c>
      <c r="M177" s="457">
        <f>cbal!G177</f>
        <v>0.15</v>
      </c>
      <c r="N177" s="8" t="s">
        <v>5350</v>
      </c>
      <c r="O177" s="131" t="b">
        <f t="shared" si="16"/>
        <v>1</v>
      </c>
    </row>
    <row r="178" spans="1:15">
      <c r="A178" s="8" t="s">
        <v>596</v>
      </c>
      <c r="D178" s="63">
        <v>2</v>
      </c>
      <c r="E178" s="457">
        <f t="shared" si="18"/>
        <v>0.1</v>
      </c>
      <c r="F178" s="457">
        <f t="shared" si="18"/>
        <v>0.1</v>
      </c>
      <c r="G178" s="457">
        <f t="shared" si="18"/>
        <v>0.1</v>
      </c>
      <c r="H178" s="8" t="s">
        <v>1591</v>
      </c>
      <c r="I178" s="131" t="b">
        <f t="shared" si="15"/>
        <v>1</v>
      </c>
      <c r="J178" s="63">
        <v>2</v>
      </c>
      <c r="K178" s="457">
        <f>cbal!E178</f>
        <v>0.1</v>
      </c>
      <c r="L178" s="457">
        <f>cbal!F178</f>
        <v>0.1</v>
      </c>
      <c r="M178" s="457">
        <f>cbal!G178</f>
        <v>0.1</v>
      </c>
      <c r="N178" s="8" t="s">
        <v>5351</v>
      </c>
      <c r="O178" s="131" t="b">
        <f t="shared" si="16"/>
        <v>1</v>
      </c>
    </row>
    <row r="179" spans="1:15">
      <c r="A179" s="8" t="s">
        <v>597</v>
      </c>
      <c r="D179" s="63">
        <v>3</v>
      </c>
      <c r="E179" s="457">
        <f t="shared" si="18"/>
        <v>0.05</v>
      </c>
      <c r="F179" s="457">
        <f t="shared" si="18"/>
        <v>0.05</v>
      </c>
      <c r="G179" s="457">
        <f t="shared" si="18"/>
        <v>0.05</v>
      </c>
      <c r="H179" s="8" t="s">
        <v>1592</v>
      </c>
      <c r="I179" s="131" t="b">
        <f t="shared" si="15"/>
        <v>1</v>
      </c>
      <c r="J179" s="63">
        <v>3</v>
      </c>
      <c r="K179" s="457">
        <f>cbal!E179</f>
        <v>0.05</v>
      </c>
      <c r="L179" s="457">
        <f>cbal!F179</f>
        <v>0.05</v>
      </c>
      <c r="M179" s="457">
        <f>cbal!G179</f>
        <v>0.05</v>
      </c>
      <c r="N179" s="8" t="s">
        <v>5352</v>
      </c>
      <c r="O179" s="131" t="b">
        <f t="shared" si="16"/>
        <v>1</v>
      </c>
    </row>
    <row r="180" spans="1:15">
      <c r="A180" s="8" t="s">
        <v>598</v>
      </c>
      <c r="D180" s="8">
        <v>4</v>
      </c>
      <c r="E180" s="457">
        <f t="shared" si="18"/>
        <v>0.01</v>
      </c>
      <c r="F180" s="457">
        <f t="shared" si="18"/>
        <v>0.01</v>
      </c>
      <c r="G180" s="457">
        <f t="shared" si="18"/>
        <v>0.01</v>
      </c>
      <c r="H180" s="8" t="s">
        <v>1593</v>
      </c>
      <c r="I180" s="131" t="b">
        <f t="shared" si="15"/>
        <v>1</v>
      </c>
      <c r="J180" s="8">
        <v>4</v>
      </c>
      <c r="K180" s="457">
        <f>cbal!E180</f>
        <v>0.01</v>
      </c>
      <c r="L180" s="457">
        <f>cbal!F180</f>
        <v>0.01</v>
      </c>
      <c r="M180" s="457">
        <f>cbal!G180</f>
        <v>0.01</v>
      </c>
      <c r="N180" s="8" t="s">
        <v>5353</v>
      </c>
      <c r="O180" s="131" t="b">
        <f t="shared" si="16"/>
        <v>1</v>
      </c>
    </row>
    <row r="181" spans="1:15">
      <c r="A181" s="8" t="s">
        <v>599</v>
      </c>
      <c r="D181" s="8">
        <v>5</v>
      </c>
      <c r="E181" s="457">
        <f t="shared" si="18"/>
        <v>0.03</v>
      </c>
      <c r="F181" s="457">
        <f t="shared" si="18"/>
        <v>0.03</v>
      </c>
      <c r="G181" s="457">
        <f t="shared" si="18"/>
        <v>0.03</v>
      </c>
      <c r="H181" s="8" t="s">
        <v>1594</v>
      </c>
      <c r="I181" s="131" t="b">
        <f t="shared" si="15"/>
        <v>1</v>
      </c>
      <c r="J181" s="8">
        <v>5</v>
      </c>
      <c r="K181" s="457">
        <f>cbal!E181</f>
        <v>0.03</v>
      </c>
      <c r="L181" s="457">
        <f>cbal!F181</f>
        <v>0.03</v>
      </c>
      <c r="M181" s="457">
        <f>cbal!G181</f>
        <v>0.03</v>
      </c>
      <c r="N181" s="8" t="s">
        <v>5354</v>
      </c>
      <c r="O181" s="131" t="b">
        <f t="shared" si="16"/>
        <v>1</v>
      </c>
    </row>
    <row r="182" spans="1:15">
      <c r="A182" s="8" t="s">
        <v>600</v>
      </c>
      <c r="D182" s="8">
        <v>6</v>
      </c>
      <c r="E182" s="457">
        <f t="shared" si="18"/>
        <v>0.13</v>
      </c>
      <c r="F182" s="457">
        <f t="shared" si="18"/>
        <v>0.13</v>
      </c>
      <c r="G182" s="457">
        <f t="shared" si="18"/>
        <v>0.13</v>
      </c>
      <c r="H182" s="8" t="s">
        <v>1595</v>
      </c>
      <c r="I182" s="131" t="b">
        <f t="shared" si="15"/>
        <v>1</v>
      </c>
      <c r="J182" s="8">
        <v>6</v>
      </c>
      <c r="K182" s="457">
        <f>cbal!E182</f>
        <v>0.13</v>
      </c>
      <c r="L182" s="457">
        <f>cbal!F182</f>
        <v>0.13</v>
      </c>
      <c r="M182" s="457">
        <f>cbal!G182</f>
        <v>0.13</v>
      </c>
      <c r="N182" s="8" t="s">
        <v>5355</v>
      </c>
      <c r="O182" s="131" t="b">
        <f t="shared" si="16"/>
        <v>1</v>
      </c>
    </row>
    <row r="183" spans="1:15">
      <c r="A183" s="8" t="s">
        <v>601</v>
      </c>
      <c r="D183" s="63">
        <v>7</v>
      </c>
      <c r="E183" s="457">
        <f t="shared" si="18"/>
        <v>0.06</v>
      </c>
      <c r="F183" s="457">
        <f t="shared" si="18"/>
        <v>0.06</v>
      </c>
      <c r="G183" s="457">
        <f t="shared" si="18"/>
        <v>0.06</v>
      </c>
      <c r="H183" s="8" t="s">
        <v>1596</v>
      </c>
      <c r="I183" s="131" t="b">
        <f t="shared" si="15"/>
        <v>1</v>
      </c>
      <c r="J183" s="63">
        <v>7</v>
      </c>
      <c r="K183" s="457">
        <f>cbal!E183</f>
        <v>0.06</v>
      </c>
      <c r="L183" s="457">
        <f>cbal!F183</f>
        <v>0.06</v>
      </c>
      <c r="M183" s="457">
        <f>cbal!G183</f>
        <v>0.06</v>
      </c>
      <c r="N183" s="8" t="s">
        <v>5356</v>
      </c>
      <c r="O183" s="131" t="b">
        <f t="shared" si="16"/>
        <v>1</v>
      </c>
    </row>
    <row r="184" spans="1:15">
      <c r="A184" s="8" t="s">
        <v>602</v>
      </c>
      <c r="D184" s="63">
        <v>8</v>
      </c>
      <c r="E184" s="457">
        <f t="shared" si="18"/>
        <v>0.14000000000000001</v>
      </c>
      <c r="F184" s="457">
        <f t="shared" si="18"/>
        <v>0.14000000000000001</v>
      </c>
      <c r="G184" s="457">
        <f t="shared" si="18"/>
        <v>0.14000000000000001</v>
      </c>
      <c r="H184" s="8" t="s">
        <v>1597</v>
      </c>
      <c r="I184" s="131" t="b">
        <f t="shared" si="15"/>
        <v>1</v>
      </c>
      <c r="J184" s="63">
        <v>8</v>
      </c>
      <c r="K184" s="457">
        <f>cbal!E184</f>
        <v>0.14000000000000001</v>
      </c>
      <c r="L184" s="457">
        <f>cbal!F184</f>
        <v>0.14000000000000001</v>
      </c>
      <c r="M184" s="457">
        <f>cbal!G184</f>
        <v>0.14000000000000001</v>
      </c>
      <c r="N184" s="8" t="s">
        <v>5357</v>
      </c>
      <c r="O184" s="131" t="b">
        <f t="shared" si="16"/>
        <v>1</v>
      </c>
    </row>
    <row r="185" spans="1:15">
      <c r="A185" s="8" t="s">
        <v>603</v>
      </c>
      <c r="D185" s="63">
        <v>9</v>
      </c>
      <c r="E185" s="457">
        <f t="shared" si="18"/>
        <v>0.03</v>
      </c>
      <c r="F185" s="457">
        <f t="shared" si="18"/>
        <v>0.03</v>
      </c>
      <c r="G185" s="457">
        <f t="shared" si="18"/>
        <v>0.03</v>
      </c>
      <c r="H185" s="8" t="s">
        <v>1598</v>
      </c>
      <c r="I185" s="131" t="b">
        <f t="shared" si="15"/>
        <v>1</v>
      </c>
      <c r="J185" s="63">
        <v>9</v>
      </c>
      <c r="K185" s="457">
        <f>cbal!E185</f>
        <v>0.03</v>
      </c>
      <c r="L185" s="457">
        <f>cbal!F185</f>
        <v>0.03</v>
      </c>
      <c r="M185" s="457">
        <f>cbal!G185</f>
        <v>0.03</v>
      </c>
      <c r="N185" s="8" t="s">
        <v>5358</v>
      </c>
      <c r="O185" s="131" t="b">
        <f t="shared" si="16"/>
        <v>1</v>
      </c>
    </row>
    <row r="186" spans="1:15">
      <c r="A186" s="8" t="s">
        <v>604</v>
      </c>
      <c r="D186" s="8">
        <v>10</v>
      </c>
      <c r="E186" s="457">
        <f t="shared" si="18"/>
        <v>0.05</v>
      </c>
      <c r="F186" s="457">
        <f t="shared" si="18"/>
        <v>0.05</v>
      </c>
      <c r="G186" s="457">
        <f t="shared" si="18"/>
        <v>0.05</v>
      </c>
      <c r="H186" s="8" t="s">
        <v>1599</v>
      </c>
      <c r="I186" s="131" t="b">
        <f t="shared" si="15"/>
        <v>1</v>
      </c>
      <c r="J186" s="8">
        <v>10</v>
      </c>
      <c r="K186" s="457">
        <f>cbal!E186</f>
        <v>0.05</v>
      </c>
      <c r="L186" s="457">
        <f>cbal!F186</f>
        <v>0.05</v>
      </c>
      <c r="M186" s="457">
        <f>cbal!G186</f>
        <v>0.05</v>
      </c>
      <c r="N186" s="8" t="s">
        <v>5359</v>
      </c>
      <c r="O186" s="131" t="b">
        <f t="shared" si="16"/>
        <v>1</v>
      </c>
    </row>
    <row r="187" spans="1:15">
      <c r="A187" s="8" t="s">
        <v>1497</v>
      </c>
      <c r="D187" s="8">
        <v>11</v>
      </c>
      <c r="E187" s="457"/>
      <c r="F187" s="457"/>
      <c r="G187" s="457"/>
      <c r="H187" s="8" t="s">
        <v>1600</v>
      </c>
      <c r="I187" s="131" t="b">
        <f t="shared" si="15"/>
        <v>1</v>
      </c>
      <c r="J187" s="8">
        <v>11</v>
      </c>
      <c r="K187" s="457">
        <f>cbal!E187</f>
        <v>0</v>
      </c>
      <c r="L187" s="457">
        <f>cbal!F187</f>
        <v>0</v>
      </c>
      <c r="M187" s="457">
        <f>cbal!G187</f>
        <v>0</v>
      </c>
      <c r="N187" s="8" t="s">
        <v>5360</v>
      </c>
      <c r="O187" s="131" t="b">
        <f t="shared" si="16"/>
        <v>1</v>
      </c>
    </row>
    <row r="188" spans="1:15">
      <c r="A188" s="8" t="s">
        <v>1498</v>
      </c>
      <c r="D188" s="63">
        <v>12</v>
      </c>
      <c r="E188" s="457"/>
      <c r="F188" s="457"/>
      <c r="G188" s="457"/>
      <c r="H188" s="8" t="s">
        <v>1601</v>
      </c>
      <c r="I188" s="131" t="b">
        <f t="shared" si="15"/>
        <v>1</v>
      </c>
      <c r="J188" s="63">
        <v>12</v>
      </c>
      <c r="K188" s="457">
        <f>cbal!E188</f>
        <v>0</v>
      </c>
      <c r="L188" s="457">
        <f>cbal!F188</f>
        <v>0</v>
      </c>
      <c r="M188" s="457">
        <f>cbal!G188</f>
        <v>0</v>
      </c>
      <c r="N188" s="8" t="s">
        <v>5361</v>
      </c>
      <c r="O188" s="131" t="b">
        <f t="shared" si="16"/>
        <v>1</v>
      </c>
    </row>
    <row r="189" spans="1:15">
      <c r="A189" s="8" t="s">
        <v>3998</v>
      </c>
      <c r="D189" s="63">
        <v>19</v>
      </c>
      <c r="E189" s="457">
        <f t="shared" ref="E189:G192" si="19">VLOOKUP($D189,dataTableCC1Staff,7,FALSE)</f>
        <v>0.05</v>
      </c>
      <c r="F189" s="457">
        <f t="shared" si="19"/>
        <v>0.05</v>
      </c>
      <c r="G189" s="457">
        <f t="shared" si="19"/>
        <v>0.05</v>
      </c>
      <c r="H189" s="8" t="s">
        <v>4026</v>
      </c>
      <c r="I189" s="131" t="b">
        <f t="shared" si="15"/>
        <v>1</v>
      </c>
      <c r="J189" s="63">
        <v>19</v>
      </c>
      <c r="K189" s="457">
        <f>cbal!E189</f>
        <v>0.05</v>
      </c>
      <c r="L189" s="457">
        <f>cbal!F189</f>
        <v>0.05</v>
      </c>
      <c r="M189" s="457">
        <f>cbal!G189</f>
        <v>0.05</v>
      </c>
      <c r="N189" s="8" t="s">
        <v>5362</v>
      </c>
      <c r="O189" s="131" t="b">
        <f t="shared" si="16"/>
        <v>1</v>
      </c>
    </row>
    <row r="190" spans="1:15">
      <c r="A190" s="8" t="s">
        <v>3999</v>
      </c>
      <c r="D190" s="63">
        <v>20</v>
      </c>
      <c r="E190" s="457">
        <f t="shared" si="19"/>
        <v>0.05</v>
      </c>
      <c r="F190" s="457">
        <f t="shared" si="19"/>
        <v>0.05</v>
      </c>
      <c r="G190" s="457">
        <f t="shared" si="19"/>
        <v>0.05</v>
      </c>
      <c r="H190" s="8" t="s">
        <v>4027</v>
      </c>
      <c r="I190" s="131" t="b">
        <f t="shared" si="15"/>
        <v>1</v>
      </c>
      <c r="J190" s="63">
        <v>20</v>
      </c>
      <c r="K190" s="457">
        <f>cbal!E190</f>
        <v>0.05</v>
      </c>
      <c r="L190" s="457">
        <f>cbal!F190</f>
        <v>0.05</v>
      </c>
      <c r="M190" s="457">
        <f>cbal!G190</f>
        <v>0.05</v>
      </c>
      <c r="N190" s="8" t="s">
        <v>5363</v>
      </c>
      <c r="O190" s="131" t="b">
        <f t="shared" si="16"/>
        <v>1</v>
      </c>
    </row>
    <row r="191" spans="1:15">
      <c r="A191" s="8" t="s">
        <v>4000</v>
      </c>
      <c r="D191" s="63">
        <v>21</v>
      </c>
      <c r="E191" s="457">
        <f t="shared" si="19"/>
        <v>0.05</v>
      </c>
      <c r="F191" s="457">
        <f t="shared" si="19"/>
        <v>0.05</v>
      </c>
      <c r="G191" s="457">
        <f t="shared" si="19"/>
        <v>0.05</v>
      </c>
      <c r="H191" s="8" t="s">
        <v>4028</v>
      </c>
      <c r="I191" s="131" t="b">
        <f t="shared" si="15"/>
        <v>1</v>
      </c>
      <c r="J191" s="63">
        <v>21</v>
      </c>
      <c r="K191" s="457">
        <f>cbal!E191</f>
        <v>0.05</v>
      </c>
      <c r="L191" s="457">
        <f>cbal!F191</f>
        <v>0.05</v>
      </c>
      <c r="M191" s="457">
        <f>cbal!G191</f>
        <v>0.05</v>
      </c>
      <c r="N191" s="8" t="s">
        <v>5364</v>
      </c>
      <c r="O191" s="131" t="b">
        <f t="shared" si="16"/>
        <v>1</v>
      </c>
    </row>
    <row r="192" spans="1:15">
      <c r="A192" s="8" t="s">
        <v>4001</v>
      </c>
      <c r="D192" s="63">
        <v>22</v>
      </c>
      <c r="E192" s="457">
        <f t="shared" si="19"/>
        <v>0.05</v>
      </c>
      <c r="F192" s="457">
        <f t="shared" si="19"/>
        <v>0.05</v>
      </c>
      <c r="G192" s="457">
        <f t="shared" si="19"/>
        <v>0.05</v>
      </c>
      <c r="H192" s="8" t="s">
        <v>4029</v>
      </c>
      <c r="I192" s="131" t="b">
        <f t="shared" si="15"/>
        <v>1</v>
      </c>
      <c r="J192" s="63">
        <v>22</v>
      </c>
      <c r="K192" s="457">
        <f>cbal!E192</f>
        <v>0.05</v>
      </c>
      <c r="L192" s="457">
        <f>cbal!F192</f>
        <v>0.05</v>
      </c>
      <c r="M192" s="457">
        <f>cbal!G192</f>
        <v>0.05</v>
      </c>
      <c r="N192" s="8" t="s">
        <v>5365</v>
      </c>
      <c r="O192" s="131" t="b">
        <f t="shared" si="16"/>
        <v>1</v>
      </c>
    </row>
    <row r="193" spans="1:15">
      <c r="A193" s="8" t="s">
        <v>5091</v>
      </c>
      <c r="D193" s="496"/>
      <c r="E193" s="457">
        <v>7.9500000000000001E-2</v>
      </c>
      <c r="F193" s="457">
        <v>7.9500000000000001E-2</v>
      </c>
      <c r="G193" s="457">
        <v>7.9500000000000001E-2</v>
      </c>
      <c r="H193" s="641" t="s">
        <v>5092</v>
      </c>
      <c r="I193" s="131" t="b">
        <f t="shared" si="15"/>
        <v>1</v>
      </c>
      <c r="J193" s="496" t="str">
        <f>cbal!N193</f>
        <v>cbalR2LOB1ClinicianAvgMissPerc</v>
      </c>
      <c r="K193" s="457">
        <f>cbal!E193</f>
        <v>7.5000000000000011E-2</v>
      </c>
      <c r="L193" s="457">
        <f>cbal!F193</f>
        <v>7.5000000000000011E-2</v>
      </c>
      <c r="M193" s="457">
        <f>cbal!G193</f>
        <v>7.5000000000000011E-2</v>
      </c>
      <c r="N193" s="641" t="s">
        <v>5366</v>
      </c>
      <c r="O193" s="131" t="b">
        <f t="shared" si="16"/>
        <v>1</v>
      </c>
    </row>
    <row r="194" spans="1:15">
      <c r="I194" s="131" t="b">
        <f t="shared" si="15"/>
        <v>1</v>
      </c>
      <c r="K194" s="159">
        <f>cbal!E194</f>
        <v>0</v>
      </c>
      <c r="L194" s="159">
        <f>cbal!F194</f>
        <v>0</v>
      </c>
      <c r="M194" s="159">
        <f>cbal!G194</f>
        <v>0</v>
      </c>
      <c r="O194" s="131" t="b">
        <f t="shared" si="16"/>
        <v>1</v>
      </c>
    </row>
    <row r="195" spans="1:15">
      <c r="A195" s="8" t="s">
        <v>2033</v>
      </c>
      <c r="I195" s="131" t="b">
        <f t="shared" si="15"/>
        <v>1</v>
      </c>
      <c r="K195" s="159">
        <f>cbal!E195</f>
        <v>0</v>
      </c>
      <c r="L195" s="159">
        <f>cbal!F195</f>
        <v>0</v>
      </c>
      <c r="M195" s="159">
        <f>cbal!G195</f>
        <v>0</v>
      </c>
      <c r="O195" s="131" t="b">
        <f t="shared" si="16"/>
        <v>1</v>
      </c>
    </row>
    <row r="196" spans="1:15">
      <c r="A196" s="8" t="s">
        <v>595</v>
      </c>
      <c r="D196" s="63">
        <v>1</v>
      </c>
      <c r="E196" s="473">
        <f t="shared" ref="E196:G205" si="20">VLOOKUP($D196,dataTableCC1Staff,8,FALSE)</f>
        <v>3</v>
      </c>
      <c r="F196" s="473">
        <f t="shared" si="20"/>
        <v>3</v>
      </c>
      <c r="G196" s="473">
        <f t="shared" si="20"/>
        <v>3</v>
      </c>
      <c r="H196" s="8" t="s">
        <v>2034</v>
      </c>
      <c r="I196" s="131" t="b">
        <f t="shared" si="15"/>
        <v>1</v>
      </c>
      <c r="J196" s="63">
        <v>1</v>
      </c>
      <c r="K196" s="473">
        <f>cbal!E196</f>
        <v>3</v>
      </c>
      <c r="L196" s="473">
        <f>cbal!F196</f>
        <v>3</v>
      </c>
      <c r="M196" s="473">
        <f>cbal!G196</f>
        <v>3</v>
      </c>
      <c r="N196" s="8" t="s">
        <v>5367</v>
      </c>
      <c r="O196" s="131" t="b">
        <f t="shared" si="16"/>
        <v>1</v>
      </c>
    </row>
    <row r="197" spans="1:15">
      <c r="A197" s="8" t="s">
        <v>596</v>
      </c>
      <c r="D197" s="63">
        <v>2</v>
      </c>
      <c r="E197" s="473">
        <f t="shared" si="20"/>
        <v>2</v>
      </c>
      <c r="F197" s="473">
        <f t="shared" si="20"/>
        <v>2</v>
      </c>
      <c r="G197" s="473">
        <f t="shared" si="20"/>
        <v>2</v>
      </c>
      <c r="H197" s="8" t="s">
        <v>2035</v>
      </c>
      <c r="I197" s="131" t="b">
        <f t="shared" si="15"/>
        <v>1</v>
      </c>
      <c r="J197" s="63">
        <v>2</v>
      </c>
      <c r="K197" s="473">
        <f>cbal!E197</f>
        <v>2</v>
      </c>
      <c r="L197" s="473">
        <f>cbal!F197</f>
        <v>2</v>
      </c>
      <c r="M197" s="473">
        <f>cbal!G197</f>
        <v>2</v>
      </c>
      <c r="N197" s="8" t="s">
        <v>5368</v>
      </c>
      <c r="O197" s="131" t="b">
        <f t="shared" si="16"/>
        <v>1</v>
      </c>
    </row>
    <row r="198" spans="1:15">
      <c r="A198" s="8" t="s">
        <v>597</v>
      </c>
      <c r="D198" s="63">
        <v>3</v>
      </c>
      <c r="E198" s="473">
        <f t="shared" si="20"/>
        <v>4</v>
      </c>
      <c r="F198" s="473">
        <f t="shared" si="20"/>
        <v>4</v>
      </c>
      <c r="G198" s="473">
        <f t="shared" si="20"/>
        <v>4</v>
      </c>
      <c r="H198" s="8" t="s">
        <v>2036</v>
      </c>
      <c r="I198" s="131" t="b">
        <f t="shared" si="15"/>
        <v>1</v>
      </c>
      <c r="J198" s="63">
        <v>3</v>
      </c>
      <c r="K198" s="473">
        <f>cbal!E198</f>
        <v>4</v>
      </c>
      <c r="L198" s="473">
        <f>cbal!F198</f>
        <v>4</v>
      </c>
      <c r="M198" s="473">
        <f>cbal!G198</f>
        <v>4</v>
      </c>
      <c r="N198" s="8" t="s">
        <v>5369</v>
      </c>
      <c r="O198" s="131" t="b">
        <f t="shared" si="16"/>
        <v>1</v>
      </c>
    </row>
    <row r="199" spans="1:15">
      <c r="A199" s="8" t="s">
        <v>598</v>
      </c>
      <c r="D199" s="8">
        <v>4</v>
      </c>
      <c r="E199" s="473">
        <f t="shared" si="20"/>
        <v>2</v>
      </c>
      <c r="F199" s="473">
        <f t="shared" si="20"/>
        <v>2</v>
      </c>
      <c r="G199" s="473">
        <f t="shared" si="20"/>
        <v>2</v>
      </c>
      <c r="H199" s="8" t="s">
        <v>2037</v>
      </c>
      <c r="I199" s="131" t="b">
        <f t="shared" si="15"/>
        <v>1</v>
      </c>
      <c r="J199" s="8">
        <v>4</v>
      </c>
      <c r="K199" s="473">
        <f>cbal!E199</f>
        <v>2</v>
      </c>
      <c r="L199" s="473">
        <f>cbal!F199</f>
        <v>2</v>
      </c>
      <c r="M199" s="473">
        <f>cbal!G199</f>
        <v>2</v>
      </c>
      <c r="N199" s="8" t="s">
        <v>5370</v>
      </c>
      <c r="O199" s="131" t="b">
        <f t="shared" si="16"/>
        <v>1</v>
      </c>
    </row>
    <row r="200" spans="1:15">
      <c r="A200" s="8" t="s">
        <v>599</v>
      </c>
      <c r="D200" s="8">
        <v>5</v>
      </c>
      <c r="E200" s="473">
        <f t="shared" si="20"/>
        <v>1</v>
      </c>
      <c r="F200" s="473">
        <f t="shared" si="20"/>
        <v>1</v>
      </c>
      <c r="G200" s="473">
        <f t="shared" si="20"/>
        <v>1</v>
      </c>
      <c r="H200" s="8" t="s">
        <v>2038</v>
      </c>
      <c r="I200" s="131" t="b">
        <f t="shared" si="15"/>
        <v>1</v>
      </c>
      <c r="J200" s="8">
        <v>5</v>
      </c>
      <c r="K200" s="473">
        <f>cbal!E200</f>
        <v>1</v>
      </c>
      <c r="L200" s="473">
        <f>cbal!F200</f>
        <v>1</v>
      </c>
      <c r="M200" s="473">
        <f>cbal!G200</f>
        <v>1</v>
      </c>
      <c r="N200" s="8" t="s">
        <v>5371</v>
      </c>
      <c r="O200" s="131" t="b">
        <f t="shared" si="16"/>
        <v>1</v>
      </c>
    </row>
    <row r="201" spans="1:15">
      <c r="A201" s="8" t="s">
        <v>600</v>
      </c>
      <c r="D201" s="8">
        <v>6</v>
      </c>
      <c r="E201" s="473">
        <f t="shared" si="20"/>
        <v>3</v>
      </c>
      <c r="F201" s="473">
        <f t="shared" si="20"/>
        <v>3</v>
      </c>
      <c r="G201" s="473">
        <f t="shared" si="20"/>
        <v>3</v>
      </c>
      <c r="H201" s="8" t="s">
        <v>2039</v>
      </c>
      <c r="I201" s="131" t="b">
        <f t="shared" si="15"/>
        <v>1</v>
      </c>
      <c r="J201" s="8">
        <v>6</v>
      </c>
      <c r="K201" s="473">
        <f>cbal!E201</f>
        <v>3</v>
      </c>
      <c r="L201" s="473">
        <f>cbal!F201</f>
        <v>3</v>
      </c>
      <c r="M201" s="473">
        <f>cbal!G201</f>
        <v>3</v>
      </c>
      <c r="N201" s="8" t="s">
        <v>5372</v>
      </c>
      <c r="O201" s="131" t="b">
        <f t="shared" si="16"/>
        <v>1</v>
      </c>
    </row>
    <row r="202" spans="1:15">
      <c r="A202" s="8" t="s">
        <v>601</v>
      </c>
      <c r="D202" s="63">
        <v>7</v>
      </c>
      <c r="E202" s="473">
        <f t="shared" si="20"/>
        <v>4</v>
      </c>
      <c r="F202" s="473">
        <f t="shared" si="20"/>
        <v>4</v>
      </c>
      <c r="G202" s="473">
        <f t="shared" si="20"/>
        <v>4</v>
      </c>
      <c r="H202" s="8" t="s">
        <v>2040</v>
      </c>
      <c r="I202" s="131" t="b">
        <f t="shared" si="15"/>
        <v>1</v>
      </c>
      <c r="J202" s="63">
        <v>7</v>
      </c>
      <c r="K202" s="473">
        <f>cbal!E202</f>
        <v>4</v>
      </c>
      <c r="L202" s="473">
        <f>cbal!F202</f>
        <v>4</v>
      </c>
      <c r="M202" s="473">
        <f>cbal!G202</f>
        <v>4</v>
      </c>
      <c r="N202" s="8" t="s">
        <v>5373</v>
      </c>
      <c r="O202" s="131" t="b">
        <f t="shared" si="16"/>
        <v>1</v>
      </c>
    </row>
    <row r="203" spans="1:15">
      <c r="A203" s="8" t="s">
        <v>602</v>
      </c>
      <c r="D203" s="63">
        <v>8</v>
      </c>
      <c r="E203" s="473">
        <f t="shared" si="20"/>
        <v>2</v>
      </c>
      <c r="F203" s="473">
        <f t="shared" si="20"/>
        <v>2</v>
      </c>
      <c r="G203" s="473">
        <f t="shared" si="20"/>
        <v>2</v>
      </c>
      <c r="H203" s="8" t="s">
        <v>2041</v>
      </c>
      <c r="I203" s="131" t="b">
        <f t="shared" si="15"/>
        <v>1</v>
      </c>
      <c r="J203" s="63">
        <v>8</v>
      </c>
      <c r="K203" s="473">
        <f>cbal!E203</f>
        <v>2</v>
      </c>
      <c r="L203" s="473">
        <f>cbal!F203</f>
        <v>2</v>
      </c>
      <c r="M203" s="473">
        <f>cbal!G203</f>
        <v>2</v>
      </c>
      <c r="N203" s="8" t="s">
        <v>5374</v>
      </c>
      <c r="O203" s="131" t="b">
        <f t="shared" si="16"/>
        <v>1</v>
      </c>
    </row>
    <row r="204" spans="1:15">
      <c r="A204" s="8" t="s">
        <v>603</v>
      </c>
      <c r="D204" s="63">
        <v>9</v>
      </c>
      <c r="E204" s="473">
        <f t="shared" si="20"/>
        <v>1</v>
      </c>
      <c r="F204" s="473">
        <f t="shared" si="20"/>
        <v>1</v>
      </c>
      <c r="G204" s="473">
        <f t="shared" si="20"/>
        <v>1</v>
      </c>
      <c r="H204" s="8" t="s">
        <v>2042</v>
      </c>
      <c r="I204" s="131" t="b">
        <f t="shared" si="15"/>
        <v>1</v>
      </c>
      <c r="J204" s="63">
        <v>9</v>
      </c>
      <c r="K204" s="473">
        <f>cbal!E204</f>
        <v>1</v>
      </c>
      <c r="L204" s="473">
        <f>cbal!F204</f>
        <v>1</v>
      </c>
      <c r="M204" s="473">
        <f>cbal!G204</f>
        <v>1</v>
      </c>
      <c r="N204" s="8" t="s">
        <v>5375</v>
      </c>
      <c r="O204" s="131" t="b">
        <f t="shared" si="16"/>
        <v>1</v>
      </c>
    </row>
    <row r="205" spans="1:15">
      <c r="A205" s="8" t="s">
        <v>604</v>
      </c>
      <c r="D205" s="8">
        <v>10</v>
      </c>
      <c r="E205" s="473">
        <f t="shared" si="20"/>
        <v>2</v>
      </c>
      <c r="F205" s="473">
        <f t="shared" si="20"/>
        <v>2</v>
      </c>
      <c r="G205" s="473">
        <f t="shared" si="20"/>
        <v>2</v>
      </c>
      <c r="H205" s="8" t="s">
        <v>2043</v>
      </c>
      <c r="I205" s="131" t="b">
        <f t="shared" si="15"/>
        <v>1</v>
      </c>
      <c r="J205" s="8">
        <v>10</v>
      </c>
      <c r="K205" s="473">
        <f>cbal!E205</f>
        <v>2</v>
      </c>
      <c r="L205" s="473">
        <f>cbal!F205</f>
        <v>2</v>
      </c>
      <c r="M205" s="473">
        <f>cbal!G205</f>
        <v>2</v>
      </c>
      <c r="N205" s="8" t="s">
        <v>5376</v>
      </c>
      <c r="O205" s="131" t="b">
        <f t="shared" si="16"/>
        <v>1</v>
      </c>
    </row>
    <row r="206" spans="1:15">
      <c r="A206" s="8" t="s">
        <v>1497</v>
      </c>
      <c r="D206" s="8">
        <v>11</v>
      </c>
      <c r="E206" s="473"/>
      <c r="F206" s="473"/>
      <c r="G206" s="473"/>
      <c r="H206" s="8" t="s">
        <v>2044</v>
      </c>
      <c r="I206" s="131" t="b">
        <f t="shared" si="15"/>
        <v>1</v>
      </c>
      <c r="J206" s="8">
        <v>11</v>
      </c>
      <c r="K206" s="473">
        <f>cbal!E206</f>
        <v>0</v>
      </c>
      <c r="L206" s="473">
        <f>cbal!F206</f>
        <v>0</v>
      </c>
      <c r="M206" s="473">
        <f>cbal!G206</f>
        <v>0</v>
      </c>
      <c r="N206" s="8" t="s">
        <v>5377</v>
      </c>
      <c r="O206" s="131" t="b">
        <f t="shared" si="16"/>
        <v>1</v>
      </c>
    </row>
    <row r="207" spans="1:15">
      <c r="A207" s="8" t="s">
        <v>1498</v>
      </c>
      <c r="D207" s="63">
        <v>12</v>
      </c>
      <c r="E207" s="473"/>
      <c r="F207" s="473"/>
      <c r="G207" s="473"/>
      <c r="H207" s="8" t="s">
        <v>2045</v>
      </c>
      <c r="I207" s="131" t="b">
        <f t="shared" si="15"/>
        <v>1</v>
      </c>
      <c r="J207" s="63">
        <v>12</v>
      </c>
      <c r="K207" s="473">
        <f>cbal!E207</f>
        <v>0</v>
      </c>
      <c r="L207" s="473">
        <f>cbal!F207</f>
        <v>0</v>
      </c>
      <c r="M207" s="473">
        <f>cbal!G207</f>
        <v>0</v>
      </c>
      <c r="N207" s="8" t="s">
        <v>5378</v>
      </c>
      <c r="O207" s="131" t="b">
        <f t="shared" si="16"/>
        <v>1</v>
      </c>
    </row>
    <row r="208" spans="1:15">
      <c r="I208" s="131" t="b">
        <f t="shared" si="15"/>
        <v>1</v>
      </c>
      <c r="K208" s="159">
        <f>cbal!E208</f>
        <v>0</v>
      </c>
      <c r="L208" s="159">
        <f>cbal!F208</f>
        <v>0</v>
      </c>
      <c r="M208" s="159">
        <f>cbal!G208</f>
        <v>0</v>
      </c>
      <c r="O208" s="131" t="b">
        <f t="shared" si="16"/>
        <v>1</v>
      </c>
    </row>
    <row r="209" spans="1:15">
      <c r="A209" s="8" t="s">
        <v>2991</v>
      </c>
      <c r="I209" s="131" t="b">
        <f t="shared" si="15"/>
        <v>1</v>
      </c>
      <c r="K209" s="159">
        <f>cbal!E209</f>
        <v>0</v>
      </c>
      <c r="L209" s="159">
        <f>cbal!F209</f>
        <v>0</v>
      </c>
      <c r="M209" s="159">
        <f>cbal!G209</f>
        <v>0</v>
      </c>
      <c r="O209" s="131" t="b">
        <f t="shared" si="16"/>
        <v>1</v>
      </c>
    </row>
    <row r="210" spans="1:15">
      <c r="A210" s="8" t="s">
        <v>595</v>
      </c>
      <c r="D210" s="63">
        <v>1</v>
      </c>
      <c r="E210" s="473">
        <f t="shared" ref="E210:G221" si="21">E129*E177</f>
        <v>4.05</v>
      </c>
      <c r="F210" s="473">
        <f t="shared" si="21"/>
        <v>4.05</v>
      </c>
      <c r="G210" s="473">
        <f t="shared" si="21"/>
        <v>4.05</v>
      </c>
      <c r="H210" s="8" t="s">
        <v>2992</v>
      </c>
      <c r="I210" s="131" t="b">
        <f t="shared" si="15"/>
        <v>1</v>
      </c>
      <c r="J210" s="63">
        <v>1</v>
      </c>
      <c r="K210" s="473">
        <f>cbal!E210</f>
        <v>4.05</v>
      </c>
      <c r="L210" s="473">
        <f>cbal!F210</f>
        <v>4.05</v>
      </c>
      <c r="M210" s="473">
        <f>cbal!G210</f>
        <v>4.05</v>
      </c>
      <c r="N210" s="8" t="s">
        <v>5379</v>
      </c>
      <c r="O210" s="131" t="b">
        <f t="shared" si="16"/>
        <v>1</v>
      </c>
    </row>
    <row r="211" spans="1:15">
      <c r="A211" s="8" t="s">
        <v>596</v>
      </c>
      <c r="D211" s="63">
        <v>2</v>
      </c>
      <c r="E211" s="473">
        <f t="shared" si="21"/>
        <v>2.4000000000000004</v>
      </c>
      <c r="F211" s="473">
        <f t="shared" si="21"/>
        <v>2.4000000000000004</v>
      </c>
      <c r="G211" s="473">
        <f t="shared" si="21"/>
        <v>2.4000000000000004</v>
      </c>
      <c r="H211" s="8" t="s">
        <v>2993</v>
      </c>
      <c r="I211" s="131" t="b">
        <f t="shared" si="15"/>
        <v>1</v>
      </c>
      <c r="J211" s="63">
        <v>2</v>
      </c>
      <c r="K211" s="473">
        <f>cbal!E211</f>
        <v>2.4000000000000004</v>
      </c>
      <c r="L211" s="473">
        <f>cbal!F211</f>
        <v>2.4000000000000004</v>
      </c>
      <c r="M211" s="473">
        <f>cbal!G211</f>
        <v>2.4000000000000004</v>
      </c>
      <c r="N211" s="8" t="s">
        <v>5380</v>
      </c>
      <c r="O211" s="131" t="b">
        <f t="shared" si="16"/>
        <v>1</v>
      </c>
    </row>
    <row r="212" spans="1:15">
      <c r="A212" s="8" t="s">
        <v>597</v>
      </c>
      <c r="D212" s="63">
        <v>3</v>
      </c>
      <c r="E212" s="473">
        <f t="shared" si="21"/>
        <v>0.62631578947368427</v>
      </c>
      <c r="F212" s="473">
        <f t="shared" si="21"/>
        <v>0.62631578947368427</v>
      </c>
      <c r="G212" s="473">
        <f t="shared" si="21"/>
        <v>0.62631578947368427</v>
      </c>
      <c r="H212" s="8" t="s">
        <v>2994</v>
      </c>
      <c r="I212" s="131" t="b">
        <f t="shared" si="15"/>
        <v>1</v>
      </c>
      <c r="J212" s="63">
        <v>3</v>
      </c>
      <c r="K212" s="473">
        <f>cbal!E212</f>
        <v>0.62631578947368427</v>
      </c>
      <c r="L212" s="473">
        <f>cbal!F212</f>
        <v>0.62631578947368427</v>
      </c>
      <c r="M212" s="473">
        <f>cbal!G212</f>
        <v>0.62631578947368427</v>
      </c>
      <c r="N212" s="8" t="s">
        <v>5381</v>
      </c>
      <c r="O212" s="131" t="b">
        <f t="shared" si="16"/>
        <v>1</v>
      </c>
    </row>
    <row r="213" spans="1:15">
      <c r="A213" s="8" t="s">
        <v>598</v>
      </c>
      <c r="D213" s="8">
        <v>4</v>
      </c>
      <c r="E213" s="473">
        <f t="shared" si="21"/>
        <v>0.33</v>
      </c>
      <c r="F213" s="473">
        <f t="shared" si="21"/>
        <v>0.33</v>
      </c>
      <c r="G213" s="473">
        <f t="shared" si="21"/>
        <v>0.33</v>
      </c>
      <c r="H213" s="8" t="s">
        <v>2995</v>
      </c>
      <c r="I213" s="131" t="b">
        <f t="shared" si="15"/>
        <v>1</v>
      </c>
      <c r="J213" s="8">
        <v>4</v>
      </c>
      <c r="K213" s="473">
        <f>cbal!E213</f>
        <v>0.33</v>
      </c>
      <c r="L213" s="473">
        <f>cbal!F213</f>
        <v>0.33</v>
      </c>
      <c r="M213" s="473">
        <f>cbal!G213</f>
        <v>0.33</v>
      </c>
      <c r="N213" s="8" t="s">
        <v>5382</v>
      </c>
      <c r="O213" s="131" t="b">
        <f t="shared" si="16"/>
        <v>1</v>
      </c>
    </row>
    <row r="214" spans="1:15">
      <c r="A214" s="8" t="s">
        <v>599</v>
      </c>
      <c r="D214" s="8">
        <v>5</v>
      </c>
      <c r="E214" s="473">
        <f t="shared" si="21"/>
        <v>0.52577319587628868</v>
      </c>
      <c r="F214" s="473">
        <f t="shared" si="21"/>
        <v>0.52577319587628868</v>
      </c>
      <c r="G214" s="473">
        <f t="shared" si="21"/>
        <v>0.52577319587628868</v>
      </c>
      <c r="H214" s="8" t="s">
        <v>2996</v>
      </c>
      <c r="I214" s="131" t="b">
        <f t="shared" si="15"/>
        <v>1</v>
      </c>
      <c r="J214" s="8">
        <v>5</v>
      </c>
      <c r="K214" s="473">
        <f>cbal!E214</f>
        <v>0.52577319587628868</v>
      </c>
      <c r="L214" s="473">
        <f>cbal!F214</f>
        <v>0.52577319587628868</v>
      </c>
      <c r="M214" s="473">
        <f>cbal!G214</f>
        <v>0.52577319587628868</v>
      </c>
      <c r="N214" s="8" t="s">
        <v>5383</v>
      </c>
      <c r="O214" s="131" t="b">
        <f t="shared" si="16"/>
        <v>1</v>
      </c>
    </row>
    <row r="215" spans="1:15">
      <c r="A215" s="8" t="s">
        <v>600</v>
      </c>
      <c r="D215" s="8">
        <v>6</v>
      </c>
      <c r="E215" s="473">
        <f t="shared" si="21"/>
        <v>3.9000000000000004</v>
      </c>
      <c r="F215" s="473">
        <f t="shared" si="21"/>
        <v>3.9000000000000004</v>
      </c>
      <c r="G215" s="473">
        <f t="shared" si="21"/>
        <v>3.9000000000000004</v>
      </c>
      <c r="H215" s="8" t="s">
        <v>2997</v>
      </c>
      <c r="I215" s="131" t="b">
        <f t="shared" si="15"/>
        <v>1</v>
      </c>
      <c r="J215" s="8">
        <v>6</v>
      </c>
      <c r="K215" s="473">
        <f>cbal!E215</f>
        <v>3.9000000000000004</v>
      </c>
      <c r="L215" s="473">
        <f>cbal!F215</f>
        <v>3.9000000000000004</v>
      </c>
      <c r="M215" s="473">
        <f>cbal!G215</f>
        <v>3.9000000000000004</v>
      </c>
      <c r="N215" s="8" t="s">
        <v>5384</v>
      </c>
      <c r="O215" s="131" t="b">
        <f t="shared" si="16"/>
        <v>1</v>
      </c>
    </row>
    <row r="216" spans="1:15">
      <c r="A216" s="8" t="s">
        <v>601</v>
      </c>
      <c r="D216" s="63">
        <v>7</v>
      </c>
      <c r="E216" s="473">
        <f t="shared" si="21"/>
        <v>1.68</v>
      </c>
      <c r="F216" s="473">
        <f t="shared" si="21"/>
        <v>1.68</v>
      </c>
      <c r="G216" s="473">
        <f t="shared" si="21"/>
        <v>1.68</v>
      </c>
      <c r="H216" s="8" t="s">
        <v>2998</v>
      </c>
      <c r="I216" s="131" t="b">
        <f t="shared" ref="I216:I280" si="22">MAX(E216:G216)=MIN(E216:G216)</f>
        <v>1</v>
      </c>
      <c r="J216" s="63">
        <v>7</v>
      </c>
      <c r="K216" s="473">
        <f>cbal!E216</f>
        <v>1.68</v>
      </c>
      <c r="L216" s="473">
        <f>cbal!F216</f>
        <v>1.68</v>
      </c>
      <c r="M216" s="473">
        <f>cbal!G216</f>
        <v>1.68</v>
      </c>
      <c r="N216" s="8" t="s">
        <v>5385</v>
      </c>
      <c r="O216" s="131" t="b">
        <f t="shared" ref="O216:O280" si="23">MAX(K216:M216)=MIN(K216:M216)</f>
        <v>1</v>
      </c>
    </row>
    <row r="217" spans="1:15">
      <c r="A217" s="8" t="s">
        <v>602</v>
      </c>
      <c r="D217" s="63">
        <v>8</v>
      </c>
      <c r="E217" s="473">
        <f t="shared" si="21"/>
        <v>4.0600000000000005</v>
      </c>
      <c r="F217" s="473">
        <f t="shared" si="21"/>
        <v>4.0600000000000005</v>
      </c>
      <c r="G217" s="473">
        <f t="shared" si="21"/>
        <v>4.0600000000000005</v>
      </c>
      <c r="H217" s="8" t="s">
        <v>2999</v>
      </c>
      <c r="I217" s="131" t="b">
        <f t="shared" si="22"/>
        <v>1</v>
      </c>
      <c r="J217" s="63">
        <v>8</v>
      </c>
      <c r="K217" s="473">
        <f>cbal!E217</f>
        <v>4.0600000000000005</v>
      </c>
      <c r="L217" s="473">
        <f>cbal!F217</f>
        <v>4.0600000000000005</v>
      </c>
      <c r="M217" s="473">
        <f>cbal!G217</f>
        <v>4.0600000000000005</v>
      </c>
      <c r="N217" s="8" t="s">
        <v>5386</v>
      </c>
      <c r="O217" s="131" t="b">
        <f t="shared" si="23"/>
        <v>1</v>
      </c>
    </row>
    <row r="218" spans="1:15">
      <c r="A218" s="8" t="s">
        <v>603</v>
      </c>
      <c r="D218" s="63">
        <v>9</v>
      </c>
      <c r="E218" s="473">
        <f t="shared" si="21"/>
        <v>0.47319587628865978</v>
      </c>
      <c r="F218" s="473">
        <f t="shared" si="21"/>
        <v>0.47319587628865978</v>
      </c>
      <c r="G218" s="473">
        <f t="shared" si="21"/>
        <v>0.47319587628865978</v>
      </c>
      <c r="H218" s="8" t="s">
        <v>3000</v>
      </c>
      <c r="I218" s="131" t="b">
        <f t="shared" si="22"/>
        <v>1</v>
      </c>
      <c r="J218" s="63">
        <v>9</v>
      </c>
      <c r="K218" s="473">
        <f>cbal!E218</f>
        <v>0.47319587628865978</v>
      </c>
      <c r="L218" s="473">
        <f>cbal!F218</f>
        <v>0.47319587628865978</v>
      </c>
      <c r="M218" s="473">
        <f>cbal!G218</f>
        <v>0.47319587628865978</v>
      </c>
      <c r="N218" s="8" t="s">
        <v>5387</v>
      </c>
      <c r="O218" s="131" t="b">
        <f t="shared" si="23"/>
        <v>1</v>
      </c>
    </row>
    <row r="219" spans="1:15">
      <c r="A219" s="8" t="s">
        <v>604</v>
      </c>
      <c r="D219" s="8">
        <v>10</v>
      </c>
      <c r="E219" s="473">
        <f t="shared" si="21"/>
        <v>1.2526315789473685</v>
      </c>
      <c r="F219" s="473">
        <f t="shared" si="21"/>
        <v>1.2526315789473685</v>
      </c>
      <c r="G219" s="473">
        <f t="shared" si="21"/>
        <v>1.2526315789473685</v>
      </c>
      <c r="H219" s="8" t="s">
        <v>3001</v>
      </c>
      <c r="I219" s="131" t="b">
        <f t="shared" si="22"/>
        <v>1</v>
      </c>
      <c r="J219" s="8">
        <v>10</v>
      </c>
      <c r="K219" s="473">
        <f>cbal!E219</f>
        <v>1.2526315789473685</v>
      </c>
      <c r="L219" s="473">
        <f>cbal!F219</f>
        <v>1.2526315789473685</v>
      </c>
      <c r="M219" s="473">
        <f>cbal!G219</f>
        <v>1.2526315789473685</v>
      </c>
      <c r="N219" s="8" t="s">
        <v>5388</v>
      </c>
      <c r="O219" s="131" t="b">
        <f t="shared" si="23"/>
        <v>1</v>
      </c>
    </row>
    <row r="220" spans="1:15">
      <c r="A220" s="8" t="s">
        <v>1497</v>
      </c>
      <c r="D220" s="8">
        <v>11</v>
      </c>
      <c r="E220" s="473">
        <f t="shared" si="21"/>
        <v>0</v>
      </c>
      <c r="F220" s="473">
        <f t="shared" si="21"/>
        <v>0</v>
      </c>
      <c r="G220" s="473">
        <f t="shared" si="21"/>
        <v>0</v>
      </c>
      <c r="H220" s="8" t="s">
        <v>3002</v>
      </c>
      <c r="I220" s="131" t="b">
        <f t="shared" si="22"/>
        <v>1</v>
      </c>
      <c r="J220" s="8">
        <v>11</v>
      </c>
      <c r="K220" s="473">
        <f>cbal!E220</f>
        <v>0</v>
      </c>
      <c r="L220" s="473">
        <f>cbal!F220</f>
        <v>0</v>
      </c>
      <c r="M220" s="473">
        <f>cbal!G220</f>
        <v>0</v>
      </c>
      <c r="N220" s="8" t="s">
        <v>5389</v>
      </c>
      <c r="O220" s="131" t="b">
        <f t="shared" si="23"/>
        <v>1</v>
      </c>
    </row>
    <row r="221" spans="1:15">
      <c r="A221" s="8" t="s">
        <v>1498</v>
      </c>
      <c r="D221" s="63">
        <v>12</v>
      </c>
      <c r="E221" s="473">
        <f t="shared" si="21"/>
        <v>0</v>
      </c>
      <c r="F221" s="473">
        <f t="shared" si="21"/>
        <v>0</v>
      </c>
      <c r="G221" s="473">
        <f t="shared" si="21"/>
        <v>0</v>
      </c>
      <c r="H221" s="8" t="s">
        <v>3003</v>
      </c>
      <c r="I221" s="131" t="b">
        <f t="shared" si="22"/>
        <v>1</v>
      </c>
      <c r="J221" s="63">
        <v>12</v>
      </c>
      <c r="K221" s="473">
        <f>cbal!E221</f>
        <v>0</v>
      </c>
      <c r="L221" s="473">
        <f>cbal!F221</f>
        <v>0</v>
      </c>
      <c r="M221" s="473">
        <f>cbal!G221</f>
        <v>0</v>
      </c>
      <c r="N221" s="8" t="s">
        <v>5390</v>
      </c>
      <c r="O221" s="131" t="b">
        <f t="shared" si="23"/>
        <v>1</v>
      </c>
    </row>
    <row r="222" spans="1:15">
      <c r="I222" s="131" t="b">
        <f t="shared" si="22"/>
        <v>1</v>
      </c>
      <c r="K222" s="159">
        <f>cbal!E222</f>
        <v>0</v>
      </c>
      <c r="L222" s="159">
        <f>cbal!F222</f>
        <v>0</v>
      </c>
      <c r="M222" s="159">
        <f>cbal!G222</f>
        <v>0</v>
      </c>
      <c r="O222" s="131" t="b">
        <f t="shared" si="23"/>
        <v>1</v>
      </c>
    </row>
    <row r="223" spans="1:15" s="170" customFormat="1" ht="14.25" customHeight="1">
      <c r="A223" s="87" t="str">
        <f>nmLOB2</f>
        <v>Pleasentville</v>
      </c>
      <c r="E223" s="326"/>
      <c r="F223" s="326"/>
      <c r="G223" s="326"/>
      <c r="I223" s="131" t="b">
        <f t="shared" si="22"/>
        <v>1</v>
      </c>
      <c r="K223" s="326">
        <f>cbal!E223</f>
        <v>0</v>
      </c>
      <c r="L223" s="326">
        <f>cbal!F223</f>
        <v>0</v>
      </c>
      <c r="M223" s="326">
        <f>cbal!G223</f>
        <v>0</v>
      </c>
      <c r="O223" s="131" t="b">
        <f t="shared" si="23"/>
        <v>1</v>
      </c>
    </row>
    <row r="224" spans="1:15">
      <c r="A224" s="63" t="str">
        <f>nmSeg1</f>
        <v>Medicare</v>
      </c>
      <c r="E224" s="440">
        <v>0.92</v>
      </c>
      <c r="F224" s="440">
        <v>0.92</v>
      </c>
      <c r="G224" s="440">
        <v>0.92</v>
      </c>
      <c r="H224" s="8" t="s">
        <v>2058</v>
      </c>
      <c r="I224" s="131" t="b">
        <f t="shared" si="22"/>
        <v>1</v>
      </c>
      <c r="K224" s="440">
        <f>cbal!E224</f>
        <v>0.92</v>
      </c>
      <c r="L224" s="440">
        <f>cbal!F224</f>
        <v>0.92</v>
      </c>
      <c r="M224" s="440">
        <f>cbal!G224</f>
        <v>0.92</v>
      </c>
      <c r="N224" s="8" t="s">
        <v>5391</v>
      </c>
      <c r="O224" s="131" t="b">
        <f t="shared" si="23"/>
        <v>1</v>
      </c>
    </row>
    <row r="225" spans="1:15">
      <c r="A225" s="63" t="str">
        <f>nmSeg2</f>
        <v>PPS</v>
      </c>
      <c r="E225" s="440">
        <v>0.05</v>
      </c>
      <c r="F225" s="440">
        <v>0.05</v>
      </c>
      <c r="G225" s="440">
        <v>0.05</v>
      </c>
      <c r="H225" s="8" t="s">
        <v>2059</v>
      </c>
      <c r="I225" s="131" t="b">
        <f t="shared" si="22"/>
        <v>1</v>
      </c>
      <c r="K225" s="440">
        <f>cbal!E225</f>
        <v>0.05</v>
      </c>
      <c r="L225" s="440">
        <f>cbal!F225</f>
        <v>0.05</v>
      </c>
      <c r="M225" s="440">
        <f>cbal!G225</f>
        <v>0.05</v>
      </c>
      <c r="N225" s="8" t="s">
        <v>5392</v>
      </c>
      <c r="O225" s="131" t="b">
        <f t="shared" si="23"/>
        <v>1</v>
      </c>
    </row>
    <row r="226" spans="1:15">
      <c r="A226" s="63" t="str">
        <f>nmSeg3</f>
        <v>Other</v>
      </c>
      <c r="E226" s="440">
        <v>0.03</v>
      </c>
      <c r="F226" s="440">
        <v>0.03</v>
      </c>
      <c r="G226" s="440">
        <v>0.03</v>
      </c>
      <c r="H226" s="8" t="s">
        <v>2060</v>
      </c>
      <c r="I226" s="131" t="b">
        <f t="shared" si="22"/>
        <v>1</v>
      </c>
      <c r="K226" s="440">
        <f>cbal!E226</f>
        <v>0.03</v>
      </c>
      <c r="L226" s="440">
        <f>cbal!F226</f>
        <v>0.03</v>
      </c>
      <c r="M226" s="440">
        <f>cbal!G226</f>
        <v>0.03</v>
      </c>
      <c r="N226" s="8" t="s">
        <v>5393</v>
      </c>
      <c r="O226" s="131" t="b">
        <f t="shared" si="23"/>
        <v>1</v>
      </c>
    </row>
    <row r="227" spans="1:15">
      <c r="A227" s="63" t="str">
        <f>nmEmp1 &amp; " Visits Per Episode"</f>
        <v>Skilled Nursing Visits Per Episode</v>
      </c>
      <c r="E227" s="404">
        <v>9.3000000000000007</v>
      </c>
      <c r="F227" s="404">
        <v>9.3000000000000007</v>
      </c>
      <c r="G227" s="404">
        <v>9.3000000000000007</v>
      </c>
      <c r="H227" s="8" t="s">
        <v>2061</v>
      </c>
      <c r="I227" s="131" t="b">
        <f t="shared" si="22"/>
        <v>1</v>
      </c>
      <c r="K227" s="404">
        <f>cbal!E227</f>
        <v>9.3000000000000007</v>
      </c>
      <c r="L227" s="404">
        <f>cbal!F227</f>
        <v>9.3000000000000007</v>
      </c>
      <c r="M227" s="404">
        <f>cbal!G227</f>
        <v>9.3000000000000007</v>
      </c>
      <c r="N227" s="8" t="s">
        <v>5394</v>
      </c>
      <c r="O227" s="131" t="b">
        <f t="shared" si="23"/>
        <v>1</v>
      </c>
    </row>
    <row r="228" spans="1:15">
      <c r="A228" s="157" t="str">
        <f>nmEmp2 &amp; " Visits Per Episode"</f>
        <v>Occupational Therapy Visits Per Episode</v>
      </c>
      <c r="E228" s="404">
        <v>1.2</v>
      </c>
      <c r="F228" s="404">
        <v>1.2</v>
      </c>
      <c r="G228" s="404">
        <v>1.2</v>
      </c>
      <c r="H228" s="8" t="s">
        <v>2062</v>
      </c>
      <c r="I228" s="131" t="b">
        <f t="shared" si="22"/>
        <v>1</v>
      </c>
      <c r="K228" s="404">
        <f>cbal!E228</f>
        <v>1.2</v>
      </c>
      <c r="L228" s="404">
        <f>cbal!F228</f>
        <v>1.2</v>
      </c>
      <c r="M228" s="404">
        <f>cbal!G228</f>
        <v>1.2</v>
      </c>
      <c r="N228" s="8" t="s">
        <v>5395</v>
      </c>
      <c r="O228" s="131" t="b">
        <f t="shared" si="23"/>
        <v>1</v>
      </c>
    </row>
    <row r="229" spans="1:15">
      <c r="A229" s="157" t="str">
        <f>nmEmp3 &amp; " Visits Per Episode"</f>
        <v>Physical Therapy Visits Per Episode</v>
      </c>
      <c r="E229" s="404">
        <v>4</v>
      </c>
      <c r="F229" s="404">
        <v>4</v>
      </c>
      <c r="G229" s="404">
        <v>4</v>
      </c>
      <c r="H229" s="8" t="s">
        <v>2063</v>
      </c>
      <c r="I229" s="131" t="b">
        <f t="shared" si="22"/>
        <v>1</v>
      </c>
      <c r="K229" s="404">
        <f>cbal!E229</f>
        <v>4</v>
      </c>
      <c r="L229" s="404">
        <f>cbal!F229</f>
        <v>4</v>
      </c>
      <c r="M229" s="404">
        <f>cbal!G229</f>
        <v>4</v>
      </c>
      <c r="N229" s="8" t="s">
        <v>5396</v>
      </c>
      <c r="O229" s="131" t="b">
        <f t="shared" si="23"/>
        <v>1</v>
      </c>
    </row>
    <row r="230" spans="1:15">
      <c r="A230" s="157" t="str">
        <f>nmEmp1 &amp; " " &amp;  nmSeg1 &amp;  " Revenue Per Visit"</f>
        <v>Skilled Nursing Medicare Revenue Per Visit</v>
      </c>
      <c r="E230" s="484">
        <v>170</v>
      </c>
      <c r="F230" s="484">
        <v>170</v>
      </c>
      <c r="G230" s="484">
        <v>170</v>
      </c>
      <c r="H230" s="8" t="s">
        <v>2697</v>
      </c>
      <c r="I230" s="131" t="b">
        <f t="shared" si="22"/>
        <v>1</v>
      </c>
      <c r="K230" s="484">
        <f>cbal!E230</f>
        <v>170</v>
      </c>
      <c r="L230" s="484">
        <f>cbal!F230</f>
        <v>170</v>
      </c>
      <c r="M230" s="484">
        <f>cbal!G230</f>
        <v>170</v>
      </c>
      <c r="N230" s="8" t="s">
        <v>5397</v>
      </c>
      <c r="O230" s="131" t="b">
        <f t="shared" si="23"/>
        <v>1</v>
      </c>
    </row>
    <row r="231" spans="1:15">
      <c r="A231" s="157" t="str">
        <f>nmEmp1 &amp; " " &amp;  nmSeg2 &amp;  " Revenue Per Visit"</f>
        <v>Skilled Nursing PPS Revenue Per Visit</v>
      </c>
      <c r="E231" s="484">
        <v>150</v>
      </c>
      <c r="F231" s="484">
        <v>150</v>
      </c>
      <c r="G231" s="484">
        <v>150</v>
      </c>
      <c r="H231" s="8" t="s">
        <v>2698</v>
      </c>
      <c r="I231" s="131" t="b">
        <f t="shared" si="22"/>
        <v>1</v>
      </c>
      <c r="K231" s="484">
        <f>cbal!E231</f>
        <v>150</v>
      </c>
      <c r="L231" s="484">
        <f>cbal!F231</f>
        <v>150</v>
      </c>
      <c r="M231" s="484">
        <f>cbal!G231</f>
        <v>150</v>
      </c>
      <c r="N231" s="8" t="s">
        <v>5398</v>
      </c>
      <c r="O231" s="131" t="b">
        <f t="shared" si="23"/>
        <v>1</v>
      </c>
    </row>
    <row r="232" spans="1:15">
      <c r="A232" s="157" t="str">
        <f>nmEmp1 &amp; " " &amp;  nmSeg3 &amp;  " Revenue Per Visit"</f>
        <v>Skilled Nursing Other Revenue Per Visit</v>
      </c>
      <c r="E232" s="484">
        <v>95</v>
      </c>
      <c r="F232" s="484">
        <v>95</v>
      </c>
      <c r="G232" s="484">
        <v>95</v>
      </c>
      <c r="H232" s="8" t="s">
        <v>2699</v>
      </c>
      <c r="I232" s="131" t="b">
        <f t="shared" si="22"/>
        <v>1</v>
      </c>
      <c r="K232" s="484">
        <f>cbal!E232</f>
        <v>95</v>
      </c>
      <c r="L232" s="484">
        <f>cbal!F232</f>
        <v>95</v>
      </c>
      <c r="M232" s="484">
        <f>cbal!G232</f>
        <v>95</v>
      </c>
      <c r="N232" s="8" t="s">
        <v>5399</v>
      </c>
      <c r="O232" s="131" t="b">
        <f t="shared" si="23"/>
        <v>1</v>
      </c>
    </row>
    <row r="233" spans="1:15">
      <c r="A233" s="157" t="str">
        <f>nmEmp2 &amp; " " &amp;  nmSeg1 &amp;  " Revenue Per Visit"</f>
        <v>Occupational Therapy Medicare Revenue Per Visit</v>
      </c>
      <c r="E233" s="484">
        <v>168</v>
      </c>
      <c r="F233" s="484">
        <v>168</v>
      </c>
      <c r="G233" s="484">
        <v>168</v>
      </c>
      <c r="H233" s="8" t="s">
        <v>2700</v>
      </c>
      <c r="I233" s="131" t="b">
        <f t="shared" si="22"/>
        <v>1</v>
      </c>
      <c r="K233" s="484">
        <f>cbal!E233</f>
        <v>168</v>
      </c>
      <c r="L233" s="484">
        <f>cbal!F233</f>
        <v>168</v>
      </c>
      <c r="M233" s="484">
        <f>cbal!G233</f>
        <v>168</v>
      </c>
      <c r="N233" s="8" t="s">
        <v>5400</v>
      </c>
      <c r="O233" s="131" t="b">
        <f t="shared" si="23"/>
        <v>1</v>
      </c>
    </row>
    <row r="234" spans="1:15">
      <c r="A234" s="157" t="str">
        <f>nmEmp2 &amp; " " &amp;  nmSeg2 &amp;  " Revenue Per Visit"</f>
        <v>Occupational Therapy PPS Revenue Per Visit</v>
      </c>
      <c r="E234" s="484">
        <v>152</v>
      </c>
      <c r="F234" s="484">
        <v>152</v>
      </c>
      <c r="G234" s="484">
        <v>152</v>
      </c>
      <c r="H234" s="8" t="s">
        <v>2701</v>
      </c>
      <c r="I234" s="131" t="b">
        <f t="shared" si="22"/>
        <v>1</v>
      </c>
      <c r="K234" s="484">
        <f>cbal!E234</f>
        <v>152</v>
      </c>
      <c r="L234" s="484">
        <f>cbal!F234</f>
        <v>152</v>
      </c>
      <c r="M234" s="484">
        <f>cbal!G234</f>
        <v>152</v>
      </c>
      <c r="N234" s="8" t="s">
        <v>5401</v>
      </c>
      <c r="O234" s="131" t="b">
        <f t="shared" si="23"/>
        <v>1</v>
      </c>
    </row>
    <row r="235" spans="1:15">
      <c r="A235" s="157" t="str">
        <f>nmEmp2 &amp; " " &amp;  nmSeg3 &amp;  " Revenue Per Visit"</f>
        <v>Occupational Therapy Other Revenue Per Visit</v>
      </c>
      <c r="E235" s="484">
        <v>95</v>
      </c>
      <c r="F235" s="484">
        <v>95</v>
      </c>
      <c r="G235" s="484">
        <v>95</v>
      </c>
      <c r="H235" s="8" t="s">
        <v>2702</v>
      </c>
      <c r="I235" s="131" t="b">
        <f t="shared" si="22"/>
        <v>1</v>
      </c>
      <c r="K235" s="484">
        <f>cbal!E235</f>
        <v>95</v>
      </c>
      <c r="L235" s="484">
        <f>cbal!F235</f>
        <v>95</v>
      </c>
      <c r="M235" s="484">
        <f>cbal!G235</f>
        <v>95</v>
      </c>
      <c r="N235" s="8" t="s">
        <v>5402</v>
      </c>
      <c r="O235" s="131" t="b">
        <f t="shared" si="23"/>
        <v>1</v>
      </c>
    </row>
    <row r="236" spans="1:15">
      <c r="A236" s="157" t="str">
        <f>nmEmp3 &amp; " " &amp;  nmSeg1 &amp;  " Revenue Per Visit"</f>
        <v>Physical Therapy Medicare Revenue Per Visit</v>
      </c>
      <c r="E236" s="484">
        <v>170</v>
      </c>
      <c r="F236" s="484">
        <v>170</v>
      </c>
      <c r="G236" s="484">
        <v>170</v>
      </c>
      <c r="H236" s="8" t="s">
        <v>2703</v>
      </c>
      <c r="I236" s="131" t="b">
        <f t="shared" si="22"/>
        <v>1</v>
      </c>
      <c r="K236" s="484">
        <f>cbal!E236</f>
        <v>170</v>
      </c>
      <c r="L236" s="484">
        <f>cbal!F236</f>
        <v>170</v>
      </c>
      <c r="M236" s="484">
        <f>cbal!G236</f>
        <v>170</v>
      </c>
      <c r="N236" s="8" t="s">
        <v>5403</v>
      </c>
      <c r="O236" s="131" t="b">
        <f t="shared" si="23"/>
        <v>1</v>
      </c>
    </row>
    <row r="237" spans="1:15">
      <c r="A237" s="157" t="str">
        <f>nmEmp3 &amp; " " &amp;  nmSeg2 &amp;  " Revenue Per Visit"</f>
        <v>Physical Therapy PPS Revenue Per Visit</v>
      </c>
      <c r="E237" s="484">
        <v>155</v>
      </c>
      <c r="F237" s="484">
        <v>155</v>
      </c>
      <c r="G237" s="484">
        <v>155</v>
      </c>
      <c r="H237" s="8" t="s">
        <v>2704</v>
      </c>
      <c r="I237" s="131" t="b">
        <f t="shared" si="22"/>
        <v>1</v>
      </c>
      <c r="K237" s="484">
        <f>cbal!E237</f>
        <v>155</v>
      </c>
      <c r="L237" s="484">
        <f>cbal!F237</f>
        <v>155</v>
      </c>
      <c r="M237" s="484">
        <f>cbal!G237</f>
        <v>155</v>
      </c>
      <c r="N237" s="8" t="s">
        <v>5404</v>
      </c>
      <c r="O237" s="131" t="b">
        <f t="shared" si="23"/>
        <v>1</v>
      </c>
    </row>
    <row r="238" spans="1:15">
      <c r="A238" s="157" t="str">
        <f>nmEmp3 &amp; " " &amp;  nmSeg3 &amp;  " Revenue Per Visit"</f>
        <v>Physical Therapy Other Revenue Per Visit</v>
      </c>
      <c r="E238" s="484">
        <v>95</v>
      </c>
      <c r="F238" s="484">
        <v>95</v>
      </c>
      <c r="G238" s="484">
        <v>95</v>
      </c>
      <c r="H238" s="8" t="s">
        <v>2705</v>
      </c>
      <c r="I238" s="131" t="b">
        <f t="shared" si="22"/>
        <v>1</v>
      </c>
      <c r="K238" s="484">
        <f>cbal!E238</f>
        <v>95</v>
      </c>
      <c r="L238" s="484">
        <f>cbal!F238</f>
        <v>95</v>
      </c>
      <c r="M238" s="484">
        <f>cbal!G238</f>
        <v>95</v>
      </c>
      <c r="N238" s="8" t="s">
        <v>5405</v>
      </c>
      <c r="O238" s="131" t="b">
        <f t="shared" si="23"/>
        <v>1</v>
      </c>
    </row>
    <row r="239" spans="1:15">
      <c r="A239" s="157" t="str">
        <f>nmEmp1 &amp; " Cost Per Visit"</f>
        <v>Skilled Nursing Cost Per Visit</v>
      </c>
      <c r="E239" s="484">
        <v>82.649999999999991</v>
      </c>
      <c r="F239" s="484">
        <v>82.649999999999991</v>
      </c>
      <c r="G239" s="484">
        <v>82.649999999999991</v>
      </c>
      <c r="H239" s="8" t="s">
        <v>2706</v>
      </c>
      <c r="I239" s="131" t="b">
        <f t="shared" si="22"/>
        <v>1</v>
      </c>
      <c r="K239" s="484">
        <f>cbal!E239</f>
        <v>82.649999999999991</v>
      </c>
      <c r="L239" s="484">
        <f>cbal!F239</f>
        <v>82.649999999999991</v>
      </c>
      <c r="M239" s="484">
        <f>cbal!G239</f>
        <v>82.649999999999991</v>
      </c>
      <c r="N239" s="8" t="s">
        <v>5406</v>
      </c>
      <c r="O239" s="131" t="b">
        <f t="shared" si="23"/>
        <v>1</v>
      </c>
    </row>
    <row r="240" spans="1:15">
      <c r="A240" s="157" t="str">
        <f>nmEmp2  &amp; " Cost Per Visit"</f>
        <v>Occupational Therapy Cost Per Visit</v>
      </c>
      <c r="E240" s="484">
        <v>91.199999999999989</v>
      </c>
      <c r="F240" s="484">
        <v>91.199999999999989</v>
      </c>
      <c r="G240" s="484">
        <v>91.199999999999989</v>
      </c>
      <c r="H240" s="8" t="s">
        <v>2707</v>
      </c>
      <c r="I240" s="131" t="b">
        <f t="shared" si="22"/>
        <v>1</v>
      </c>
      <c r="K240" s="484">
        <f>cbal!E240</f>
        <v>91.199999999999989</v>
      </c>
      <c r="L240" s="484">
        <f>cbal!F240</f>
        <v>91.199999999999989</v>
      </c>
      <c r="M240" s="484">
        <f>cbal!G240</f>
        <v>91.199999999999989</v>
      </c>
      <c r="N240" s="8" t="s">
        <v>5407</v>
      </c>
      <c r="O240" s="131" t="b">
        <f t="shared" si="23"/>
        <v>1</v>
      </c>
    </row>
    <row r="241" spans="1:15">
      <c r="A241" s="157" t="str">
        <f>nmEmp3  &amp; " Cost Per Visit"</f>
        <v>Physical Therapy Cost Per Visit</v>
      </c>
      <c r="E241" s="484">
        <v>93.1</v>
      </c>
      <c r="F241" s="484">
        <v>93.1</v>
      </c>
      <c r="G241" s="484">
        <v>93.1</v>
      </c>
      <c r="H241" s="8" t="s">
        <v>2708</v>
      </c>
      <c r="I241" s="131" t="b">
        <f t="shared" si="22"/>
        <v>1</v>
      </c>
      <c r="K241" s="484">
        <f>cbal!E241</f>
        <v>93.1</v>
      </c>
      <c r="L241" s="484">
        <f>cbal!F241</f>
        <v>93.1</v>
      </c>
      <c r="M241" s="484">
        <f>cbal!G241</f>
        <v>93.1</v>
      </c>
      <c r="N241" s="8" t="s">
        <v>5408</v>
      </c>
      <c r="O241" s="131" t="b">
        <f t="shared" si="23"/>
        <v>1</v>
      </c>
    </row>
    <row r="242" spans="1:15">
      <c r="A242" s="157" t="str">
        <f>nmSeg1 &amp; " Recert Rate"</f>
        <v>Medicare Recert Rate</v>
      </c>
      <c r="E242" s="440">
        <v>0.55000000000000004</v>
      </c>
      <c r="F242" s="440">
        <v>0.55000000000000004</v>
      </c>
      <c r="G242" s="440">
        <v>0.55000000000000004</v>
      </c>
      <c r="H242" s="8" t="s">
        <v>2064</v>
      </c>
      <c r="I242" s="131" t="b">
        <f t="shared" si="22"/>
        <v>1</v>
      </c>
      <c r="K242" s="440">
        <f>cbal!E242</f>
        <v>0.3</v>
      </c>
      <c r="L242" s="440">
        <f>cbal!F242</f>
        <v>0.3</v>
      </c>
      <c r="M242" s="440">
        <f>cbal!G242</f>
        <v>0.3</v>
      </c>
      <c r="N242" s="8" t="s">
        <v>5409</v>
      </c>
      <c r="O242" s="131" t="b">
        <f t="shared" si="23"/>
        <v>1</v>
      </c>
    </row>
    <row r="243" spans="1:15">
      <c r="A243" s="157" t="str">
        <f>nmSeg2 &amp; " Recert Rate"</f>
        <v>PPS Recert Rate</v>
      </c>
      <c r="E243" s="440">
        <v>0.55000000000000004</v>
      </c>
      <c r="F243" s="440">
        <v>0.55000000000000004</v>
      </c>
      <c r="G243" s="440">
        <v>0.55000000000000004</v>
      </c>
      <c r="H243" s="8" t="s">
        <v>2065</v>
      </c>
      <c r="I243" s="131" t="b">
        <f t="shared" si="22"/>
        <v>1</v>
      </c>
      <c r="K243" s="440">
        <f>cbal!E243</f>
        <v>0.3</v>
      </c>
      <c r="L243" s="440">
        <f>cbal!F243</f>
        <v>0.3</v>
      </c>
      <c r="M243" s="440">
        <f>cbal!G243</f>
        <v>0.3</v>
      </c>
      <c r="N243" s="8" t="s">
        <v>5410</v>
      </c>
      <c r="O243" s="131" t="b">
        <f t="shared" si="23"/>
        <v>1</v>
      </c>
    </row>
    <row r="244" spans="1:15">
      <c r="A244" s="157" t="str">
        <f>nmSeg3 &amp; " Recert Rate"</f>
        <v>Other Recert Rate</v>
      </c>
      <c r="E244" s="440">
        <v>0.55000000000000004</v>
      </c>
      <c r="F244" s="440">
        <v>0.55000000000000004</v>
      </c>
      <c r="G244" s="440">
        <v>0.55000000000000004</v>
      </c>
      <c r="H244" s="8" t="s">
        <v>2066</v>
      </c>
      <c r="I244" s="131" t="b">
        <f t="shared" si="22"/>
        <v>1</v>
      </c>
      <c r="K244" s="440">
        <f>cbal!E244</f>
        <v>0.3</v>
      </c>
      <c r="L244" s="440">
        <f>cbal!F244</f>
        <v>0.3</v>
      </c>
      <c r="M244" s="440">
        <f>cbal!G244</f>
        <v>0.3</v>
      </c>
      <c r="N244" s="8" t="s">
        <v>5411</v>
      </c>
      <c r="O244" s="131" t="b">
        <f t="shared" si="23"/>
        <v>1</v>
      </c>
    </row>
    <row r="245" spans="1:15">
      <c r="A245" s="332" t="s">
        <v>225</v>
      </c>
      <c r="E245" s="440">
        <v>0.33300000000000002</v>
      </c>
      <c r="F245" s="440">
        <v>0.33300000000000002</v>
      </c>
      <c r="G245" s="440">
        <v>0.33300000000000002</v>
      </c>
      <c r="H245" s="8" t="s">
        <v>2067</v>
      </c>
      <c r="I245" s="131" t="b">
        <f t="shared" si="22"/>
        <v>1</v>
      </c>
      <c r="K245" s="440">
        <f>cbal!E245</f>
        <v>0.29602254380605181</v>
      </c>
      <c r="L245" s="440">
        <f>cbal!F245</f>
        <v>0.33300000000000002</v>
      </c>
      <c r="M245" s="440">
        <f>cbal!G245</f>
        <v>0.33300000000000002</v>
      </c>
      <c r="N245" s="8" t="s">
        <v>5412</v>
      </c>
      <c r="O245" s="131" t="b">
        <f t="shared" si="23"/>
        <v>0</v>
      </c>
    </row>
    <row r="246" spans="1:15">
      <c r="A246" s="332" t="s">
        <v>2679</v>
      </c>
      <c r="E246" s="473">
        <v>85000</v>
      </c>
      <c r="F246" s="473">
        <v>70000</v>
      </c>
      <c r="G246" s="473">
        <v>75000</v>
      </c>
      <c r="H246" s="8" t="s">
        <v>2721</v>
      </c>
      <c r="I246" s="131" t="b">
        <f t="shared" si="22"/>
        <v>0</v>
      </c>
      <c r="K246" s="473">
        <f>cbal!E246</f>
        <v>89250</v>
      </c>
      <c r="L246" s="473">
        <f>cbal!F246</f>
        <v>73500</v>
      </c>
      <c r="M246" s="473">
        <f>cbal!G246</f>
        <v>78750</v>
      </c>
      <c r="N246" s="8" t="s">
        <v>5413</v>
      </c>
      <c r="O246" s="131" t="b">
        <f t="shared" si="23"/>
        <v>0</v>
      </c>
    </row>
    <row r="247" spans="1:15">
      <c r="A247" s="332" t="s">
        <v>2680</v>
      </c>
      <c r="E247" s="473">
        <v>45000</v>
      </c>
      <c r="F247" s="473">
        <v>40000</v>
      </c>
      <c r="G247" s="473">
        <v>40000</v>
      </c>
      <c r="H247" s="8" t="s">
        <v>2722</v>
      </c>
      <c r="I247" s="131" t="b">
        <f t="shared" si="22"/>
        <v>0</v>
      </c>
      <c r="K247" s="473">
        <f>cbal!E247</f>
        <v>47250</v>
      </c>
      <c r="L247" s="473">
        <f>cbal!F247</f>
        <v>42000</v>
      </c>
      <c r="M247" s="473">
        <f>cbal!G247</f>
        <v>42000</v>
      </c>
      <c r="N247" s="8" t="s">
        <v>5414</v>
      </c>
      <c r="O247" s="131" t="b">
        <f t="shared" si="23"/>
        <v>0</v>
      </c>
    </row>
    <row r="248" spans="1:15">
      <c r="A248" s="332" t="s">
        <v>347</v>
      </c>
      <c r="D248" s="63">
        <f>cbal!E248</f>
        <v>5461878.0000000009</v>
      </c>
      <c r="E248" s="730">
        <v>5329946</v>
      </c>
      <c r="F248" s="730">
        <v>4171464.0000000005</v>
      </c>
      <c r="G248" s="730">
        <v>8277204.0000000009</v>
      </c>
      <c r="H248" s="8" t="s">
        <v>2805</v>
      </c>
      <c r="I248" s="131" t="b">
        <f t="shared" si="22"/>
        <v>0</v>
      </c>
      <c r="J248" s="63" t="str">
        <f>cbal!N248</f>
        <v>cbalR2LOB2Rev</v>
      </c>
      <c r="K248" s="473">
        <f>cbal!E248</f>
        <v>5461878.0000000009</v>
      </c>
      <c r="L248" s="473">
        <f>cbal!F248</f>
        <v>4171464.0000000005</v>
      </c>
      <c r="M248" s="473">
        <f>cbal!G248</f>
        <v>8277204.0000000009</v>
      </c>
      <c r="N248" s="8" t="s">
        <v>5415</v>
      </c>
      <c r="O248" s="131" t="b">
        <f t="shared" si="23"/>
        <v>0</v>
      </c>
    </row>
    <row r="249" spans="1:15">
      <c r="A249" s="332" t="s">
        <v>486</v>
      </c>
      <c r="E249" s="457">
        <v>0</v>
      </c>
      <c r="F249" s="457">
        <v>0</v>
      </c>
      <c r="G249" s="457">
        <v>0</v>
      </c>
      <c r="H249" s="8" t="s">
        <v>3318</v>
      </c>
      <c r="I249" s="131" t="b">
        <f t="shared" si="22"/>
        <v>1</v>
      </c>
      <c r="K249" s="457">
        <f>cbal!E249</f>
        <v>2.4752971230853182E-2</v>
      </c>
      <c r="L249" s="457">
        <f>cbal!F249</f>
        <v>0</v>
      </c>
      <c r="M249" s="457">
        <f>cbal!G249</f>
        <v>0</v>
      </c>
      <c r="N249" s="8" t="s">
        <v>5416</v>
      </c>
      <c r="O249" s="131" t="b">
        <f t="shared" si="23"/>
        <v>0</v>
      </c>
    </row>
    <row r="250" spans="1:15">
      <c r="A250" s="332" t="s">
        <v>488</v>
      </c>
      <c r="E250" s="489">
        <v>0.7</v>
      </c>
      <c r="F250" s="489">
        <v>0.7</v>
      </c>
      <c r="G250" s="489">
        <v>0.7</v>
      </c>
      <c r="H250" s="8" t="s">
        <v>2806</v>
      </c>
      <c r="I250" s="131" t="b">
        <f t="shared" si="22"/>
        <v>1</v>
      </c>
      <c r="K250" s="489">
        <f>cbal!E250</f>
        <v>0.6429999999999999</v>
      </c>
      <c r="L250" s="489">
        <f>cbal!F250</f>
        <v>0.754</v>
      </c>
      <c r="M250" s="489">
        <f>cbal!G250</f>
        <v>0.75369999999999993</v>
      </c>
      <c r="N250" s="8" t="s">
        <v>5417</v>
      </c>
      <c r="O250" s="131" t="b">
        <f t="shared" si="23"/>
        <v>0</v>
      </c>
    </row>
    <row r="251" spans="1:15">
      <c r="A251" s="332" t="s">
        <v>489</v>
      </c>
      <c r="E251" s="489">
        <v>0.65</v>
      </c>
      <c r="F251" s="489">
        <v>0.65</v>
      </c>
      <c r="G251" s="489">
        <v>0.65</v>
      </c>
      <c r="H251" s="8" t="s">
        <v>2807</v>
      </c>
      <c r="I251" s="131" t="b">
        <f t="shared" si="22"/>
        <v>1</v>
      </c>
      <c r="K251" s="489">
        <f>cbal!E251</f>
        <v>0.65</v>
      </c>
      <c r="L251" s="489">
        <f>cbal!F251</f>
        <v>0.71000000000000008</v>
      </c>
      <c r="M251" s="489">
        <f>cbal!G251</f>
        <v>0.70300000000000007</v>
      </c>
      <c r="N251" s="8" t="s">
        <v>5418</v>
      </c>
      <c r="O251" s="131" t="b">
        <f t="shared" si="23"/>
        <v>0</v>
      </c>
    </row>
    <row r="252" spans="1:15">
      <c r="A252" s="332" t="s">
        <v>490</v>
      </c>
      <c r="E252" s="489">
        <v>0.7</v>
      </c>
      <c r="F252" s="489">
        <v>0.7</v>
      </c>
      <c r="G252" s="489">
        <v>0.7</v>
      </c>
      <c r="H252" s="8" t="s">
        <v>2808</v>
      </c>
      <c r="I252" s="131" t="b">
        <f t="shared" si="22"/>
        <v>1</v>
      </c>
      <c r="K252" s="489">
        <f>cbal!E252</f>
        <v>0.63729999999999987</v>
      </c>
      <c r="L252" s="489">
        <f>cbal!F252</f>
        <v>0.71339999999999992</v>
      </c>
      <c r="M252" s="489">
        <f>cbal!G252</f>
        <v>0.70877000000000001</v>
      </c>
      <c r="N252" s="8" t="s">
        <v>5419</v>
      </c>
      <c r="O252" s="131" t="b">
        <f t="shared" si="23"/>
        <v>0</v>
      </c>
    </row>
    <row r="253" spans="1:15">
      <c r="A253" s="332" t="s">
        <v>2984</v>
      </c>
      <c r="E253" s="489">
        <v>0.8</v>
      </c>
      <c r="F253" s="489">
        <v>0.8</v>
      </c>
      <c r="G253" s="489">
        <v>0.8</v>
      </c>
      <c r="H253" s="8" t="s">
        <v>3321</v>
      </c>
      <c r="I253" s="131" t="b">
        <f t="shared" si="22"/>
        <v>1</v>
      </c>
      <c r="K253" s="489">
        <f>cbal!E253</f>
        <v>0.8</v>
      </c>
      <c r="L253" s="489">
        <f>cbal!F253</f>
        <v>0.8</v>
      </c>
      <c r="M253" s="489">
        <f>cbal!G253</f>
        <v>0.79700000000000004</v>
      </c>
      <c r="N253" s="8" t="s">
        <v>5420</v>
      </c>
      <c r="O253" s="131" t="b">
        <f t="shared" si="23"/>
        <v>0</v>
      </c>
    </row>
    <row r="254" spans="1:15">
      <c r="A254" s="332" t="s">
        <v>498</v>
      </c>
      <c r="E254" s="489">
        <v>0.95</v>
      </c>
      <c r="F254" s="489">
        <v>0.95</v>
      </c>
      <c r="G254" s="489">
        <v>0.95</v>
      </c>
      <c r="H254" s="8" t="s">
        <v>2809</v>
      </c>
      <c r="I254" s="131" t="b">
        <f t="shared" si="22"/>
        <v>1</v>
      </c>
      <c r="K254" s="489">
        <f>cbal!E254</f>
        <v>0.8</v>
      </c>
      <c r="L254" s="489">
        <f>cbal!F254</f>
        <v>0.95000000000000007</v>
      </c>
      <c r="M254" s="489">
        <f>cbal!G254</f>
        <v>1.03</v>
      </c>
      <c r="N254" s="8" t="s">
        <v>5421</v>
      </c>
      <c r="O254" s="131" t="b">
        <f t="shared" si="23"/>
        <v>0</v>
      </c>
    </row>
    <row r="255" spans="1:15">
      <c r="A255" s="332" t="s">
        <v>4061</v>
      </c>
      <c r="E255" s="473">
        <f>SUM(data!$P$41:$P$44)*70%</f>
        <v>12.25</v>
      </c>
      <c r="F255" s="692">
        <v>10</v>
      </c>
      <c r="G255" s="692">
        <v>16</v>
      </c>
      <c r="H255" s="8" t="s">
        <v>4127</v>
      </c>
      <c r="I255" s="131" t="b">
        <f t="shared" si="22"/>
        <v>0</v>
      </c>
      <c r="K255" s="473">
        <f>cbal!E255</f>
        <v>12.25</v>
      </c>
      <c r="L255" s="473">
        <f>cbal!F255</f>
        <v>10</v>
      </c>
      <c r="M255" s="473">
        <f>cbal!G255</f>
        <v>16</v>
      </c>
      <c r="N255" s="8" t="s">
        <v>5422</v>
      </c>
      <c r="O255" s="131" t="b">
        <f t="shared" si="23"/>
        <v>0</v>
      </c>
    </row>
    <row r="256" spans="1:15">
      <c r="A256" s="332" t="s">
        <v>4062</v>
      </c>
      <c r="E256" s="473">
        <f>SUM(data!$P$41:$P$44)*30%</f>
        <v>5.25</v>
      </c>
      <c r="F256" s="692">
        <v>4</v>
      </c>
      <c r="G256" s="692">
        <v>8</v>
      </c>
      <c r="H256" s="8" t="s">
        <v>4128</v>
      </c>
      <c r="I256" s="131" t="b">
        <f t="shared" si="22"/>
        <v>0</v>
      </c>
      <c r="K256" s="473">
        <f>cbal!E256</f>
        <v>5.25</v>
      </c>
      <c r="L256" s="473">
        <f>cbal!F256</f>
        <v>4</v>
      </c>
      <c r="M256" s="473">
        <f>cbal!G256</f>
        <v>8</v>
      </c>
      <c r="N256" s="8" t="s">
        <v>5423</v>
      </c>
      <c r="O256" s="131" t="b">
        <f t="shared" si="23"/>
        <v>0</v>
      </c>
    </row>
    <row r="257" spans="1:15">
      <c r="A257" s="332" t="str">
        <f>nmDisc1 &amp; " Retention"</f>
        <v>RN Retention</v>
      </c>
      <c r="E257" s="756">
        <v>0.95</v>
      </c>
      <c r="F257" s="756">
        <v>0.95</v>
      </c>
      <c r="G257" s="756">
        <v>0.95</v>
      </c>
      <c r="H257" s="8" t="s">
        <v>4624</v>
      </c>
      <c r="I257" s="131" t="b">
        <f t="shared" si="22"/>
        <v>1</v>
      </c>
      <c r="K257" s="489">
        <f>cbal!E257</f>
        <v>0.95</v>
      </c>
      <c r="L257" s="489">
        <f>cbal!F257</f>
        <v>1</v>
      </c>
      <c r="M257" s="489">
        <f>cbal!G257</f>
        <v>1</v>
      </c>
      <c r="N257" s="8" t="s">
        <v>5424</v>
      </c>
      <c r="O257" s="131" t="b">
        <f t="shared" si="23"/>
        <v>0</v>
      </c>
    </row>
    <row r="258" spans="1:15">
      <c r="A258" s="332" t="str">
        <f>nmDisc2 &amp; " Retention"</f>
        <v>LPN Retention</v>
      </c>
      <c r="E258" s="756">
        <v>0.95</v>
      </c>
      <c r="F258" s="756">
        <v>0.95</v>
      </c>
      <c r="G258" s="756">
        <v>0.95</v>
      </c>
      <c r="H258" s="8" t="s">
        <v>4625</v>
      </c>
      <c r="I258" s="131" t="b">
        <f t="shared" si="22"/>
        <v>1</v>
      </c>
      <c r="K258" s="489">
        <f>cbal!E258</f>
        <v>0.95</v>
      </c>
      <c r="L258" s="489">
        <f>cbal!F258</f>
        <v>1</v>
      </c>
      <c r="M258" s="489">
        <f>cbal!G258</f>
        <v>1</v>
      </c>
      <c r="N258" s="8" t="s">
        <v>5425</v>
      </c>
      <c r="O258" s="131" t="b">
        <f t="shared" si="23"/>
        <v>0</v>
      </c>
    </row>
    <row r="259" spans="1:15">
      <c r="A259" s="332" t="str">
        <f>nmDisc3 &amp; " Retention"</f>
        <v>PT Retention</v>
      </c>
      <c r="E259" s="756">
        <v>0.95</v>
      </c>
      <c r="F259" s="756">
        <v>0.95</v>
      </c>
      <c r="G259" s="756">
        <v>0.95</v>
      </c>
      <c r="H259" s="8" t="s">
        <v>4626</v>
      </c>
      <c r="I259" s="131" t="b">
        <f t="shared" si="22"/>
        <v>1</v>
      </c>
      <c r="K259" s="489">
        <f>cbal!E259</f>
        <v>0.95</v>
      </c>
      <c r="L259" s="489">
        <f>cbal!F259</f>
        <v>1</v>
      </c>
      <c r="M259" s="489">
        <f>cbal!G259</f>
        <v>1</v>
      </c>
      <c r="N259" s="8" t="s">
        <v>5426</v>
      </c>
      <c r="O259" s="131" t="b">
        <f t="shared" si="23"/>
        <v>0</v>
      </c>
    </row>
    <row r="260" spans="1:15">
      <c r="A260" s="332" t="str">
        <f>nmDisc4 &amp; " Retention"</f>
        <v>OT Retention</v>
      </c>
      <c r="E260" s="756">
        <v>0.95</v>
      </c>
      <c r="F260" s="756">
        <v>0.95</v>
      </c>
      <c r="G260" s="756">
        <v>0.95</v>
      </c>
      <c r="H260" s="8" t="s">
        <v>4627</v>
      </c>
      <c r="I260" s="131" t="b">
        <f t="shared" si="22"/>
        <v>1</v>
      </c>
      <c r="K260" s="489">
        <f>cbal!E260</f>
        <v>0.95</v>
      </c>
      <c r="L260" s="489">
        <f>cbal!F260</f>
        <v>1</v>
      </c>
      <c r="M260" s="489">
        <f>cbal!G260</f>
        <v>1</v>
      </c>
      <c r="N260" s="8" t="s">
        <v>5427</v>
      </c>
      <c r="O260" s="131" t="b">
        <f t="shared" si="23"/>
        <v>0</v>
      </c>
    </row>
    <row r="261" spans="1:15">
      <c r="A261" s="332" t="s">
        <v>8370</v>
      </c>
      <c r="E261" s="756">
        <v>1</v>
      </c>
      <c r="F261" s="756">
        <v>1</v>
      </c>
      <c r="G261" s="756">
        <v>1</v>
      </c>
      <c r="H261" s="8" t="s">
        <v>8373</v>
      </c>
      <c r="I261" s="131"/>
      <c r="K261" s="489">
        <f>cbal!E261</f>
        <v>1.0178959161696421</v>
      </c>
      <c r="L261" s="489">
        <f>cbal!F261</f>
        <v>0.93991671420407119</v>
      </c>
      <c r="M261" s="489">
        <f>cbal!G261</f>
        <v>1.2022336999350183</v>
      </c>
      <c r="N261" s="8" t="s">
        <v>8374</v>
      </c>
      <c r="O261" s="131" t="b">
        <f t="shared" si="23"/>
        <v>0</v>
      </c>
    </row>
    <row r="262" spans="1:15">
      <c r="A262" s="157"/>
      <c r="I262" s="131" t="b">
        <f t="shared" si="22"/>
        <v>1</v>
      </c>
      <c r="K262" s="159">
        <f>cbal!E262</f>
        <v>0</v>
      </c>
      <c r="L262" s="159">
        <f>cbal!F262</f>
        <v>0</v>
      </c>
      <c r="M262" s="159">
        <f>cbal!G262</f>
        <v>0</v>
      </c>
      <c r="O262" s="131" t="b">
        <f t="shared" si="23"/>
        <v>1</v>
      </c>
    </row>
    <row r="263" spans="1:15">
      <c r="A263" s="157" t="s">
        <v>498</v>
      </c>
      <c r="I263" s="131" t="b">
        <f t="shared" si="22"/>
        <v>1</v>
      </c>
      <c r="K263" s="159">
        <f>cbal!E263</f>
        <v>0</v>
      </c>
      <c r="L263" s="159">
        <f>cbal!F263</f>
        <v>0</v>
      </c>
      <c r="M263" s="159">
        <f>cbal!G263</f>
        <v>0</v>
      </c>
      <c r="O263" s="131" t="b">
        <f t="shared" si="23"/>
        <v>1</v>
      </c>
    </row>
    <row r="264" spans="1:15">
      <c r="A264" s="157" t="s">
        <v>561</v>
      </c>
      <c r="E264" s="457">
        <v>0.7</v>
      </c>
      <c r="F264" s="457">
        <v>0.7</v>
      </c>
      <c r="G264" s="457">
        <v>0.7</v>
      </c>
      <c r="H264" s="63" t="s">
        <v>4628</v>
      </c>
      <c r="I264" s="131" t="b">
        <f t="shared" si="22"/>
        <v>1</v>
      </c>
      <c r="K264" s="457">
        <f>cbal!E264</f>
        <v>0.8</v>
      </c>
      <c r="L264" s="457">
        <f>cbal!F264</f>
        <v>0.9</v>
      </c>
      <c r="M264" s="457">
        <f>cbal!G264</f>
        <v>0.95</v>
      </c>
      <c r="N264" s="63" t="s">
        <v>5428</v>
      </c>
      <c r="O264" s="131" t="b">
        <f t="shared" si="23"/>
        <v>0</v>
      </c>
    </row>
    <row r="265" spans="1:15">
      <c r="A265" s="157" t="s">
        <v>562</v>
      </c>
      <c r="E265" s="457">
        <v>0</v>
      </c>
      <c r="F265" s="457">
        <v>0</v>
      </c>
      <c r="G265" s="457">
        <v>0</v>
      </c>
      <c r="H265" s="63" t="s">
        <v>4629</v>
      </c>
      <c r="I265" s="131" t="b">
        <f t="shared" si="22"/>
        <v>1</v>
      </c>
      <c r="K265" s="457">
        <f>cbal!E265</f>
        <v>0</v>
      </c>
      <c r="L265" s="457">
        <f>cbal!F265</f>
        <v>0</v>
      </c>
      <c r="M265" s="457">
        <f>cbal!G265</f>
        <v>0</v>
      </c>
      <c r="N265" s="63" t="s">
        <v>5429</v>
      </c>
      <c r="O265" s="131" t="b">
        <f t="shared" si="23"/>
        <v>1</v>
      </c>
    </row>
    <row r="266" spans="1:15">
      <c r="A266" s="157" t="s">
        <v>563</v>
      </c>
      <c r="E266" s="457">
        <v>0</v>
      </c>
      <c r="F266" s="457">
        <v>0</v>
      </c>
      <c r="G266" s="457">
        <v>0</v>
      </c>
      <c r="H266" s="63" t="s">
        <v>4630</v>
      </c>
      <c r="I266" s="131" t="b">
        <f t="shared" si="22"/>
        <v>1</v>
      </c>
      <c r="K266" s="457">
        <f>cbal!E266</f>
        <v>0</v>
      </c>
      <c r="L266" s="457">
        <f>cbal!F266</f>
        <v>0.05</v>
      </c>
      <c r="M266" s="457">
        <f>cbal!G266</f>
        <v>0.08</v>
      </c>
      <c r="N266" s="63" t="s">
        <v>5430</v>
      </c>
      <c r="O266" s="131" t="b">
        <f t="shared" si="23"/>
        <v>0</v>
      </c>
    </row>
    <row r="267" spans="1:15">
      <c r="A267" s="157" t="s">
        <v>564</v>
      </c>
      <c r="E267" s="457">
        <v>0</v>
      </c>
      <c r="F267" s="457">
        <v>0</v>
      </c>
      <c r="G267" s="457">
        <v>0</v>
      </c>
      <c r="H267" s="63" t="s">
        <v>4631</v>
      </c>
      <c r="I267" s="131" t="b">
        <f t="shared" si="22"/>
        <v>1</v>
      </c>
      <c r="K267" s="457">
        <f>cbal!E267</f>
        <v>0</v>
      </c>
      <c r="L267" s="457">
        <f>cbal!F267</f>
        <v>0</v>
      </c>
      <c r="M267" s="457">
        <f>cbal!G267</f>
        <v>0</v>
      </c>
      <c r="N267" s="63" t="s">
        <v>5431</v>
      </c>
      <c r="O267" s="131" t="b">
        <f t="shared" si="23"/>
        <v>1</v>
      </c>
    </row>
    <row r="268" spans="1:15">
      <c r="A268" s="157" t="s">
        <v>565</v>
      </c>
      <c r="E268" s="457">
        <v>0</v>
      </c>
      <c r="F268" s="457">
        <v>0</v>
      </c>
      <c r="G268" s="457">
        <v>0</v>
      </c>
      <c r="H268" s="63" t="s">
        <v>4632</v>
      </c>
      <c r="I268" s="131" t="b">
        <f t="shared" si="22"/>
        <v>1</v>
      </c>
      <c r="K268" s="457">
        <f>cbal!E268</f>
        <v>0</v>
      </c>
      <c r="L268" s="457">
        <f>cbal!F268</f>
        <v>0</v>
      </c>
      <c r="M268" s="457">
        <f>cbal!G268</f>
        <v>0</v>
      </c>
      <c r="N268" s="63" t="s">
        <v>5432</v>
      </c>
      <c r="O268" s="131" t="b">
        <f t="shared" si="23"/>
        <v>1</v>
      </c>
    </row>
    <row r="269" spans="1:15">
      <c r="A269" s="157" t="s">
        <v>566</v>
      </c>
      <c r="E269" s="457">
        <v>0</v>
      </c>
      <c r="F269" s="457">
        <v>0</v>
      </c>
      <c r="G269" s="457">
        <v>0</v>
      </c>
      <c r="H269" s="63" t="s">
        <v>4633</v>
      </c>
      <c r="I269" s="131" t="b">
        <f t="shared" si="22"/>
        <v>1</v>
      </c>
      <c r="K269" s="457">
        <f>cbal!E269</f>
        <v>0</v>
      </c>
      <c r="L269" s="457">
        <f>cbal!F269</f>
        <v>0</v>
      </c>
      <c r="M269" s="457">
        <f>cbal!G269</f>
        <v>0</v>
      </c>
      <c r="N269" s="63" t="s">
        <v>5433</v>
      </c>
      <c r="O269" s="131" t="b">
        <f t="shared" si="23"/>
        <v>1</v>
      </c>
    </row>
    <row r="270" spans="1:15">
      <c r="A270" s="157" t="s">
        <v>13</v>
      </c>
      <c r="E270" s="589">
        <v>0.95</v>
      </c>
      <c r="F270" s="589">
        <v>0.95</v>
      </c>
      <c r="G270" s="589">
        <v>0.95</v>
      </c>
      <c r="H270" s="131" t="s">
        <v>4634</v>
      </c>
      <c r="I270" s="131" t="b">
        <f t="shared" si="22"/>
        <v>1</v>
      </c>
      <c r="K270" s="589">
        <f>cbal!E270</f>
        <v>0.8</v>
      </c>
      <c r="L270" s="589">
        <f>cbal!F270</f>
        <v>0.95000000000000007</v>
      </c>
      <c r="M270" s="589">
        <f>cbal!G270</f>
        <v>1.03</v>
      </c>
      <c r="N270" s="131" t="s">
        <v>5434</v>
      </c>
      <c r="O270" s="131" t="b">
        <f t="shared" si="23"/>
        <v>0</v>
      </c>
    </row>
    <row r="271" spans="1:15">
      <c r="A271" s="157"/>
      <c r="I271" s="131" t="b">
        <f t="shared" si="22"/>
        <v>1</v>
      </c>
      <c r="K271" s="159">
        <f>cbal!E271</f>
        <v>0</v>
      </c>
      <c r="L271" s="159">
        <f>cbal!F271</f>
        <v>0</v>
      </c>
      <c r="M271" s="159">
        <f>cbal!G271</f>
        <v>0</v>
      </c>
      <c r="O271" s="131" t="b">
        <f t="shared" si="23"/>
        <v>1</v>
      </c>
    </row>
    <row r="272" spans="1:15">
      <c r="A272" s="332" t="s">
        <v>1496</v>
      </c>
      <c r="I272" s="131" t="b">
        <f t="shared" si="22"/>
        <v>1</v>
      </c>
      <c r="K272" s="159">
        <f>cbal!E272</f>
        <v>0</v>
      </c>
      <c r="L272" s="159">
        <f>cbal!F272</f>
        <v>0</v>
      </c>
      <c r="M272" s="159">
        <f>cbal!G272</f>
        <v>0</v>
      </c>
      <c r="O272" s="131" t="b">
        <f t="shared" si="23"/>
        <v>1</v>
      </c>
    </row>
    <row r="273" spans="1:15">
      <c r="A273" s="8" t="s">
        <v>595</v>
      </c>
      <c r="D273" s="63">
        <v>1</v>
      </c>
      <c r="E273" s="159" t="str">
        <f t="shared" ref="E273:G282" si="24">VLOOKUP($D273,dataTableCC2Staff,2,FALSE)</f>
        <v>RN</v>
      </c>
      <c r="F273" s="159" t="str">
        <f t="shared" si="24"/>
        <v>RN</v>
      </c>
      <c r="G273" s="159" t="str">
        <f t="shared" si="24"/>
        <v>RN</v>
      </c>
      <c r="H273" s="8" t="s">
        <v>2068</v>
      </c>
      <c r="I273" s="131" t="b">
        <f t="shared" si="22"/>
        <v>1</v>
      </c>
      <c r="J273" s="63">
        <v>1</v>
      </c>
      <c r="K273" s="159" t="str">
        <f>cbal!E273</f>
        <v>RN</v>
      </c>
      <c r="L273" s="159" t="str">
        <f>cbal!F273</f>
        <v>RN</v>
      </c>
      <c r="M273" s="159" t="str">
        <f>cbal!G273</f>
        <v>RN</v>
      </c>
      <c r="N273" s="8" t="s">
        <v>5435</v>
      </c>
      <c r="O273" s="131" t="b">
        <f t="shared" si="23"/>
        <v>1</v>
      </c>
    </row>
    <row r="274" spans="1:15">
      <c r="A274" s="8" t="s">
        <v>596</v>
      </c>
      <c r="D274" s="63">
        <v>2</v>
      </c>
      <c r="E274" s="159" t="str">
        <f t="shared" si="24"/>
        <v>RN</v>
      </c>
      <c r="F274" s="159" t="str">
        <f t="shared" si="24"/>
        <v>RN</v>
      </c>
      <c r="G274" s="159" t="str">
        <f t="shared" si="24"/>
        <v>RN</v>
      </c>
      <c r="H274" s="8" t="s">
        <v>2069</v>
      </c>
      <c r="I274" s="131" t="b">
        <f t="shared" si="22"/>
        <v>1</v>
      </c>
      <c r="J274" s="63">
        <v>2</v>
      </c>
      <c r="K274" s="159" t="str">
        <f>cbal!E274</f>
        <v>RN</v>
      </c>
      <c r="L274" s="159" t="str">
        <f>cbal!F274</f>
        <v>RN</v>
      </c>
      <c r="M274" s="159" t="str">
        <f>cbal!G274</f>
        <v>RN</v>
      </c>
      <c r="N274" s="8" t="s">
        <v>5436</v>
      </c>
      <c r="O274" s="131" t="b">
        <f t="shared" si="23"/>
        <v>1</v>
      </c>
    </row>
    <row r="275" spans="1:15">
      <c r="A275" s="8" t="s">
        <v>597</v>
      </c>
      <c r="D275" s="63">
        <v>3</v>
      </c>
      <c r="E275" s="159" t="str">
        <f t="shared" si="24"/>
        <v>RN</v>
      </c>
      <c r="F275" s="159" t="str">
        <f t="shared" si="24"/>
        <v>RN</v>
      </c>
      <c r="G275" s="159" t="str">
        <f t="shared" si="24"/>
        <v>RN</v>
      </c>
      <c r="H275" s="8" t="s">
        <v>2070</v>
      </c>
      <c r="I275" s="131" t="b">
        <f t="shared" si="22"/>
        <v>1</v>
      </c>
      <c r="J275" s="63">
        <v>3</v>
      </c>
      <c r="K275" s="159" t="str">
        <f>cbal!E275</f>
        <v>RN</v>
      </c>
      <c r="L275" s="159" t="str">
        <f>cbal!F275</f>
        <v>RN</v>
      </c>
      <c r="M275" s="159" t="str">
        <f>cbal!G275</f>
        <v>RN</v>
      </c>
      <c r="N275" s="8" t="s">
        <v>5437</v>
      </c>
      <c r="O275" s="131" t="b">
        <f t="shared" si="23"/>
        <v>1</v>
      </c>
    </row>
    <row r="276" spans="1:15">
      <c r="A276" s="8" t="s">
        <v>598</v>
      </c>
      <c r="D276" s="8">
        <v>4</v>
      </c>
      <c r="E276" s="159" t="str">
        <f t="shared" si="24"/>
        <v>RN</v>
      </c>
      <c r="F276" s="159" t="str">
        <f t="shared" si="24"/>
        <v>RN</v>
      </c>
      <c r="G276" s="159" t="str">
        <f t="shared" si="24"/>
        <v>RN</v>
      </c>
      <c r="H276" s="8" t="s">
        <v>2071</v>
      </c>
      <c r="I276" s="131" t="b">
        <f t="shared" si="22"/>
        <v>1</v>
      </c>
      <c r="J276" s="8">
        <v>4</v>
      </c>
      <c r="K276" s="159" t="str">
        <f>cbal!E276</f>
        <v>RN</v>
      </c>
      <c r="L276" s="159" t="str">
        <f>cbal!F276</f>
        <v>RN</v>
      </c>
      <c r="M276" s="159" t="str">
        <f>cbal!G276</f>
        <v>RN</v>
      </c>
      <c r="N276" s="8" t="s">
        <v>5438</v>
      </c>
      <c r="O276" s="131" t="b">
        <f t="shared" si="23"/>
        <v>1</v>
      </c>
    </row>
    <row r="277" spans="1:15">
      <c r="A277" s="8" t="s">
        <v>599</v>
      </c>
      <c r="D277" s="8">
        <v>5</v>
      </c>
      <c r="E277" s="159" t="str">
        <f t="shared" si="24"/>
        <v>LPN</v>
      </c>
      <c r="F277" s="159" t="str">
        <f t="shared" si="24"/>
        <v>LPN</v>
      </c>
      <c r="G277" s="159" t="str">
        <f t="shared" si="24"/>
        <v>LPN</v>
      </c>
      <c r="H277" s="8" t="s">
        <v>2072</v>
      </c>
      <c r="I277" s="131" t="b">
        <f t="shared" si="22"/>
        <v>1</v>
      </c>
      <c r="J277" s="8">
        <v>5</v>
      </c>
      <c r="K277" s="159" t="str">
        <f>cbal!E277</f>
        <v>LPN</v>
      </c>
      <c r="L277" s="159" t="str">
        <f>cbal!F277</f>
        <v>LPN</v>
      </c>
      <c r="M277" s="159" t="str">
        <f>cbal!G277</f>
        <v>LPN</v>
      </c>
      <c r="N277" s="8" t="s">
        <v>5439</v>
      </c>
      <c r="O277" s="131" t="b">
        <f t="shared" si="23"/>
        <v>1</v>
      </c>
    </row>
    <row r="278" spans="1:15">
      <c r="A278" s="8" t="s">
        <v>600</v>
      </c>
      <c r="D278" s="8">
        <v>6</v>
      </c>
      <c r="E278" s="159" t="str">
        <f t="shared" si="24"/>
        <v>LPN</v>
      </c>
      <c r="F278" s="159" t="str">
        <f t="shared" si="24"/>
        <v>LPN</v>
      </c>
      <c r="G278" s="159" t="str">
        <f t="shared" si="24"/>
        <v>LPN</v>
      </c>
      <c r="H278" s="8" t="s">
        <v>2073</v>
      </c>
      <c r="I278" s="131" t="b">
        <f t="shared" si="22"/>
        <v>1</v>
      </c>
      <c r="J278" s="8">
        <v>6</v>
      </c>
      <c r="K278" s="159" t="str">
        <f>cbal!E278</f>
        <v>LPN</v>
      </c>
      <c r="L278" s="159" t="str">
        <f>cbal!F278</f>
        <v>LPN</v>
      </c>
      <c r="M278" s="159" t="str">
        <f>cbal!G278</f>
        <v>LPN</v>
      </c>
      <c r="N278" s="8" t="s">
        <v>5440</v>
      </c>
      <c r="O278" s="131" t="b">
        <f t="shared" si="23"/>
        <v>1</v>
      </c>
    </row>
    <row r="279" spans="1:15">
      <c r="A279" s="8" t="s">
        <v>601</v>
      </c>
      <c r="D279" s="63">
        <v>7</v>
      </c>
      <c r="E279" s="159" t="str">
        <f t="shared" si="24"/>
        <v>PTA</v>
      </c>
      <c r="F279" s="159" t="str">
        <f t="shared" si="24"/>
        <v>PTA</v>
      </c>
      <c r="G279" s="159" t="str">
        <f t="shared" si="24"/>
        <v>PTA</v>
      </c>
      <c r="H279" s="8" t="s">
        <v>2074</v>
      </c>
      <c r="I279" s="131" t="b">
        <f t="shared" si="22"/>
        <v>1</v>
      </c>
      <c r="J279" s="63">
        <v>7</v>
      </c>
      <c r="K279" s="159" t="str">
        <f>cbal!E279</f>
        <v>PTA</v>
      </c>
      <c r="L279" s="159" t="str">
        <f>cbal!F279</f>
        <v>PTA</v>
      </c>
      <c r="M279" s="159" t="str">
        <f>cbal!G279</f>
        <v>PTA</v>
      </c>
      <c r="N279" s="8" t="s">
        <v>5441</v>
      </c>
      <c r="O279" s="131" t="b">
        <f t="shared" si="23"/>
        <v>1</v>
      </c>
    </row>
    <row r="280" spans="1:15">
      <c r="A280" s="8" t="s">
        <v>602</v>
      </c>
      <c r="D280" s="63">
        <v>8</v>
      </c>
      <c r="E280" s="159" t="str">
        <f t="shared" si="24"/>
        <v>PT</v>
      </c>
      <c r="F280" s="159" t="str">
        <f t="shared" si="24"/>
        <v>PT</v>
      </c>
      <c r="G280" s="159" t="str">
        <f t="shared" si="24"/>
        <v>PT</v>
      </c>
      <c r="H280" s="8" t="s">
        <v>2075</v>
      </c>
      <c r="I280" s="131" t="b">
        <f t="shared" si="22"/>
        <v>1</v>
      </c>
      <c r="J280" s="63">
        <v>8</v>
      </c>
      <c r="K280" s="159" t="str">
        <f>cbal!E280</f>
        <v>PT</v>
      </c>
      <c r="L280" s="159" t="str">
        <f>cbal!F280</f>
        <v>PT</v>
      </c>
      <c r="M280" s="159" t="str">
        <f>cbal!G280</f>
        <v>PT</v>
      </c>
      <c r="N280" s="8" t="s">
        <v>5442</v>
      </c>
      <c r="O280" s="131" t="b">
        <f t="shared" si="23"/>
        <v>1</v>
      </c>
    </row>
    <row r="281" spans="1:15">
      <c r="A281" s="8" t="s">
        <v>603</v>
      </c>
      <c r="D281" s="63">
        <v>9</v>
      </c>
      <c r="E281" s="159" t="str">
        <f t="shared" si="24"/>
        <v>PT</v>
      </c>
      <c r="F281" s="159" t="str">
        <f t="shared" si="24"/>
        <v>PT</v>
      </c>
      <c r="G281" s="159" t="str">
        <f t="shared" si="24"/>
        <v>PT</v>
      </c>
      <c r="H281" s="8" t="s">
        <v>2076</v>
      </c>
      <c r="I281" s="131" t="b">
        <f t="shared" ref="I281:I352" si="25">MAX(E281:G281)=MIN(E281:G281)</f>
        <v>1</v>
      </c>
      <c r="J281" s="63">
        <v>9</v>
      </c>
      <c r="K281" s="159" t="str">
        <f>cbal!E281</f>
        <v>PT</v>
      </c>
      <c r="L281" s="159" t="str">
        <f>cbal!F281</f>
        <v>PT</v>
      </c>
      <c r="M281" s="159" t="str">
        <f>cbal!G281</f>
        <v>PT</v>
      </c>
      <c r="N281" s="8" t="s">
        <v>5443</v>
      </c>
      <c r="O281" s="131" t="b">
        <f t="shared" ref="O281:O352" si="26">MAX(K281:M281)=MIN(K281:M281)</f>
        <v>1</v>
      </c>
    </row>
    <row r="282" spans="1:15">
      <c r="A282" s="8" t="s">
        <v>604</v>
      </c>
      <c r="D282" s="8">
        <v>10</v>
      </c>
      <c r="E282" s="159" t="str">
        <f t="shared" si="24"/>
        <v>OT</v>
      </c>
      <c r="F282" s="159" t="str">
        <f t="shared" si="24"/>
        <v>OT</v>
      </c>
      <c r="G282" s="159" t="str">
        <f t="shared" si="24"/>
        <v>OT</v>
      </c>
      <c r="H282" s="8" t="s">
        <v>2077</v>
      </c>
      <c r="I282" s="131" t="b">
        <f t="shared" si="25"/>
        <v>1</v>
      </c>
      <c r="J282" s="8">
        <v>10</v>
      </c>
      <c r="K282" s="159" t="str">
        <f>cbal!E282</f>
        <v>OT</v>
      </c>
      <c r="L282" s="159" t="str">
        <f>cbal!F282</f>
        <v>OT</v>
      </c>
      <c r="M282" s="159" t="str">
        <f>cbal!G282</f>
        <v>OT</v>
      </c>
      <c r="N282" s="8" t="s">
        <v>5444</v>
      </c>
      <c r="O282" s="131" t="b">
        <f t="shared" si="26"/>
        <v>1</v>
      </c>
    </row>
    <row r="283" spans="1:15">
      <c r="A283" s="8" t="s">
        <v>1497</v>
      </c>
      <c r="D283" s="8">
        <v>11</v>
      </c>
      <c r="H283" s="8" t="s">
        <v>2078</v>
      </c>
      <c r="I283" s="131" t="b">
        <f t="shared" si="25"/>
        <v>1</v>
      </c>
      <c r="J283" s="8">
        <v>11</v>
      </c>
      <c r="K283" s="159">
        <f>cbal!E283</f>
        <v>0</v>
      </c>
      <c r="L283" s="159">
        <f>cbal!F283</f>
        <v>0</v>
      </c>
      <c r="M283" s="159">
        <f>cbal!G283</f>
        <v>0</v>
      </c>
      <c r="N283" s="8" t="s">
        <v>5445</v>
      </c>
      <c r="O283" s="131" t="b">
        <f t="shared" si="26"/>
        <v>1</v>
      </c>
    </row>
    <row r="284" spans="1:15">
      <c r="A284" s="8" t="s">
        <v>1498</v>
      </c>
      <c r="D284" s="63">
        <v>12</v>
      </c>
      <c r="H284" s="8" t="s">
        <v>2079</v>
      </c>
      <c r="I284" s="131" t="b">
        <f t="shared" si="25"/>
        <v>1</v>
      </c>
      <c r="J284" s="63">
        <v>12</v>
      </c>
      <c r="K284" s="159">
        <f>cbal!E284</f>
        <v>0</v>
      </c>
      <c r="L284" s="159">
        <f>cbal!F284</f>
        <v>0</v>
      </c>
      <c r="M284" s="159">
        <f>cbal!G284</f>
        <v>0</v>
      </c>
      <c r="N284" s="8" t="s">
        <v>5446</v>
      </c>
      <c r="O284" s="131" t="b">
        <f t="shared" si="26"/>
        <v>1</v>
      </c>
    </row>
    <row r="285" spans="1:15">
      <c r="A285" s="8" t="s">
        <v>3998</v>
      </c>
      <c r="D285" s="63">
        <v>19</v>
      </c>
      <c r="E285" s="159" t="str">
        <f t="shared" ref="E285:G288" si="27">VLOOKUP($D285,dataTableCC2Staff,2,FALSE)</f>
        <v>RN</v>
      </c>
      <c r="F285" s="159" t="str">
        <f t="shared" si="27"/>
        <v>RN</v>
      </c>
      <c r="G285" s="159" t="str">
        <f t="shared" si="27"/>
        <v>RN</v>
      </c>
      <c r="H285" s="8" t="s">
        <v>4071</v>
      </c>
      <c r="I285" s="131" t="b">
        <f t="shared" si="25"/>
        <v>1</v>
      </c>
      <c r="J285" s="63">
        <v>19</v>
      </c>
      <c r="K285" s="159" t="str">
        <f>cbal!E285</f>
        <v>RN</v>
      </c>
      <c r="L285" s="159" t="str">
        <f>cbal!F285</f>
        <v>RN</v>
      </c>
      <c r="M285" s="159" t="str">
        <f>cbal!G285</f>
        <v>RN</v>
      </c>
      <c r="N285" s="8" t="s">
        <v>5447</v>
      </c>
      <c r="O285" s="131" t="b">
        <f t="shared" si="26"/>
        <v>1</v>
      </c>
    </row>
    <row r="286" spans="1:15">
      <c r="A286" s="8" t="s">
        <v>3999</v>
      </c>
      <c r="D286" s="63">
        <v>20</v>
      </c>
      <c r="E286" s="159" t="str">
        <f t="shared" si="27"/>
        <v>LPN</v>
      </c>
      <c r="F286" s="159" t="str">
        <f t="shared" si="27"/>
        <v>LPN</v>
      </c>
      <c r="G286" s="159" t="str">
        <f t="shared" si="27"/>
        <v>LPN</v>
      </c>
      <c r="H286" s="8" t="s">
        <v>4072</v>
      </c>
      <c r="I286" s="131" t="b">
        <f t="shared" si="25"/>
        <v>1</v>
      </c>
      <c r="J286" s="63">
        <v>20</v>
      </c>
      <c r="K286" s="159" t="str">
        <f>cbal!E286</f>
        <v>LPN</v>
      </c>
      <c r="L286" s="159" t="str">
        <f>cbal!F286</f>
        <v>LPN</v>
      </c>
      <c r="M286" s="159" t="str">
        <f>cbal!G286</f>
        <v>LPN</v>
      </c>
      <c r="N286" s="8" t="s">
        <v>5448</v>
      </c>
      <c r="O286" s="131" t="b">
        <f t="shared" si="26"/>
        <v>1</v>
      </c>
    </row>
    <row r="287" spans="1:15">
      <c r="A287" s="8" t="s">
        <v>4000</v>
      </c>
      <c r="D287" s="63">
        <v>21</v>
      </c>
      <c r="E287" s="159" t="str">
        <f t="shared" si="27"/>
        <v>PT</v>
      </c>
      <c r="F287" s="159" t="str">
        <f t="shared" si="27"/>
        <v>PT</v>
      </c>
      <c r="G287" s="159" t="str">
        <f t="shared" si="27"/>
        <v>PT</v>
      </c>
      <c r="H287" s="8" t="s">
        <v>4073</v>
      </c>
      <c r="I287" s="131" t="b">
        <f t="shared" si="25"/>
        <v>1</v>
      </c>
      <c r="J287" s="63">
        <v>21</v>
      </c>
      <c r="K287" s="159" t="str">
        <f>cbal!E287</f>
        <v>PT</v>
      </c>
      <c r="L287" s="159" t="str">
        <f>cbal!F287</f>
        <v>PT</v>
      </c>
      <c r="M287" s="159" t="str">
        <f>cbal!G287</f>
        <v>PT</v>
      </c>
      <c r="N287" s="8" t="s">
        <v>5449</v>
      </c>
      <c r="O287" s="131" t="b">
        <f t="shared" si="26"/>
        <v>1</v>
      </c>
    </row>
    <row r="288" spans="1:15">
      <c r="A288" s="8" t="s">
        <v>4001</v>
      </c>
      <c r="D288" s="63">
        <v>22</v>
      </c>
      <c r="E288" s="159" t="str">
        <f t="shared" si="27"/>
        <v>OT</v>
      </c>
      <c r="F288" s="159" t="str">
        <f t="shared" si="27"/>
        <v>OT</v>
      </c>
      <c r="G288" s="159" t="str">
        <f t="shared" si="27"/>
        <v>OT</v>
      </c>
      <c r="H288" s="8" t="s">
        <v>4074</v>
      </c>
      <c r="I288" s="131" t="b">
        <f t="shared" si="25"/>
        <v>1</v>
      </c>
      <c r="J288" s="63">
        <v>22</v>
      </c>
      <c r="K288" s="159" t="str">
        <f>cbal!E288</f>
        <v>OT</v>
      </c>
      <c r="L288" s="159" t="str">
        <f>cbal!F288</f>
        <v>OT</v>
      </c>
      <c r="M288" s="159" t="str">
        <f>cbal!G288</f>
        <v>OT</v>
      </c>
      <c r="N288" s="8" t="s">
        <v>5450</v>
      </c>
      <c r="O288" s="131" t="b">
        <f t="shared" si="26"/>
        <v>1</v>
      </c>
    </row>
    <row r="289" spans="1:15">
      <c r="I289" s="131" t="b">
        <f t="shared" si="25"/>
        <v>1</v>
      </c>
      <c r="K289" s="159">
        <f>cbal!E289</f>
        <v>0</v>
      </c>
      <c r="L289" s="159">
        <f>cbal!F289</f>
        <v>0</v>
      </c>
      <c r="M289" s="159">
        <f>cbal!G289</f>
        <v>0</v>
      </c>
      <c r="O289" s="131" t="b">
        <f t="shared" si="26"/>
        <v>1</v>
      </c>
    </row>
    <row r="290" spans="1:15">
      <c r="A290" s="8" t="s">
        <v>1525</v>
      </c>
      <c r="I290" s="131" t="b">
        <f t="shared" si="25"/>
        <v>1</v>
      </c>
      <c r="K290" s="159">
        <f>cbal!E290</f>
        <v>0</v>
      </c>
      <c r="L290" s="159">
        <f>cbal!F290</f>
        <v>0</v>
      </c>
      <c r="M290" s="159">
        <f>cbal!G290</f>
        <v>0</v>
      </c>
      <c r="O290" s="131" t="b">
        <f t="shared" si="26"/>
        <v>1</v>
      </c>
    </row>
    <row r="291" spans="1:15">
      <c r="A291" s="8" t="s">
        <v>595</v>
      </c>
      <c r="D291" s="63">
        <v>1</v>
      </c>
      <c r="E291" s="159" t="str">
        <f t="shared" ref="E291:G300" si="28">VLOOKUP($D291,dataTableCC2Staff,3,FALSE)</f>
        <v>Full-Time</v>
      </c>
      <c r="F291" s="159" t="str">
        <f t="shared" si="28"/>
        <v>Full-Time</v>
      </c>
      <c r="G291" s="159" t="str">
        <f t="shared" si="28"/>
        <v>Full-Time</v>
      </c>
      <c r="H291" s="8" t="s">
        <v>2080</v>
      </c>
      <c r="I291" s="131" t="b">
        <f t="shared" si="25"/>
        <v>1</v>
      </c>
      <c r="J291" s="63">
        <v>1</v>
      </c>
      <c r="K291" s="159" t="str">
        <f>cbal!E291</f>
        <v>Full-Time</v>
      </c>
      <c r="L291" s="159" t="str">
        <f>cbal!F291</f>
        <v>Full-Time</v>
      </c>
      <c r="M291" s="159" t="str">
        <f>cbal!G291</f>
        <v>Full-Time</v>
      </c>
      <c r="N291" s="8" t="s">
        <v>5451</v>
      </c>
      <c r="O291" s="131" t="b">
        <f t="shared" si="26"/>
        <v>1</v>
      </c>
    </row>
    <row r="292" spans="1:15">
      <c r="A292" s="8" t="s">
        <v>596</v>
      </c>
      <c r="D292" s="63">
        <v>2</v>
      </c>
      <c r="E292" s="159" t="str">
        <f t="shared" si="28"/>
        <v>Full-Time</v>
      </c>
      <c r="F292" s="159" t="str">
        <f t="shared" si="28"/>
        <v>Full-Time</v>
      </c>
      <c r="G292" s="159" t="str">
        <f t="shared" si="28"/>
        <v>Full-Time</v>
      </c>
      <c r="H292" s="8" t="s">
        <v>2081</v>
      </c>
      <c r="I292" s="131" t="b">
        <f t="shared" si="25"/>
        <v>1</v>
      </c>
      <c r="J292" s="63">
        <v>2</v>
      </c>
      <c r="K292" s="159" t="str">
        <f>cbal!E292</f>
        <v>Full-Time</v>
      </c>
      <c r="L292" s="159" t="str">
        <f>cbal!F292</f>
        <v>Full-Time</v>
      </c>
      <c r="M292" s="159" t="str">
        <f>cbal!G292</f>
        <v>Full-Time</v>
      </c>
      <c r="N292" s="8" t="s">
        <v>5452</v>
      </c>
      <c r="O292" s="131" t="b">
        <f t="shared" si="26"/>
        <v>1</v>
      </c>
    </row>
    <row r="293" spans="1:15">
      <c r="A293" s="8" t="s">
        <v>597</v>
      </c>
      <c r="D293" s="63">
        <v>3</v>
      </c>
      <c r="E293" s="159" t="str">
        <f t="shared" si="28"/>
        <v>Part-Time</v>
      </c>
      <c r="F293" s="159" t="str">
        <f t="shared" si="28"/>
        <v>Part-Time</v>
      </c>
      <c r="G293" s="159" t="str">
        <f t="shared" si="28"/>
        <v>Part-Time</v>
      </c>
      <c r="H293" s="8" t="s">
        <v>2082</v>
      </c>
      <c r="I293" s="131" t="b">
        <f t="shared" si="25"/>
        <v>1</v>
      </c>
      <c r="J293" s="63">
        <v>3</v>
      </c>
      <c r="K293" s="159" t="str">
        <f>cbal!E293</f>
        <v>Part-Time</v>
      </c>
      <c r="L293" s="159" t="str">
        <f>cbal!F293</f>
        <v>Part-Time</v>
      </c>
      <c r="M293" s="159" t="str">
        <f>cbal!G293</f>
        <v>Part-Time</v>
      </c>
      <c r="N293" s="8" t="s">
        <v>5453</v>
      </c>
      <c r="O293" s="131" t="b">
        <f t="shared" si="26"/>
        <v>1</v>
      </c>
    </row>
    <row r="294" spans="1:15">
      <c r="A294" s="8" t="s">
        <v>598</v>
      </c>
      <c r="D294" s="8">
        <v>4</v>
      </c>
      <c r="E294" s="159" t="str">
        <f t="shared" si="28"/>
        <v>Part-Time</v>
      </c>
      <c r="F294" s="159" t="str">
        <f t="shared" si="28"/>
        <v>Part-Time</v>
      </c>
      <c r="G294" s="159" t="str">
        <f t="shared" si="28"/>
        <v>Part-Time</v>
      </c>
      <c r="H294" s="8" t="s">
        <v>2083</v>
      </c>
      <c r="I294" s="131" t="b">
        <f t="shared" si="25"/>
        <v>1</v>
      </c>
      <c r="J294" s="8">
        <v>4</v>
      </c>
      <c r="K294" s="159" t="str">
        <f>cbal!E294</f>
        <v>Part-Time</v>
      </c>
      <c r="L294" s="159" t="str">
        <f>cbal!F294</f>
        <v>Part-Time</v>
      </c>
      <c r="M294" s="159" t="str">
        <f>cbal!G294</f>
        <v>Part-Time</v>
      </c>
      <c r="N294" s="8" t="s">
        <v>5454</v>
      </c>
      <c r="O294" s="131" t="b">
        <f t="shared" si="26"/>
        <v>1</v>
      </c>
    </row>
    <row r="295" spans="1:15">
      <c r="A295" s="8" t="s">
        <v>599</v>
      </c>
      <c r="D295" s="8">
        <v>5</v>
      </c>
      <c r="E295" s="159" t="str">
        <f t="shared" si="28"/>
        <v>Full-Time</v>
      </c>
      <c r="F295" s="159" t="str">
        <f t="shared" si="28"/>
        <v>Full-Time</v>
      </c>
      <c r="G295" s="159" t="str">
        <f t="shared" si="28"/>
        <v>Full-Time</v>
      </c>
      <c r="H295" s="8" t="s">
        <v>2084</v>
      </c>
      <c r="I295" s="131" t="b">
        <f t="shared" si="25"/>
        <v>1</v>
      </c>
      <c r="J295" s="8">
        <v>5</v>
      </c>
      <c r="K295" s="159" t="str">
        <f>cbal!E295</f>
        <v>Full-Time</v>
      </c>
      <c r="L295" s="159" t="str">
        <f>cbal!F295</f>
        <v>Full-Time</v>
      </c>
      <c r="M295" s="159" t="str">
        <f>cbal!G295</f>
        <v>Full-Time</v>
      </c>
      <c r="N295" s="8" t="s">
        <v>5455</v>
      </c>
      <c r="O295" s="131" t="b">
        <f t="shared" si="26"/>
        <v>1</v>
      </c>
    </row>
    <row r="296" spans="1:15">
      <c r="A296" s="8" t="s">
        <v>600</v>
      </c>
      <c r="D296" s="8">
        <v>6</v>
      </c>
      <c r="E296" s="159" t="str">
        <f t="shared" si="28"/>
        <v>Full-Time</v>
      </c>
      <c r="F296" s="159" t="str">
        <f t="shared" si="28"/>
        <v>Full-Time</v>
      </c>
      <c r="G296" s="159" t="str">
        <f t="shared" si="28"/>
        <v>Full-Time</v>
      </c>
      <c r="H296" s="8" t="s">
        <v>2085</v>
      </c>
      <c r="I296" s="131" t="b">
        <f t="shared" si="25"/>
        <v>1</v>
      </c>
      <c r="J296" s="8">
        <v>6</v>
      </c>
      <c r="K296" s="159" t="str">
        <f>cbal!E296</f>
        <v>Full-Time</v>
      </c>
      <c r="L296" s="159" t="str">
        <f>cbal!F296</f>
        <v>Full-Time</v>
      </c>
      <c r="M296" s="159" t="str">
        <f>cbal!G296</f>
        <v>Full-Time</v>
      </c>
      <c r="N296" s="8" t="s">
        <v>5456</v>
      </c>
      <c r="O296" s="131" t="b">
        <f t="shared" si="26"/>
        <v>1</v>
      </c>
    </row>
    <row r="297" spans="1:15">
      <c r="A297" s="8" t="s">
        <v>601</v>
      </c>
      <c r="D297" s="63">
        <v>7</v>
      </c>
      <c r="E297" s="159" t="str">
        <f t="shared" si="28"/>
        <v>Full-Time</v>
      </c>
      <c r="F297" s="159" t="str">
        <f t="shared" si="28"/>
        <v>Full-Time</v>
      </c>
      <c r="G297" s="159" t="str">
        <f t="shared" si="28"/>
        <v>Full-Time</v>
      </c>
      <c r="H297" s="8" t="s">
        <v>2086</v>
      </c>
      <c r="I297" s="131" t="b">
        <f t="shared" si="25"/>
        <v>1</v>
      </c>
      <c r="J297" s="63">
        <v>7</v>
      </c>
      <c r="K297" s="159" t="str">
        <f>cbal!E297</f>
        <v>Full-Time</v>
      </c>
      <c r="L297" s="159" t="str">
        <f>cbal!F297</f>
        <v>Full-Time</v>
      </c>
      <c r="M297" s="159" t="str">
        <f>cbal!G297</f>
        <v>Full-Time</v>
      </c>
      <c r="N297" s="8" t="s">
        <v>5457</v>
      </c>
      <c r="O297" s="131" t="b">
        <f t="shared" si="26"/>
        <v>1</v>
      </c>
    </row>
    <row r="298" spans="1:15">
      <c r="A298" s="8" t="s">
        <v>602</v>
      </c>
      <c r="D298" s="63">
        <v>8</v>
      </c>
      <c r="E298" s="159" t="str">
        <f t="shared" si="28"/>
        <v>Full-Time</v>
      </c>
      <c r="F298" s="159" t="str">
        <f t="shared" si="28"/>
        <v>Full-Time</v>
      </c>
      <c r="G298" s="159" t="str">
        <f t="shared" si="28"/>
        <v>Full-Time</v>
      </c>
      <c r="H298" s="8" t="s">
        <v>2087</v>
      </c>
      <c r="I298" s="131" t="b">
        <f t="shared" si="25"/>
        <v>1</v>
      </c>
      <c r="J298" s="63">
        <v>8</v>
      </c>
      <c r="K298" s="159" t="str">
        <f>cbal!E298</f>
        <v>Full-Time</v>
      </c>
      <c r="L298" s="159" t="str">
        <f>cbal!F298</f>
        <v>Full-Time</v>
      </c>
      <c r="M298" s="159" t="str">
        <f>cbal!G298</f>
        <v>Full-Time</v>
      </c>
      <c r="N298" s="8" t="s">
        <v>5458</v>
      </c>
      <c r="O298" s="131" t="b">
        <f t="shared" si="26"/>
        <v>1</v>
      </c>
    </row>
    <row r="299" spans="1:15">
      <c r="A299" s="8" t="s">
        <v>603</v>
      </c>
      <c r="D299" s="63">
        <v>9</v>
      </c>
      <c r="E299" s="159" t="str">
        <f t="shared" si="28"/>
        <v>Part-Time</v>
      </c>
      <c r="F299" s="159" t="str">
        <f t="shared" si="28"/>
        <v>Part-Time</v>
      </c>
      <c r="G299" s="159" t="str">
        <f t="shared" si="28"/>
        <v>Part-Time</v>
      </c>
      <c r="H299" s="8" t="s">
        <v>2088</v>
      </c>
      <c r="I299" s="131" t="b">
        <f t="shared" si="25"/>
        <v>1</v>
      </c>
      <c r="J299" s="63">
        <v>9</v>
      </c>
      <c r="K299" s="159" t="str">
        <f>cbal!E299</f>
        <v>Part-Time</v>
      </c>
      <c r="L299" s="159" t="str">
        <f>cbal!F299</f>
        <v>Part-Time</v>
      </c>
      <c r="M299" s="159" t="str">
        <f>cbal!G299</f>
        <v>Part-Time</v>
      </c>
      <c r="N299" s="8" t="s">
        <v>5459</v>
      </c>
      <c r="O299" s="131" t="b">
        <f t="shared" si="26"/>
        <v>1</v>
      </c>
    </row>
    <row r="300" spans="1:15">
      <c r="A300" s="8" t="s">
        <v>604</v>
      </c>
      <c r="D300" s="8">
        <v>10</v>
      </c>
      <c r="E300" s="159" t="str">
        <f t="shared" si="28"/>
        <v>Full-Time</v>
      </c>
      <c r="F300" s="159" t="str">
        <f t="shared" si="28"/>
        <v>Full-Time</v>
      </c>
      <c r="G300" s="159" t="str">
        <f t="shared" si="28"/>
        <v>Full-Time</v>
      </c>
      <c r="H300" s="8" t="s">
        <v>2089</v>
      </c>
      <c r="I300" s="131" t="b">
        <f t="shared" si="25"/>
        <v>1</v>
      </c>
      <c r="J300" s="8">
        <v>10</v>
      </c>
      <c r="K300" s="159" t="str">
        <f>cbal!E300</f>
        <v>Full-Time</v>
      </c>
      <c r="L300" s="159" t="str">
        <f>cbal!F300</f>
        <v>Full-Time</v>
      </c>
      <c r="M300" s="159" t="str">
        <f>cbal!G300</f>
        <v>Full-Time</v>
      </c>
      <c r="N300" s="8" t="s">
        <v>5460</v>
      </c>
      <c r="O300" s="131" t="b">
        <f t="shared" si="26"/>
        <v>1</v>
      </c>
    </row>
    <row r="301" spans="1:15">
      <c r="A301" s="8" t="s">
        <v>1497</v>
      </c>
      <c r="D301" s="8">
        <v>11</v>
      </c>
      <c r="H301" s="8" t="s">
        <v>2090</v>
      </c>
      <c r="I301" s="131" t="b">
        <f t="shared" si="25"/>
        <v>1</v>
      </c>
      <c r="J301" s="8">
        <v>11</v>
      </c>
      <c r="K301" s="159">
        <f>cbal!E301</f>
        <v>0</v>
      </c>
      <c r="L301" s="159">
        <f>cbal!F301</f>
        <v>0</v>
      </c>
      <c r="M301" s="159">
        <f>cbal!G301</f>
        <v>0</v>
      </c>
      <c r="N301" s="8" t="s">
        <v>5461</v>
      </c>
      <c r="O301" s="131" t="b">
        <f t="shared" si="26"/>
        <v>1</v>
      </c>
    </row>
    <row r="302" spans="1:15">
      <c r="A302" s="8" t="s">
        <v>1498</v>
      </c>
      <c r="D302" s="63">
        <v>12</v>
      </c>
      <c r="H302" s="8" t="s">
        <v>2091</v>
      </c>
      <c r="I302" s="131" t="b">
        <f t="shared" si="25"/>
        <v>1</v>
      </c>
      <c r="J302" s="63">
        <v>12</v>
      </c>
      <c r="K302" s="159">
        <f>cbal!E302</f>
        <v>0</v>
      </c>
      <c r="L302" s="159">
        <f>cbal!F302</f>
        <v>0</v>
      </c>
      <c r="M302" s="159">
        <f>cbal!G302</f>
        <v>0</v>
      </c>
      <c r="N302" s="8" t="s">
        <v>5462</v>
      </c>
      <c r="O302" s="131" t="b">
        <f t="shared" si="26"/>
        <v>1</v>
      </c>
    </row>
    <row r="303" spans="1:15">
      <c r="A303" s="8" t="s">
        <v>3998</v>
      </c>
      <c r="D303" s="63">
        <v>19</v>
      </c>
      <c r="E303" s="159" t="str">
        <f t="shared" ref="E303:G306" si="29">VLOOKUP($D303,dataTableCC2Staff,3,FALSE)</f>
        <v>Full-Time</v>
      </c>
      <c r="F303" s="159" t="str">
        <f t="shared" si="29"/>
        <v>Full-Time</v>
      </c>
      <c r="G303" s="159" t="str">
        <f t="shared" si="29"/>
        <v>Full-Time</v>
      </c>
      <c r="H303" s="8" t="s">
        <v>4075</v>
      </c>
      <c r="I303" s="131" t="b">
        <f t="shared" si="25"/>
        <v>1</v>
      </c>
      <c r="J303" s="63">
        <v>19</v>
      </c>
      <c r="K303" s="159" t="str">
        <f>cbal!E303</f>
        <v>Full-Time</v>
      </c>
      <c r="L303" s="159" t="str">
        <f>cbal!F303</f>
        <v>Full-Time</v>
      </c>
      <c r="M303" s="159" t="str">
        <f>cbal!G303</f>
        <v>Full-Time</v>
      </c>
      <c r="N303" s="8" t="s">
        <v>5463</v>
      </c>
      <c r="O303" s="131" t="b">
        <f t="shared" si="26"/>
        <v>1</v>
      </c>
    </row>
    <row r="304" spans="1:15">
      <c r="A304" s="8" t="s">
        <v>3999</v>
      </c>
      <c r="D304" s="63">
        <v>20</v>
      </c>
      <c r="E304" s="159" t="str">
        <f t="shared" si="29"/>
        <v>Full-Time</v>
      </c>
      <c r="F304" s="159" t="str">
        <f t="shared" si="29"/>
        <v>Full-Time</v>
      </c>
      <c r="G304" s="159" t="str">
        <f t="shared" si="29"/>
        <v>Full-Time</v>
      </c>
      <c r="H304" s="8" t="s">
        <v>4076</v>
      </c>
      <c r="I304" s="131" t="b">
        <f t="shared" si="25"/>
        <v>1</v>
      </c>
      <c r="J304" s="63">
        <v>20</v>
      </c>
      <c r="K304" s="159" t="str">
        <f>cbal!E304</f>
        <v>Full-Time</v>
      </c>
      <c r="L304" s="159" t="str">
        <f>cbal!F304</f>
        <v>Full-Time</v>
      </c>
      <c r="M304" s="159" t="str">
        <f>cbal!G304</f>
        <v>Full-Time</v>
      </c>
      <c r="N304" s="8" t="s">
        <v>5464</v>
      </c>
      <c r="O304" s="131" t="b">
        <f t="shared" si="26"/>
        <v>1</v>
      </c>
    </row>
    <row r="305" spans="1:15">
      <c r="A305" s="8" t="s">
        <v>4000</v>
      </c>
      <c r="D305" s="63">
        <v>21</v>
      </c>
      <c r="E305" s="159" t="str">
        <f t="shared" si="29"/>
        <v>Full-Time</v>
      </c>
      <c r="F305" s="159" t="str">
        <f t="shared" si="29"/>
        <v>Full-Time</v>
      </c>
      <c r="G305" s="159" t="str">
        <f t="shared" si="29"/>
        <v>Full-Time</v>
      </c>
      <c r="H305" s="8" t="s">
        <v>4077</v>
      </c>
      <c r="I305" s="131" t="b">
        <f t="shared" si="25"/>
        <v>1</v>
      </c>
      <c r="J305" s="63">
        <v>21</v>
      </c>
      <c r="K305" s="159" t="str">
        <f>cbal!E305</f>
        <v>Full-Time</v>
      </c>
      <c r="L305" s="159" t="str">
        <f>cbal!F305</f>
        <v>Full-Time</v>
      </c>
      <c r="M305" s="159" t="str">
        <f>cbal!G305</f>
        <v>Full-Time</v>
      </c>
      <c r="N305" s="8" t="s">
        <v>5465</v>
      </c>
      <c r="O305" s="131" t="b">
        <f t="shared" si="26"/>
        <v>1</v>
      </c>
    </row>
    <row r="306" spans="1:15">
      <c r="A306" s="8" t="s">
        <v>4001</v>
      </c>
      <c r="D306" s="63">
        <v>22</v>
      </c>
      <c r="E306" s="159" t="str">
        <f t="shared" si="29"/>
        <v>Full-Time</v>
      </c>
      <c r="F306" s="159" t="str">
        <f t="shared" si="29"/>
        <v>Full-Time</v>
      </c>
      <c r="G306" s="159" t="str">
        <f t="shared" si="29"/>
        <v>Full-Time</v>
      </c>
      <c r="H306" s="8" t="s">
        <v>4078</v>
      </c>
      <c r="I306" s="131" t="b">
        <f t="shared" si="25"/>
        <v>1</v>
      </c>
      <c r="J306" s="63">
        <v>22</v>
      </c>
      <c r="K306" s="159" t="str">
        <f>cbal!E306</f>
        <v>Full-Time</v>
      </c>
      <c r="L306" s="159" t="str">
        <f>cbal!F306</f>
        <v>Full-Time</v>
      </c>
      <c r="M306" s="159" t="str">
        <f>cbal!G306</f>
        <v>Full-Time</v>
      </c>
      <c r="N306" s="8" t="s">
        <v>5466</v>
      </c>
      <c r="O306" s="131" t="b">
        <f t="shared" si="26"/>
        <v>1</v>
      </c>
    </row>
    <row r="307" spans="1:15">
      <c r="I307" s="131" t="b">
        <f t="shared" si="25"/>
        <v>1</v>
      </c>
      <c r="K307" s="159">
        <f>cbal!E307</f>
        <v>0</v>
      </c>
      <c r="L307" s="159">
        <f>cbal!F307</f>
        <v>0</v>
      </c>
      <c r="M307" s="159">
        <f>cbal!G307</f>
        <v>0</v>
      </c>
      <c r="O307" s="131" t="b">
        <f t="shared" si="26"/>
        <v>1</v>
      </c>
    </row>
    <row r="308" spans="1:15">
      <c r="I308" s="131" t="b">
        <f t="shared" si="25"/>
        <v>1</v>
      </c>
      <c r="K308" s="159">
        <f>cbal!E308</f>
        <v>0</v>
      </c>
      <c r="L308" s="159">
        <f>cbal!F308</f>
        <v>0</v>
      </c>
      <c r="M308" s="159">
        <f>cbal!G308</f>
        <v>0</v>
      </c>
      <c r="O308" s="131" t="b">
        <f t="shared" si="26"/>
        <v>1</v>
      </c>
    </row>
    <row r="309" spans="1:15">
      <c r="A309" s="8" t="s">
        <v>1983</v>
      </c>
      <c r="I309" s="131" t="b">
        <f t="shared" si="25"/>
        <v>1</v>
      </c>
      <c r="K309" s="159">
        <f>cbal!E309</f>
        <v>0</v>
      </c>
      <c r="L309" s="159">
        <f>cbal!F309</f>
        <v>0</v>
      </c>
      <c r="M309" s="159">
        <f>cbal!G309</f>
        <v>0</v>
      </c>
      <c r="O309" s="131" t="b">
        <f t="shared" si="26"/>
        <v>1</v>
      </c>
    </row>
    <row r="310" spans="1:15">
      <c r="A310" s="8" t="s">
        <v>595</v>
      </c>
      <c r="D310" s="63">
        <v>1</v>
      </c>
      <c r="E310" s="159" t="str">
        <f t="shared" ref="E310:G319" si="30">VLOOKUP($D310,dataTableCC2Staff,4,FALSE)</f>
        <v>Sherie Sea</v>
      </c>
      <c r="F310" s="159" t="str">
        <f t="shared" si="30"/>
        <v>Sherie Sea</v>
      </c>
      <c r="G310" s="159" t="str">
        <f t="shared" si="30"/>
        <v>Sherie Sea</v>
      </c>
      <c r="H310" s="8" t="s">
        <v>2092</v>
      </c>
      <c r="I310" s="131" t="b">
        <f t="shared" si="25"/>
        <v>1</v>
      </c>
      <c r="J310" s="63">
        <v>1</v>
      </c>
      <c r="K310" s="159" t="str">
        <f>cbal!E310</f>
        <v>Sherie Sea</v>
      </c>
      <c r="L310" s="159" t="str">
        <f>cbal!F310</f>
        <v>Sherie Sea</v>
      </c>
      <c r="M310" s="159" t="str">
        <f>cbal!G310</f>
        <v>Sherie Sea</v>
      </c>
      <c r="N310" s="8" t="s">
        <v>5467</v>
      </c>
      <c r="O310" s="131" t="b">
        <f t="shared" si="26"/>
        <v>1</v>
      </c>
    </row>
    <row r="311" spans="1:15">
      <c r="A311" s="8" t="s">
        <v>596</v>
      </c>
      <c r="D311" s="63">
        <v>2</v>
      </c>
      <c r="E311" s="159" t="str">
        <f t="shared" si="30"/>
        <v>Jamison Jordon  </v>
      </c>
      <c r="F311" s="159" t="str">
        <f t="shared" si="30"/>
        <v>Jamison Jordon  </v>
      </c>
      <c r="G311" s="159" t="str">
        <f t="shared" si="30"/>
        <v>Jamison Jordon  </v>
      </c>
      <c r="H311" s="8" t="s">
        <v>2093</v>
      </c>
      <c r="I311" s="131" t="b">
        <f t="shared" si="25"/>
        <v>1</v>
      </c>
      <c r="J311" s="63">
        <v>2</v>
      </c>
      <c r="K311" s="159" t="str">
        <f>cbal!E311</f>
        <v>Jamison Jordon  </v>
      </c>
      <c r="L311" s="159" t="str">
        <f>cbal!F311</f>
        <v>Jamison Jordon  </v>
      </c>
      <c r="M311" s="159" t="str">
        <f>cbal!G311</f>
        <v>Jamison Jordon  </v>
      </c>
      <c r="N311" s="8" t="s">
        <v>5468</v>
      </c>
      <c r="O311" s="131" t="b">
        <f t="shared" si="26"/>
        <v>1</v>
      </c>
    </row>
    <row r="312" spans="1:15">
      <c r="A312" s="8" t="s">
        <v>597</v>
      </c>
      <c r="D312" s="63">
        <v>3</v>
      </c>
      <c r="E312" s="159" t="str">
        <f t="shared" si="30"/>
        <v>Audry Amore  </v>
      </c>
      <c r="F312" s="159" t="str">
        <f t="shared" si="30"/>
        <v>Audry Amore  </v>
      </c>
      <c r="G312" s="159" t="str">
        <f t="shared" si="30"/>
        <v>Audry Amore  </v>
      </c>
      <c r="H312" s="8" t="s">
        <v>2094</v>
      </c>
      <c r="I312" s="131" t="b">
        <f t="shared" si="25"/>
        <v>1</v>
      </c>
      <c r="J312" s="63">
        <v>3</v>
      </c>
      <c r="K312" s="159" t="str">
        <f>cbal!E312</f>
        <v>Audry Amore  </v>
      </c>
      <c r="L312" s="159" t="str">
        <f>cbal!F312</f>
        <v>Audry Amore  </v>
      </c>
      <c r="M312" s="159" t="str">
        <f>cbal!G312</f>
        <v>Audry Amore  </v>
      </c>
      <c r="N312" s="8" t="s">
        <v>5469</v>
      </c>
      <c r="O312" s="131" t="b">
        <f t="shared" si="26"/>
        <v>1</v>
      </c>
    </row>
    <row r="313" spans="1:15">
      <c r="A313" s="8" t="s">
        <v>598</v>
      </c>
      <c r="D313" s="8">
        <v>4</v>
      </c>
      <c r="E313" s="159" t="str">
        <f t="shared" si="30"/>
        <v>Marvis Martine  </v>
      </c>
      <c r="F313" s="159" t="str">
        <f t="shared" si="30"/>
        <v>Marvis Martine  </v>
      </c>
      <c r="G313" s="159" t="str">
        <f t="shared" si="30"/>
        <v>Marvis Martine  </v>
      </c>
      <c r="H313" s="8" t="s">
        <v>2095</v>
      </c>
      <c r="I313" s="131" t="b">
        <f t="shared" si="25"/>
        <v>1</v>
      </c>
      <c r="J313" s="8">
        <v>4</v>
      </c>
      <c r="K313" s="159" t="str">
        <f>cbal!E313</f>
        <v>Marvis Martine  </v>
      </c>
      <c r="L313" s="159" t="str">
        <f>cbal!F313</f>
        <v>Marvis Martine  </v>
      </c>
      <c r="M313" s="159" t="str">
        <f>cbal!G313</f>
        <v>Marvis Martine  </v>
      </c>
      <c r="N313" s="8" t="s">
        <v>5470</v>
      </c>
      <c r="O313" s="131" t="b">
        <f t="shared" si="26"/>
        <v>1</v>
      </c>
    </row>
    <row r="314" spans="1:15">
      <c r="A314" s="8" t="s">
        <v>599</v>
      </c>
      <c r="D314" s="8">
        <v>5</v>
      </c>
      <c r="E314" s="159" t="str">
        <f t="shared" si="30"/>
        <v>Ming Mines  </v>
      </c>
      <c r="F314" s="159" t="str">
        <f t="shared" si="30"/>
        <v>Ming Mines  </v>
      </c>
      <c r="G314" s="159" t="str">
        <f t="shared" si="30"/>
        <v>Ming Mines  </v>
      </c>
      <c r="H314" s="8" t="s">
        <v>2096</v>
      </c>
      <c r="I314" s="131" t="b">
        <f t="shared" si="25"/>
        <v>1</v>
      </c>
      <c r="J314" s="8">
        <v>5</v>
      </c>
      <c r="K314" s="159" t="str">
        <f>cbal!E314</f>
        <v>Ming Mines  </v>
      </c>
      <c r="L314" s="159" t="str">
        <f>cbal!F314</f>
        <v>Ming Mines  </v>
      </c>
      <c r="M314" s="159" t="str">
        <f>cbal!G314</f>
        <v>Ming Mines  </v>
      </c>
      <c r="N314" s="8" t="s">
        <v>5471</v>
      </c>
      <c r="O314" s="131" t="b">
        <f t="shared" si="26"/>
        <v>1</v>
      </c>
    </row>
    <row r="315" spans="1:15">
      <c r="A315" s="8" t="s">
        <v>600</v>
      </c>
      <c r="D315" s="8">
        <v>6</v>
      </c>
      <c r="E315" s="159" t="str">
        <f t="shared" si="30"/>
        <v>Esteban Ervin  </v>
      </c>
      <c r="F315" s="159" t="str">
        <f t="shared" si="30"/>
        <v>Esteban Ervin  </v>
      </c>
      <c r="G315" s="159" t="str">
        <f t="shared" si="30"/>
        <v>Esteban Ervin  </v>
      </c>
      <c r="H315" s="8" t="s">
        <v>2097</v>
      </c>
      <c r="I315" s="131" t="b">
        <f t="shared" si="25"/>
        <v>1</v>
      </c>
      <c r="J315" s="8">
        <v>6</v>
      </c>
      <c r="K315" s="159" t="str">
        <f>cbal!E315</f>
        <v>Esteban Ervin  </v>
      </c>
      <c r="L315" s="159" t="str">
        <f>cbal!F315</f>
        <v>Esteban Ervin  </v>
      </c>
      <c r="M315" s="159" t="str">
        <f>cbal!G315</f>
        <v>Esteban Ervin  </v>
      </c>
      <c r="N315" s="8" t="s">
        <v>5472</v>
      </c>
      <c r="O315" s="131" t="b">
        <f t="shared" si="26"/>
        <v>1</v>
      </c>
    </row>
    <row r="316" spans="1:15">
      <c r="A316" s="8" t="s">
        <v>601</v>
      </c>
      <c r="D316" s="63">
        <v>7</v>
      </c>
      <c r="E316" s="159" t="str">
        <f t="shared" si="30"/>
        <v>Chester Cheesman  </v>
      </c>
      <c r="F316" s="159" t="str">
        <f t="shared" si="30"/>
        <v>Chester Cheesman  </v>
      </c>
      <c r="G316" s="159" t="str">
        <f t="shared" si="30"/>
        <v>Chester Cheesman  </v>
      </c>
      <c r="H316" s="8" t="s">
        <v>2098</v>
      </c>
      <c r="I316" s="131" t="b">
        <f t="shared" si="25"/>
        <v>1</v>
      </c>
      <c r="J316" s="63">
        <v>7</v>
      </c>
      <c r="K316" s="159" t="str">
        <f>cbal!E316</f>
        <v>Chester Cheesman  </v>
      </c>
      <c r="L316" s="159" t="str">
        <f>cbal!F316</f>
        <v>Chester Cheesman  </v>
      </c>
      <c r="M316" s="159" t="str">
        <f>cbal!G316</f>
        <v>Chester Cheesman  </v>
      </c>
      <c r="N316" s="8" t="s">
        <v>5473</v>
      </c>
      <c r="O316" s="131" t="b">
        <f t="shared" si="26"/>
        <v>1</v>
      </c>
    </row>
    <row r="317" spans="1:15">
      <c r="A317" s="8" t="s">
        <v>602</v>
      </c>
      <c r="D317" s="63">
        <v>8</v>
      </c>
      <c r="E317" s="159" t="str">
        <f t="shared" si="30"/>
        <v>Susie Sluder  </v>
      </c>
      <c r="F317" s="159" t="str">
        <f t="shared" si="30"/>
        <v>Susie Sluder  </v>
      </c>
      <c r="G317" s="159" t="str">
        <f t="shared" si="30"/>
        <v>Susie Sluder  </v>
      </c>
      <c r="H317" s="8" t="s">
        <v>2099</v>
      </c>
      <c r="I317" s="131" t="b">
        <f t="shared" si="25"/>
        <v>1</v>
      </c>
      <c r="J317" s="63">
        <v>8</v>
      </c>
      <c r="K317" s="159" t="str">
        <f>cbal!E317</f>
        <v>Susie Sluder  </v>
      </c>
      <c r="L317" s="159" t="str">
        <f>cbal!F317</f>
        <v>Susie Sluder  </v>
      </c>
      <c r="M317" s="159" t="str">
        <f>cbal!G317</f>
        <v>Susie Sluder  </v>
      </c>
      <c r="N317" s="8" t="s">
        <v>5474</v>
      </c>
      <c r="O317" s="131" t="b">
        <f t="shared" si="26"/>
        <v>1</v>
      </c>
    </row>
    <row r="318" spans="1:15">
      <c r="A318" s="8" t="s">
        <v>603</v>
      </c>
      <c r="D318" s="63">
        <v>9</v>
      </c>
      <c r="E318" s="159" t="str">
        <f t="shared" si="30"/>
        <v>Jerome Jurek  </v>
      </c>
      <c r="F318" s="159" t="str">
        <f t="shared" si="30"/>
        <v>Jerome Jurek  </v>
      </c>
      <c r="G318" s="159" t="str">
        <f t="shared" si="30"/>
        <v>Jerome Jurek  </v>
      </c>
      <c r="H318" s="8" t="s">
        <v>2100</v>
      </c>
      <c r="I318" s="131" t="b">
        <f t="shared" si="25"/>
        <v>1</v>
      </c>
      <c r="J318" s="63">
        <v>9</v>
      </c>
      <c r="K318" s="159" t="str">
        <f>cbal!E318</f>
        <v>Jerome Jurek  </v>
      </c>
      <c r="L318" s="159" t="str">
        <f>cbal!F318</f>
        <v>Jerome Jurek  </v>
      </c>
      <c r="M318" s="159" t="str">
        <f>cbal!G318</f>
        <v>Jerome Jurek  </v>
      </c>
      <c r="N318" s="8" t="s">
        <v>5475</v>
      </c>
      <c r="O318" s="131" t="b">
        <f t="shared" si="26"/>
        <v>1</v>
      </c>
    </row>
    <row r="319" spans="1:15">
      <c r="A319" s="8" t="s">
        <v>604</v>
      </c>
      <c r="D319" s="8">
        <v>10</v>
      </c>
      <c r="E319" s="159" t="str">
        <f t="shared" si="30"/>
        <v>Roseanna Roder  </v>
      </c>
      <c r="F319" s="159" t="str">
        <f t="shared" si="30"/>
        <v>Roseanna Roder  </v>
      </c>
      <c r="G319" s="159" t="str">
        <f t="shared" si="30"/>
        <v>Roseanna Roder  </v>
      </c>
      <c r="H319" s="8" t="s">
        <v>2101</v>
      </c>
      <c r="I319" s="131" t="b">
        <f t="shared" si="25"/>
        <v>1</v>
      </c>
      <c r="J319" s="8">
        <v>10</v>
      </c>
      <c r="K319" s="159" t="str">
        <f>cbal!E319</f>
        <v>Roseanna Roder  </v>
      </c>
      <c r="L319" s="159" t="str">
        <f>cbal!F319</f>
        <v>Roseanna Roder  </v>
      </c>
      <c r="M319" s="159" t="str">
        <f>cbal!G319</f>
        <v>Roseanna Roder  </v>
      </c>
      <c r="N319" s="8" t="s">
        <v>5476</v>
      </c>
      <c r="O319" s="131" t="b">
        <f t="shared" si="26"/>
        <v>1</v>
      </c>
    </row>
    <row r="320" spans="1:15">
      <c r="A320" s="8" t="s">
        <v>1497</v>
      </c>
      <c r="D320" s="8">
        <v>11</v>
      </c>
      <c r="H320" s="8" t="s">
        <v>2102</v>
      </c>
      <c r="I320" s="131" t="b">
        <f t="shared" si="25"/>
        <v>1</v>
      </c>
      <c r="J320" s="8">
        <v>11</v>
      </c>
      <c r="K320" s="159">
        <f>cbal!E320</f>
        <v>0</v>
      </c>
      <c r="L320" s="159">
        <f>cbal!F320</f>
        <v>0</v>
      </c>
      <c r="M320" s="159">
        <f>cbal!G320</f>
        <v>0</v>
      </c>
      <c r="N320" s="8" t="s">
        <v>5477</v>
      </c>
      <c r="O320" s="131" t="b">
        <f t="shared" si="26"/>
        <v>1</v>
      </c>
    </row>
    <row r="321" spans="1:15">
      <c r="A321" s="8" t="s">
        <v>1498</v>
      </c>
      <c r="D321" s="63">
        <v>12</v>
      </c>
      <c r="H321" s="8" t="s">
        <v>2103</v>
      </c>
      <c r="I321" s="131" t="b">
        <f t="shared" si="25"/>
        <v>1</v>
      </c>
      <c r="J321" s="63">
        <v>12</v>
      </c>
      <c r="K321" s="159">
        <f>cbal!E321</f>
        <v>0</v>
      </c>
      <c r="L321" s="159">
        <f>cbal!F321</f>
        <v>0</v>
      </c>
      <c r="M321" s="159">
        <f>cbal!G321</f>
        <v>0</v>
      </c>
      <c r="N321" s="8" t="s">
        <v>5478</v>
      </c>
      <c r="O321" s="131" t="b">
        <f t="shared" si="26"/>
        <v>1</v>
      </c>
    </row>
    <row r="322" spans="1:15">
      <c r="A322" s="633" t="s">
        <v>3998</v>
      </c>
      <c r="C322" s="63" t="s">
        <v>550</v>
      </c>
      <c r="E322" s="159">
        <v>4.5</v>
      </c>
      <c r="F322" s="753">
        <v>3.3333333333333335</v>
      </c>
      <c r="G322" s="753">
        <v>6.666666666666667</v>
      </c>
      <c r="H322" s="8" t="s">
        <v>8294</v>
      </c>
      <c r="I322" s="131" t="b">
        <f t="shared" si="25"/>
        <v>0</v>
      </c>
      <c r="K322" s="159">
        <f>cbal!E322</f>
        <v>4.2749999999999995</v>
      </c>
      <c r="L322" s="159">
        <f>cbal!F322</f>
        <v>3.3333333333333335</v>
      </c>
      <c r="M322" s="159">
        <f>cbal!G322</f>
        <v>6.666666666666667</v>
      </c>
      <c r="N322" s="8" t="s">
        <v>8295</v>
      </c>
      <c r="O322" s="131" t="b">
        <f t="shared" si="26"/>
        <v>0</v>
      </c>
    </row>
    <row r="323" spans="1:15">
      <c r="A323" s="633" t="s">
        <v>3999</v>
      </c>
      <c r="C323" s="63" t="s">
        <v>554</v>
      </c>
      <c r="E323" s="159">
        <v>6</v>
      </c>
      <c r="F323" s="753">
        <v>3.225806451612903</v>
      </c>
      <c r="G323" s="753">
        <v>6.4516129032258061</v>
      </c>
      <c r="H323" s="8" t="s">
        <v>8296</v>
      </c>
      <c r="I323" s="131" t="b">
        <f t="shared" si="25"/>
        <v>0</v>
      </c>
      <c r="K323" s="159">
        <f>cbal!E323</f>
        <v>5.6999999999999993</v>
      </c>
      <c r="L323" s="159">
        <f>cbal!F323</f>
        <v>3.225806451612903</v>
      </c>
      <c r="M323" s="159">
        <f>cbal!G323</f>
        <v>6.4516129032258061</v>
      </c>
      <c r="N323" s="8" t="s">
        <v>8297</v>
      </c>
      <c r="O323" s="131" t="b">
        <f t="shared" si="26"/>
        <v>0</v>
      </c>
    </row>
    <row r="324" spans="1:15">
      <c r="A324" s="633" t="s">
        <v>4000</v>
      </c>
      <c r="C324" s="63" t="s">
        <v>556</v>
      </c>
      <c r="E324" s="159">
        <v>4</v>
      </c>
      <c r="F324" s="753">
        <v>3.2142857142857144</v>
      </c>
      <c r="G324" s="753">
        <v>6.25</v>
      </c>
      <c r="H324" s="8" t="s">
        <v>8298</v>
      </c>
      <c r="I324" s="131" t="b">
        <f t="shared" si="25"/>
        <v>0</v>
      </c>
      <c r="K324" s="159">
        <f>cbal!E324</f>
        <v>3.8</v>
      </c>
      <c r="L324" s="159">
        <f>cbal!F324</f>
        <v>3.2142857142857144</v>
      </c>
      <c r="M324" s="159">
        <f>cbal!G324</f>
        <v>6.25</v>
      </c>
      <c r="N324" s="8" t="s">
        <v>8299</v>
      </c>
      <c r="O324" s="131" t="b">
        <f t="shared" si="26"/>
        <v>0</v>
      </c>
    </row>
    <row r="325" spans="1:15">
      <c r="A325" s="633" t="s">
        <v>4001</v>
      </c>
      <c r="C325" s="63" t="s">
        <v>555</v>
      </c>
      <c r="E325" s="159">
        <v>1.25</v>
      </c>
      <c r="F325" s="753">
        <v>1.1111111111111112</v>
      </c>
      <c r="G325" s="753">
        <v>2.0370370370370372</v>
      </c>
      <c r="H325" s="8" t="s">
        <v>8300</v>
      </c>
      <c r="I325" s="131" t="b">
        <f t="shared" si="25"/>
        <v>0</v>
      </c>
      <c r="K325" s="159">
        <f>cbal!E325</f>
        <v>1.1875</v>
      </c>
      <c r="L325" s="159">
        <f>cbal!F325</f>
        <v>1.1111111111111112</v>
      </c>
      <c r="M325" s="159">
        <f>cbal!G325</f>
        <v>2.0370370370370372</v>
      </c>
      <c r="N325" s="8" t="s">
        <v>8301</v>
      </c>
      <c r="O325" s="131" t="b">
        <f t="shared" si="26"/>
        <v>0</v>
      </c>
    </row>
    <row r="326" spans="1:15">
      <c r="A326" s="633" t="s">
        <v>3998</v>
      </c>
      <c r="C326" s="63" t="s">
        <v>550</v>
      </c>
      <c r="E326" s="473">
        <v>28</v>
      </c>
      <c r="F326" s="473">
        <v>30</v>
      </c>
      <c r="G326" s="473">
        <v>30</v>
      </c>
      <c r="H326" s="8" t="s">
        <v>8302</v>
      </c>
      <c r="I326" s="131" t="b">
        <f t="shared" si="25"/>
        <v>0</v>
      </c>
      <c r="K326" s="159">
        <f>cbal!E326</f>
        <v>28</v>
      </c>
      <c r="L326" s="159">
        <f>cbal!F326</f>
        <v>30</v>
      </c>
      <c r="M326" s="159">
        <f>cbal!G326</f>
        <v>30</v>
      </c>
      <c r="N326" s="8" t="s">
        <v>8303</v>
      </c>
      <c r="O326" s="131" t="b">
        <f t="shared" si="26"/>
        <v>0</v>
      </c>
    </row>
    <row r="327" spans="1:15">
      <c r="A327" s="633" t="s">
        <v>3999</v>
      </c>
      <c r="C327" s="63" t="s">
        <v>554</v>
      </c>
      <c r="E327" s="473">
        <v>30</v>
      </c>
      <c r="F327" s="473">
        <v>31</v>
      </c>
      <c r="G327" s="473">
        <v>31</v>
      </c>
      <c r="H327" s="8" t="s">
        <v>8304</v>
      </c>
      <c r="I327" s="131" t="b">
        <f t="shared" si="25"/>
        <v>0</v>
      </c>
      <c r="K327" s="159">
        <f>cbal!E327</f>
        <v>30</v>
      </c>
      <c r="L327" s="159">
        <f>cbal!F327</f>
        <v>31</v>
      </c>
      <c r="M327" s="159">
        <f>cbal!G327</f>
        <v>31</v>
      </c>
      <c r="N327" s="8" t="s">
        <v>8305</v>
      </c>
      <c r="O327" s="131" t="b">
        <f t="shared" si="26"/>
        <v>0</v>
      </c>
    </row>
    <row r="328" spans="1:15">
      <c r="A328" s="633" t="s">
        <v>4000</v>
      </c>
      <c r="C328" s="63" t="s">
        <v>556</v>
      </c>
      <c r="E328" s="473">
        <v>29</v>
      </c>
      <c r="F328" s="473">
        <v>28</v>
      </c>
      <c r="G328" s="473">
        <v>28</v>
      </c>
      <c r="H328" s="8" t="s">
        <v>8306</v>
      </c>
      <c r="I328" s="131" t="b">
        <f t="shared" si="25"/>
        <v>0</v>
      </c>
      <c r="K328" s="159">
        <f>cbal!E328</f>
        <v>29</v>
      </c>
      <c r="L328" s="159">
        <f>cbal!F328</f>
        <v>28</v>
      </c>
      <c r="M328" s="159">
        <f>cbal!G328</f>
        <v>28</v>
      </c>
      <c r="N328" s="8" t="s">
        <v>8307</v>
      </c>
      <c r="O328" s="131" t="b">
        <f t="shared" si="26"/>
        <v>0</v>
      </c>
    </row>
    <row r="329" spans="1:15">
      <c r="A329" s="633" t="s">
        <v>4001</v>
      </c>
      <c r="C329" s="63" t="s">
        <v>555</v>
      </c>
      <c r="E329" s="473">
        <v>28</v>
      </c>
      <c r="F329" s="473">
        <v>27</v>
      </c>
      <c r="G329" s="473">
        <v>27</v>
      </c>
      <c r="H329" s="8" t="s">
        <v>8308</v>
      </c>
      <c r="I329" s="131" t="b">
        <f t="shared" si="25"/>
        <v>0</v>
      </c>
      <c r="K329" s="159">
        <f>cbal!E329</f>
        <v>28</v>
      </c>
      <c r="L329" s="159">
        <f>cbal!F329</f>
        <v>27</v>
      </c>
      <c r="M329" s="159">
        <f>cbal!G329</f>
        <v>27</v>
      </c>
      <c r="N329" s="8" t="s">
        <v>8309</v>
      </c>
      <c r="O329" s="131" t="b">
        <f t="shared" si="26"/>
        <v>0</v>
      </c>
    </row>
    <row r="330" spans="1:15">
      <c r="I330" s="131" t="b">
        <f t="shared" si="25"/>
        <v>1</v>
      </c>
      <c r="K330" s="159"/>
      <c r="L330" s="159"/>
      <c r="M330" s="159"/>
      <c r="O330" s="131" t="b">
        <f t="shared" si="26"/>
        <v>1</v>
      </c>
    </row>
    <row r="331" spans="1:15">
      <c r="A331" s="8" t="s">
        <v>1550</v>
      </c>
      <c r="I331" s="131" t="b">
        <f t="shared" si="25"/>
        <v>1</v>
      </c>
      <c r="K331" s="159"/>
      <c r="L331" s="159"/>
      <c r="M331" s="159"/>
      <c r="O331" s="131" t="b">
        <f t="shared" si="26"/>
        <v>1</v>
      </c>
    </row>
    <row r="332" spans="1:15">
      <c r="A332" s="8" t="s">
        <v>595</v>
      </c>
      <c r="D332" s="63">
        <v>1</v>
      </c>
      <c r="E332" s="159">
        <f t="shared" ref="E332:G341" si="31">VLOOKUP($D332,dataTableCC2Staff,5,FALSE)</f>
        <v>27</v>
      </c>
      <c r="F332" s="159">
        <f t="shared" si="31"/>
        <v>27</v>
      </c>
      <c r="G332" s="159">
        <f t="shared" si="31"/>
        <v>27</v>
      </c>
      <c r="H332" s="8" t="s">
        <v>2104</v>
      </c>
      <c r="I332" s="131" t="b">
        <f t="shared" si="25"/>
        <v>1</v>
      </c>
      <c r="J332" s="63">
        <v>1</v>
      </c>
      <c r="K332" s="159">
        <f>cbal!E332</f>
        <v>27</v>
      </c>
      <c r="L332" s="159">
        <f>cbal!F332</f>
        <v>27</v>
      </c>
      <c r="M332" s="159">
        <f>cbal!G332</f>
        <v>27</v>
      </c>
      <c r="N332" s="8" t="s">
        <v>5479</v>
      </c>
      <c r="O332" s="131" t="b">
        <f t="shared" si="26"/>
        <v>1</v>
      </c>
    </row>
    <row r="333" spans="1:15">
      <c r="A333" s="8" t="s">
        <v>596</v>
      </c>
      <c r="D333" s="63">
        <v>2</v>
      </c>
      <c r="E333" s="159">
        <f t="shared" si="31"/>
        <v>28</v>
      </c>
      <c r="F333" s="159">
        <f t="shared" si="31"/>
        <v>28</v>
      </c>
      <c r="G333" s="159">
        <f t="shared" si="31"/>
        <v>28</v>
      </c>
      <c r="H333" s="8" t="s">
        <v>2105</v>
      </c>
      <c r="I333" s="131" t="b">
        <f t="shared" si="25"/>
        <v>1</v>
      </c>
      <c r="J333" s="63">
        <v>2</v>
      </c>
      <c r="K333" s="159">
        <f>cbal!E333</f>
        <v>28</v>
      </c>
      <c r="L333" s="159">
        <f>cbal!F333</f>
        <v>28</v>
      </c>
      <c r="M333" s="159">
        <f>cbal!G333</f>
        <v>28</v>
      </c>
      <c r="N333" s="8" t="s">
        <v>5480</v>
      </c>
      <c r="O333" s="131" t="b">
        <f t="shared" si="26"/>
        <v>1</v>
      </c>
    </row>
    <row r="334" spans="1:15">
      <c r="A334" s="8" t="s">
        <v>597</v>
      </c>
      <c r="D334" s="63">
        <v>3</v>
      </c>
      <c r="E334" s="159">
        <f t="shared" si="31"/>
        <v>17.021276595744681</v>
      </c>
      <c r="F334" s="159">
        <f t="shared" si="31"/>
        <v>17.021276595744681</v>
      </c>
      <c r="G334" s="159">
        <f t="shared" si="31"/>
        <v>17.021276595744681</v>
      </c>
      <c r="H334" s="8" t="s">
        <v>2106</v>
      </c>
      <c r="I334" s="131" t="b">
        <f t="shared" si="25"/>
        <v>1</v>
      </c>
      <c r="J334" s="63">
        <v>3</v>
      </c>
      <c r="K334" s="159">
        <f>cbal!E334</f>
        <v>17.021276595744681</v>
      </c>
      <c r="L334" s="159">
        <f>cbal!F334</f>
        <v>17.021276595744681</v>
      </c>
      <c r="M334" s="159">
        <f>cbal!G334</f>
        <v>17.021276595744681</v>
      </c>
      <c r="N334" s="8" t="s">
        <v>5481</v>
      </c>
      <c r="O334" s="131" t="b">
        <f t="shared" si="26"/>
        <v>1</v>
      </c>
    </row>
    <row r="335" spans="1:15">
      <c r="A335" s="8" t="s">
        <v>598</v>
      </c>
      <c r="D335" s="8">
        <v>4</v>
      </c>
      <c r="E335" s="159">
        <f t="shared" si="31"/>
        <v>16.666666666666668</v>
      </c>
      <c r="F335" s="159">
        <f t="shared" si="31"/>
        <v>16.666666666666668</v>
      </c>
      <c r="G335" s="159">
        <f t="shared" si="31"/>
        <v>16.666666666666668</v>
      </c>
      <c r="H335" s="8" t="s">
        <v>2107</v>
      </c>
      <c r="I335" s="131" t="b">
        <f t="shared" si="25"/>
        <v>1</v>
      </c>
      <c r="J335" s="8">
        <v>4</v>
      </c>
      <c r="K335" s="159">
        <f>cbal!E335</f>
        <v>16.666666666666668</v>
      </c>
      <c r="L335" s="159">
        <f>cbal!F335</f>
        <v>16.666666666666668</v>
      </c>
      <c r="M335" s="159">
        <f>cbal!G335</f>
        <v>16.666666666666668</v>
      </c>
      <c r="N335" s="8" t="s">
        <v>5482</v>
      </c>
      <c r="O335" s="131" t="b">
        <f t="shared" si="26"/>
        <v>1</v>
      </c>
    </row>
    <row r="336" spans="1:15">
      <c r="A336" s="8" t="s">
        <v>599</v>
      </c>
      <c r="D336" s="8">
        <v>5</v>
      </c>
      <c r="E336" s="159">
        <f t="shared" si="31"/>
        <v>27.5</v>
      </c>
      <c r="F336" s="159">
        <f t="shared" si="31"/>
        <v>27.5</v>
      </c>
      <c r="G336" s="159">
        <f t="shared" si="31"/>
        <v>27.5</v>
      </c>
      <c r="H336" s="8" t="s">
        <v>2108</v>
      </c>
      <c r="I336" s="131" t="b">
        <f t="shared" si="25"/>
        <v>1</v>
      </c>
      <c r="J336" s="8">
        <v>5</v>
      </c>
      <c r="K336" s="159">
        <f>cbal!E336</f>
        <v>27.5</v>
      </c>
      <c r="L336" s="159">
        <f>cbal!F336</f>
        <v>27.5</v>
      </c>
      <c r="M336" s="159">
        <f>cbal!G336</f>
        <v>27.5</v>
      </c>
      <c r="N336" s="8" t="s">
        <v>5483</v>
      </c>
      <c r="O336" s="131" t="b">
        <f t="shared" si="26"/>
        <v>1</v>
      </c>
    </row>
    <row r="337" spans="1:15">
      <c r="A337" s="8" t="s">
        <v>600</v>
      </c>
      <c r="D337" s="8">
        <v>6</v>
      </c>
      <c r="E337" s="159">
        <f t="shared" si="31"/>
        <v>28</v>
      </c>
      <c r="F337" s="159">
        <f t="shared" si="31"/>
        <v>28</v>
      </c>
      <c r="G337" s="159">
        <f t="shared" si="31"/>
        <v>28</v>
      </c>
      <c r="H337" s="8" t="s">
        <v>2109</v>
      </c>
      <c r="I337" s="131" t="b">
        <f t="shared" si="25"/>
        <v>1</v>
      </c>
      <c r="J337" s="8">
        <v>6</v>
      </c>
      <c r="K337" s="159">
        <f>cbal!E337</f>
        <v>28</v>
      </c>
      <c r="L337" s="159">
        <f>cbal!F337</f>
        <v>28</v>
      </c>
      <c r="M337" s="159">
        <f>cbal!G337</f>
        <v>28</v>
      </c>
      <c r="N337" s="8" t="s">
        <v>5484</v>
      </c>
      <c r="O337" s="131" t="b">
        <f t="shared" si="26"/>
        <v>1</v>
      </c>
    </row>
    <row r="338" spans="1:15">
      <c r="A338" s="8" t="s">
        <v>601</v>
      </c>
      <c r="D338" s="63">
        <v>7</v>
      </c>
      <c r="E338" s="159">
        <f t="shared" si="31"/>
        <v>28</v>
      </c>
      <c r="F338" s="159">
        <f t="shared" si="31"/>
        <v>28</v>
      </c>
      <c r="G338" s="159">
        <f t="shared" si="31"/>
        <v>28</v>
      </c>
      <c r="H338" s="8" t="s">
        <v>2110</v>
      </c>
      <c r="I338" s="131" t="b">
        <f t="shared" si="25"/>
        <v>1</v>
      </c>
      <c r="J338" s="63">
        <v>7</v>
      </c>
      <c r="K338" s="159">
        <f>cbal!E338</f>
        <v>28</v>
      </c>
      <c r="L338" s="159">
        <f>cbal!F338</f>
        <v>28</v>
      </c>
      <c r="M338" s="159">
        <f>cbal!G338</f>
        <v>28</v>
      </c>
      <c r="N338" s="8" t="s">
        <v>5485</v>
      </c>
      <c r="O338" s="131" t="b">
        <f t="shared" si="26"/>
        <v>1</v>
      </c>
    </row>
    <row r="339" spans="1:15">
      <c r="A339" s="8" t="s">
        <v>602</v>
      </c>
      <c r="D339" s="63">
        <v>8</v>
      </c>
      <c r="E339" s="159">
        <f t="shared" si="31"/>
        <v>28</v>
      </c>
      <c r="F339" s="159">
        <f t="shared" si="31"/>
        <v>28</v>
      </c>
      <c r="G339" s="159">
        <f t="shared" si="31"/>
        <v>28</v>
      </c>
      <c r="H339" s="8" t="s">
        <v>2111</v>
      </c>
      <c r="I339" s="131" t="b">
        <f t="shared" si="25"/>
        <v>1</v>
      </c>
      <c r="J339" s="63">
        <v>8</v>
      </c>
      <c r="K339" s="159">
        <f>cbal!E339</f>
        <v>28</v>
      </c>
      <c r="L339" s="159">
        <f>cbal!F339</f>
        <v>28</v>
      </c>
      <c r="M339" s="159">
        <f>cbal!G339</f>
        <v>28</v>
      </c>
      <c r="N339" s="8" t="s">
        <v>5486</v>
      </c>
      <c r="O339" s="131" t="b">
        <f t="shared" si="26"/>
        <v>1</v>
      </c>
    </row>
    <row r="340" spans="1:15">
      <c r="A340" s="8" t="s">
        <v>603</v>
      </c>
      <c r="D340" s="63">
        <v>9</v>
      </c>
      <c r="E340" s="159">
        <f t="shared" si="31"/>
        <v>12.5</v>
      </c>
      <c r="F340" s="159">
        <f t="shared" si="31"/>
        <v>12.5</v>
      </c>
      <c r="G340" s="159">
        <f t="shared" si="31"/>
        <v>12.5</v>
      </c>
      <c r="H340" s="8" t="s">
        <v>2112</v>
      </c>
      <c r="I340" s="131" t="b">
        <f t="shared" si="25"/>
        <v>1</v>
      </c>
      <c r="J340" s="63">
        <v>9</v>
      </c>
      <c r="K340" s="159">
        <f>cbal!E340</f>
        <v>12.5</v>
      </c>
      <c r="L340" s="159">
        <f>cbal!F340</f>
        <v>12.5</v>
      </c>
      <c r="M340" s="159">
        <f>cbal!G340</f>
        <v>12.5</v>
      </c>
      <c r="N340" s="8" t="s">
        <v>5487</v>
      </c>
      <c r="O340" s="131" t="b">
        <f t="shared" si="26"/>
        <v>1</v>
      </c>
    </row>
    <row r="341" spans="1:15">
      <c r="A341" s="8" t="s">
        <v>604</v>
      </c>
      <c r="D341" s="8">
        <v>10</v>
      </c>
      <c r="E341" s="159">
        <f t="shared" si="31"/>
        <v>22.680412371134022</v>
      </c>
      <c r="F341" s="159">
        <f t="shared" si="31"/>
        <v>22.680412371134022</v>
      </c>
      <c r="G341" s="159">
        <f t="shared" si="31"/>
        <v>22.680412371134022</v>
      </c>
      <c r="H341" s="8" t="s">
        <v>2113</v>
      </c>
      <c r="I341" s="131" t="b">
        <f t="shared" si="25"/>
        <v>1</v>
      </c>
      <c r="J341" s="8">
        <v>10</v>
      </c>
      <c r="K341" s="159">
        <f>cbal!E341</f>
        <v>22.680412371134022</v>
      </c>
      <c r="L341" s="159">
        <f>cbal!F341</f>
        <v>22.680412371134022</v>
      </c>
      <c r="M341" s="159">
        <f>cbal!G341</f>
        <v>22.680412371134022</v>
      </c>
      <c r="N341" s="8" t="s">
        <v>5488</v>
      </c>
      <c r="O341" s="131" t="b">
        <f t="shared" si="26"/>
        <v>1</v>
      </c>
    </row>
    <row r="342" spans="1:15">
      <c r="A342" s="8" t="s">
        <v>1497</v>
      </c>
      <c r="D342" s="8">
        <v>11</v>
      </c>
      <c r="E342" s="159">
        <v>0</v>
      </c>
      <c r="F342" s="159">
        <v>0</v>
      </c>
      <c r="G342" s="159">
        <v>0</v>
      </c>
      <c r="H342" s="8" t="s">
        <v>2114</v>
      </c>
      <c r="I342" s="131" t="b">
        <f t="shared" si="25"/>
        <v>1</v>
      </c>
      <c r="J342" s="8">
        <v>11</v>
      </c>
      <c r="K342" s="159">
        <f>cbal!E342</f>
        <v>0</v>
      </c>
      <c r="L342" s="159">
        <f>cbal!F342</f>
        <v>0</v>
      </c>
      <c r="M342" s="159">
        <f>cbal!G342</f>
        <v>0</v>
      </c>
      <c r="N342" s="8" t="s">
        <v>5489</v>
      </c>
      <c r="O342" s="131" t="b">
        <f t="shared" si="26"/>
        <v>1</v>
      </c>
    </row>
    <row r="343" spans="1:15">
      <c r="A343" s="8" t="s">
        <v>1498</v>
      </c>
      <c r="D343" s="63">
        <v>12</v>
      </c>
      <c r="E343" s="159">
        <v>0</v>
      </c>
      <c r="F343" s="159">
        <v>0</v>
      </c>
      <c r="G343" s="159">
        <v>0</v>
      </c>
      <c r="H343" s="8" t="s">
        <v>2115</v>
      </c>
      <c r="I343" s="131" t="b">
        <f t="shared" si="25"/>
        <v>1</v>
      </c>
      <c r="J343" s="63">
        <v>12</v>
      </c>
      <c r="K343" s="159">
        <f>cbal!E343</f>
        <v>0</v>
      </c>
      <c r="L343" s="159">
        <f>cbal!F343</f>
        <v>0</v>
      </c>
      <c r="M343" s="159">
        <f>cbal!G343</f>
        <v>0</v>
      </c>
      <c r="N343" s="8" t="s">
        <v>5490</v>
      </c>
      <c r="O343" s="131" t="b">
        <f t="shared" si="26"/>
        <v>1</v>
      </c>
    </row>
    <row r="344" spans="1:15">
      <c r="A344" s="633" t="s">
        <v>3998</v>
      </c>
      <c r="D344" s="63">
        <v>19</v>
      </c>
      <c r="E344" s="752">
        <f>obalLOB2NumProdClinician13*obalLOB2BaseProdClinician13</f>
        <v>126</v>
      </c>
      <c r="F344" s="691">
        <f>obalLOB2NumProdClinician13*obalLOB2BaseProdClinician13</f>
        <v>100</v>
      </c>
      <c r="G344" s="691">
        <f>obalLOB2NumProdClinician13*obalLOB2BaseProdClinician13</f>
        <v>200</v>
      </c>
      <c r="H344" s="8" t="s">
        <v>4083</v>
      </c>
      <c r="I344" s="131" t="b">
        <f t="shared" si="25"/>
        <v>0</v>
      </c>
      <c r="J344" s="63">
        <v>19</v>
      </c>
      <c r="K344" s="752">
        <f>obalR2LOB2NumProdClinician13*obalR2LOB2BaseProdClinician13</f>
        <v>119.69999999999999</v>
      </c>
      <c r="L344" s="691">
        <f>obalR2LOB2NumProdClinician13*obalR2LOB2BaseProdClinician13</f>
        <v>100</v>
      </c>
      <c r="M344" s="691">
        <f>obalR2LOB2NumProdClinician13*obalR2LOB2BaseProdClinician13</f>
        <v>200</v>
      </c>
      <c r="N344" s="8" t="s">
        <v>5491</v>
      </c>
      <c r="O344" s="131" t="b">
        <f t="shared" si="26"/>
        <v>0</v>
      </c>
    </row>
    <row r="345" spans="1:15">
      <c r="A345" s="633" t="s">
        <v>3999</v>
      </c>
      <c r="D345" s="63">
        <v>20</v>
      </c>
      <c r="E345" s="752">
        <f>obalLOB2NumProdClinician14*obalLOB2BaseProdClinician14</f>
        <v>180</v>
      </c>
      <c r="F345" s="691">
        <f>obalLOB2NumProdClinician14*obalLOB2BaseProdClinician14</f>
        <v>100</v>
      </c>
      <c r="G345" s="691">
        <f>obalLOB2NumProdClinician14*obalLOB2BaseProdClinician14</f>
        <v>200</v>
      </c>
      <c r="H345" s="8" t="s">
        <v>4084</v>
      </c>
      <c r="I345" s="131" t="b">
        <f t="shared" si="25"/>
        <v>0</v>
      </c>
      <c r="J345" s="63">
        <v>20</v>
      </c>
      <c r="K345" s="752">
        <f>obalR2LOB2NumProdClinician14*obalR2LOB2BaseProdClinician14</f>
        <v>170.99999999999997</v>
      </c>
      <c r="L345" s="691">
        <f>obalR2LOB2NumProdClinician14*obalR2LOB2BaseProdClinician14</f>
        <v>100</v>
      </c>
      <c r="M345" s="691">
        <f>obalR2LOB2NumProdClinician14*obalR2LOB2BaseProdClinician14</f>
        <v>200</v>
      </c>
      <c r="N345" s="8" t="s">
        <v>5492</v>
      </c>
      <c r="O345" s="131" t="b">
        <f t="shared" si="26"/>
        <v>0</v>
      </c>
    </row>
    <row r="346" spans="1:15">
      <c r="A346" s="633" t="s">
        <v>4000</v>
      </c>
      <c r="D346" s="63">
        <v>21</v>
      </c>
      <c r="E346" s="752">
        <f>obalLOB2NumProdClinician15*obalLOB2BaseProdClinician15</f>
        <v>116</v>
      </c>
      <c r="F346" s="691">
        <f>obalLOB2NumProdClinician15*obalLOB2BaseProdClinician15</f>
        <v>90</v>
      </c>
      <c r="G346" s="691">
        <f>obalLOB2NumProdClinician15*obalLOB2BaseProdClinician15</f>
        <v>175</v>
      </c>
      <c r="H346" s="8" t="s">
        <v>4085</v>
      </c>
      <c r="I346" s="131" t="b">
        <f t="shared" si="25"/>
        <v>0</v>
      </c>
      <c r="J346" s="63">
        <v>21</v>
      </c>
      <c r="K346" s="752">
        <f>obalR2LOB2NumProdClinician15*obalR2LOB2BaseProdClinician15</f>
        <v>110.19999999999999</v>
      </c>
      <c r="L346" s="691">
        <f>obalR2LOB2NumProdClinician15*obalR2LOB2BaseProdClinician15</f>
        <v>90</v>
      </c>
      <c r="M346" s="691">
        <f>obalR2LOB2NumProdClinician15*obalR2LOB2BaseProdClinician15</f>
        <v>175</v>
      </c>
      <c r="N346" s="8" t="s">
        <v>5493</v>
      </c>
      <c r="O346" s="131" t="b">
        <f t="shared" si="26"/>
        <v>0</v>
      </c>
    </row>
    <row r="347" spans="1:15">
      <c r="A347" s="633" t="s">
        <v>4001</v>
      </c>
      <c r="D347" s="63">
        <v>22</v>
      </c>
      <c r="E347" s="752">
        <f>obalLOB2NumProdClinician16*obalLOB2BaseProdClinician16</f>
        <v>35</v>
      </c>
      <c r="F347" s="691">
        <f>obalLOB2NumProdClinician16*obalLOB2BaseProdClinician16</f>
        <v>30</v>
      </c>
      <c r="G347" s="691">
        <f>obalLOB2NumProdClinician16*obalLOB2BaseProdClinician16</f>
        <v>55.000000000000007</v>
      </c>
      <c r="H347" s="8" t="s">
        <v>4086</v>
      </c>
      <c r="I347" s="131" t="b">
        <f t="shared" si="25"/>
        <v>0</v>
      </c>
      <c r="J347" s="63">
        <v>22</v>
      </c>
      <c r="K347" s="752">
        <f>obalR2LOB2NumProdClinician16*obalR2LOB2BaseProdClinician16</f>
        <v>33.25</v>
      </c>
      <c r="L347" s="691">
        <f>obalR2LOB2NumProdClinician16*obalR2LOB2BaseProdClinician16</f>
        <v>30</v>
      </c>
      <c r="M347" s="691">
        <f>obalR2LOB2NumProdClinician16*obalR2LOB2BaseProdClinician16</f>
        <v>55.000000000000007</v>
      </c>
      <c r="N347" s="8" t="s">
        <v>5494</v>
      </c>
      <c r="O347" s="131" t="b">
        <f t="shared" si="26"/>
        <v>0</v>
      </c>
    </row>
    <row r="348" spans="1:15">
      <c r="A348" s="8" t="s">
        <v>1497</v>
      </c>
      <c r="D348" s="8">
        <v>11</v>
      </c>
      <c r="E348" s="159">
        <v>0</v>
      </c>
      <c r="F348" s="159">
        <v>0</v>
      </c>
      <c r="G348" s="159">
        <v>0</v>
      </c>
      <c r="H348" s="8" t="s">
        <v>3988</v>
      </c>
      <c r="I348" s="131" t="b">
        <f t="shared" si="25"/>
        <v>1</v>
      </c>
      <c r="J348" s="8">
        <v>11</v>
      </c>
      <c r="K348" s="159">
        <f>cbal!E348</f>
        <v>0</v>
      </c>
      <c r="L348" s="159">
        <f>cbal!F348</f>
        <v>0</v>
      </c>
      <c r="M348" s="159">
        <f>cbal!G348</f>
        <v>0</v>
      </c>
      <c r="N348" s="8" t="s">
        <v>5495</v>
      </c>
      <c r="O348" s="131" t="b">
        <f t="shared" si="26"/>
        <v>1</v>
      </c>
    </row>
    <row r="349" spans="1:15">
      <c r="A349" s="8" t="s">
        <v>1498</v>
      </c>
      <c r="D349" s="63">
        <v>12</v>
      </c>
      <c r="E349" s="159">
        <v>0</v>
      </c>
      <c r="F349" s="159">
        <v>0</v>
      </c>
      <c r="G349" s="159">
        <v>0</v>
      </c>
      <c r="H349" s="8" t="s">
        <v>3989</v>
      </c>
      <c r="I349" s="131" t="b">
        <f t="shared" si="25"/>
        <v>1</v>
      </c>
      <c r="J349" s="63">
        <v>12</v>
      </c>
      <c r="K349" s="159">
        <f>cbal!E349</f>
        <v>0</v>
      </c>
      <c r="L349" s="159">
        <f>cbal!F349</f>
        <v>0</v>
      </c>
      <c r="M349" s="159">
        <f>cbal!G349</f>
        <v>0</v>
      </c>
      <c r="N349" s="8" t="s">
        <v>5496</v>
      </c>
      <c r="O349" s="131" t="b">
        <f t="shared" si="26"/>
        <v>1</v>
      </c>
    </row>
    <row r="350" spans="1:15">
      <c r="I350" s="131" t="b">
        <f t="shared" si="25"/>
        <v>1</v>
      </c>
      <c r="K350" s="159">
        <f>cbal!E350</f>
        <v>0</v>
      </c>
      <c r="L350" s="159">
        <f>cbal!F350</f>
        <v>0</v>
      </c>
      <c r="M350" s="159">
        <f>cbal!G350</f>
        <v>0</v>
      </c>
      <c r="O350" s="131" t="b">
        <f t="shared" si="26"/>
        <v>1</v>
      </c>
    </row>
    <row r="351" spans="1:15">
      <c r="A351" s="8" t="s">
        <v>2008</v>
      </c>
      <c r="I351" s="131" t="b">
        <f t="shared" si="25"/>
        <v>1</v>
      </c>
      <c r="K351" s="159">
        <f>cbal!E351</f>
        <v>0</v>
      </c>
      <c r="L351" s="159">
        <f>cbal!F351</f>
        <v>0</v>
      </c>
      <c r="M351" s="159">
        <f>cbal!G351</f>
        <v>0</v>
      </c>
      <c r="O351" s="131" t="b">
        <f t="shared" si="26"/>
        <v>1</v>
      </c>
    </row>
    <row r="352" spans="1:15">
      <c r="A352" s="8" t="s">
        <v>595</v>
      </c>
      <c r="D352" s="63">
        <v>1</v>
      </c>
      <c r="E352" s="530">
        <f t="shared" ref="E352:G363" si="32">VLOOKUP($D352,dataTableCC2Staff,6,FALSE)</f>
        <v>6.9</v>
      </c>
      <c r="F352" s="530">
        <f t="shared" si="32"/>
        <v>6.9</v>
      </c>
      <c r="G352" s="530">
        <f t="shared" si="32"/>
        <v>6.9</v>
      </c>
      <c r="H352" s="8" t="s">
        <v>3810</v>
      </c>
      <c r="I352" s="131" t="b">
        <f t="shared" si="25"/>
        <v>1</v>
      </c>
      <c r="J352" s="63">
        <v>1</v>
      </c>
      <c r="K352" s="530">
        <f>cbal!E352</f>
        <v>6.9</v>
      </c>
      <c r="L352" s="530">
        <f>cbal!F352</f>
        <v>6.9</v>
      </c>
      <c r="M352" s="530">
        <f>cbal!G352</f>
        <v>6.9</v>
      </c>
      <c r="N352" s="8" t="s">
        <v>5497</v>
      </c>
      <c r="O352" s="131" t="b">
        <f t="shared" si="26"/>
        <v>1</v>
      </c>
    </row>
    <row r="353" spans="1:15">
      <c r="A353" s="8" t="s">
        <v>596</v>
      </c>
      <c r="D353" s="63">
        <v>2</v>
      </c>
      <c r="E353" s="530">
        <f t="shared" si="32"/>
        <v>5.7</v>
      </c>
      <c r="F353" s="530">
        <f t="shared" si="32"/>
        <v>5.7</v>
      </c>
      <c r="G353" s="530">
        <f t="shared" si="32"/>
        <v>5.7</v>
      </c>
      <c r="H353" s="8" t="s">
        <v>3811</v>
      </c>
      <c r="I353" s="131" t="b">
        <f t="shared" ref="I353:I416" si="33">MAX(E353:G353)=MIN(E353:G353)</f>
        <v>1</v>
      </c>
      <c r="J353" s="63">
        <v>2</v>
      </c>
      <c r="K353" s="530">
        <f>cbal!E353</f>
        <v>5.7</v>
      </c>
      <c r="L353" s="530">
        <f>cbal!F353</f>
        <v>5.7</v>
      </c>
      <c r="M353" s="530">
        <f>cbal!G353</f>
        <v>5.7</v>
      </c>
      <c r="N353" s="8" t="s">
        <v>5498</v>
      </c>
      <c r="O353" s="131" t="b">
        <f t="shared" ref="O353:O416" si="34">MAX(K353:M353)=MIN(K353:M353)</f>
        <v>1</v>
      </c>
    </row>
    <row r="354" spans="1:15">
      <c r="A354" s="8" t="s">
        <v>597</v>
      </c>
      <c r="D354" s="63">
        <v>3</v>
      </c>
      <c r="E354" s="530">
        <f t="shared" si="32"/>
        <v>4.8</v>
      </c>
      <c r="F354" s="530">
        <f t="shared" si="32"/>
        <v>4.8</v>
      </c>
      <c r="G354" s="530">
        <f t="shared" si="32"/>
        <v>4.8</v>
      </c>
      <c r="H354" s="8" t="s">
        <v>3812</v>
      </c>
      <c r="I354" s="131" t="b">
        <f t="shared" si="33"/>
        <v>1</v>
      </c>
      <c r="J354" s="63">
        <v>3</v>
      </c>
      <c r="K354" s="530">
        <f>cbal!E354</f>
        <v>4.8</v>
      </c>
      <c r="L354" s="530">
        <f>cbal!F354</f>
        <v>4.8</v>
      </c>
      <c r="M354" s="530">
        <f>cbal!G354</f>
        <v>4.8</v>
      </c>
      <c r="N354" s="8" t="s">
        <v>5499</v>
      </c>
      <c r="O354" s="131" t="b">
        <f t="shared" si="34"/>
        <v>1</v>
      </c>
    </row>
    <row r="355" spans="1:15">
      <c r="A355" s="8" t="s">
        <v>598</v>
      </c>
      <c r="D355" s="8">
        <v>4</v>
      </c>
      <c r="E355" s="530">
        <f t="shared" si="32"/>
        <v>5.4</v>
      </c>
      <c r="F355" s="530">
        <f t="shared" si="32"/>
        <v>5.4</v>
      </c>
      <c r="G355" s="530">
        <f t="shared" si="32"/>
        <v>5.4</v>
      </c>
      <c r="H355" s="8" t="s">
        <v>3813</v>
      </c>
      <c r="I355" s="131" t="b">
        <f t="shared" si="33"/>
        <v>1</v>
      </c>
      <c r="J355" s="8">
        <v>4</v>
      </c>
      <c r="K355" s="530">
        <f>cbal!E355</f>
        <v>5.4</v>
      </c>
      <c r="L355" s="530">
        <f>cbal!F355</f>
        <v>5.4</v>
      </c>
      <c r="M355" s="530">
        <f>cbal!G355</f>
        <v>5.4</v>
      </c>
      <c r="N355" s="8" t="s">
        <v>5500</v>
      </c>
      <c r="O355" s="131" t="b">
        <f t="shared" si="34"/>
        <v>1</v>
      </c>
    </row>
    <row r="356" spans="1:15">
      <c r="A356" s="8" t="s">
        <v>599</v>
      </c>
      <c r="D356" s="8">
        <v>5</v>
      </c>
      <c r="E356" s="530">
        <f t="shared" si="32"/>
        <v>6.3</v>
      </c>
      <c r="F356" s="530">
        <f t="shared" si="32"/>
        <v>6.3</v>
      </c>
      <c r="G356" s="530">
        <f t="shared" si="32"/>
        <v>6.3</v>
      </c>
      <c r="H356" s="8" t="s">
        <v>3814</v>
      </c>
      <c r="I356" s="131" t="b">
        <f t="shared" si="33"/>
        <v>1</v>
      </c>
      <c r="J356" s="8">
        <v>5</v>
      </c>
      <c r="K356" s="530">
        <f>cbal!E356</f>
        <v>6.3</v>
      </c>
      <c r="L356" s="530">
        <f>cbal!F356</f>
        <v>6.3</v>
      </c>
      <c r="M356" s="530">
        <f>cbal!G356</f>
        <v>6.3</v>
      </c>
      <c r="N356" s="8" t="s">
        <v>5501</v>
      </c>
      <c r="O356" s="131" t="b">
        <f t="shared" si="34"/>
        <v>1</v>
      </c>
    </row>
    <row r="357" spans="1:15">
      <c r="A357" s="8" t="s">
        <v>600</v>
      </c>
      <c r="D357" s="8">
        <v>6</v>
      </c>
      <c r="E357" s="530">
        <f t="shared" si="32"/>
        <v>6</v>
      </c>
      <c r="F357" s="530">
        <f t="shared" si="32"/>
        <v>6</v>
      </c>
      <c r="G357" s="530">
        <f t="shared" si="32"/>
        <v>6</v>
      </c>
      <c r="H357" s="8" t="s">
        <v>3815</v>
      </c>
      <c r="I357" s="131" t="b">
        <f t="shared" si="33"/>
        <v>1</v>
      </c>
      <c r="J357" s="8">
        <v>6</v>
      </c>
      <c r="K357" s="530">
        <f>cbal!E357</f>
        <v>6</v>
      </c>
      <c r="L357" s="530">
        <f>cbal!F357</f>
        <v>6</v>
      </c>
      <c r="M357" s="530">
        <f>cbal!G357</f>
        <v>6</v>
      </c>
      <c r="N357" s="8" t="s">
        <v>5502</v>
      </c>
      <c r="O357" s="131" t="b">
        <f t="shared" si="34"/>
        <v>1</v>
      </c>
    </row>
    <row r="358" spans="1:15">
      <c r="A358" s="8" t="s">
        <v>601</v>
      </c>
      <c r="D358" s="63">
        <v>7</v>
      </c>
      <c r="E358" s="530">
        <f t="shared" si="32"/>
        <v>4.9000000000000004</v>
      </c>
      <c r="F358" s="530">
        <f t="shared" si="32"/>
        <v>4.9000000000000004</v>
      </c>
      <c r="G358" s="530">
        <f t="shared" si="32"/>
        <v>4.9000000000000004</v>
      </c>
      <c r="H358" s="8" t="s">
        <v>3816</v>
      </c>
      <c r="I358" s="131" t="b">
        <f t="shared" si="33"/>
        <v>1</v>
      </c>
      <c r="J358" s="63">
        <v>7</v>
      </c>
      <c r="K358" s="530">
        <f>cbal!E358</f>
        <v>4.9000000000000004</v>
      </c>
      <c r="L358" s="530">
        <f>cbal!F358</f>
        <v>4.9000000000000004</v>
      </c>
      <c r="M358" s="530">
        <f>cbal!G358</f>
        <v>4.9000000000000004</v>
      </c>
      <c r="N358" s="8" t="s">
        <v>5503</v>
      </c>
      <c r="O358" s="131" t="b">
        <f t="shared" si="34"/>
        <v>1</v>
      </c>
    </row>
    <row r="359" spans="1:15">
      <c r="A359" s="8" t="s">
        <v>602</v>
      </c>
      <c r="D359" s="63">
        <v>8</v>
      </c>
      <c r="E359" s="530">
        <f t="shared" si="32"/>
        <v>5.6</v>
      </c>
      <c r="F359" s="530">
        <f t="shared" si="32"/>
        <v>5.6</v>
      </c>
      <c r="G359" s="530">
        <f t="shared" si="32"/>
        <v>5.6</v>
      </c>
      <c r="H359" s="8" t="s">
        <v>3817</v>
      </c>
      <c r="I359" s="131" t="b">
        <f t="shared" si="33"/>
        <v>1</v>
      </c>
      <c r="J359" s="63">
        <v>8</v>
      </c>
      <c r="K359" s="530">
        <f>cbal!E359</f>
        <v>5.6</v>
      </c>
      <c r="L359" s="530">
        <f>cbal!F359</f>
        <v>5.6</v>
      </c>
      <c r="M359" s="530">
        <f>cbal!G359</f>
        <v>5.6</v>
      </c>
      <c r="N359" s="8" t="s">
        <v>5504</v>
      </c>
      <c r="O359" s="131" t="b">
        <f t="shared" si="34"/>
        <v>1</v>
      </c>
    </row>
    <row r="360" spans="1:15">
      <c r="A360" s="8" t="s">
        <v>603</v>
      </c>
      <c r="D360" s="63">
        <v>9</v>
      </c>
      <c r="E360" s="530">
        <f t="shared" si="32"/>
        <v>4.8</v>
      </c>
      <c r="F360" s="530">
        <f t="shared" si="32"/>
        <v>4.8</v>
      </c>
      <c r="G360" s="530">
        <f t="shared" si="32"/>
        <v>4.8</v>
      </c>
      <c r="H360" s="8" t="s">
        <v>3818</v>
      </c>
      <c r="I360" s="131" t="b">
        <f t="shared" si="33"/>
        <v>1</v>
      </c>
      <c r="J360" s="63">
        <v>9</v>
      </c>
      <c r="K360" s="530">
        <f>cbal!E360</f>
        <v>4.8</v>
      </c>
      <c r="L360" s="530">
        <f>cbal!F360</f>
        <v>4.8</v>
      </c>
      <c r="M360" s="530">
        <f>cbal!G360</f>
        <v>4.8</v>
      </c>
      <c r="N360" s="8" t="s">
        <v>5505</v>
      </c>
      <c r="O360" s="131" t="b">
        <f t="shared" si="34"/>
        <v>1</v>
      </c>
    </row>
    <row r="361" spans="1:15">
      <c r="A361" s="8" t="s">
        <v>604</v>
      </c>
      <c r="D361" s="8">
        <v>10</v>
      </c>
      <c r="E361" s="530">
        <f t="shared" si="32"/>
        <v>5.3</v>
      </c>
      <c r="F361" s="530">
        <f t="shared" si="32"/>
        <v>5.3</v>
      </c>
      <c r="G361" s="530">
        <f t="shared" si="32"/>
        <v>5.3</v>
      </c>
      <c r="H361" s="8" t="s">
        <v>3819</v>
      </c>
      <c r="I361" s="131" t="b">
        <f t="shared" si="33"/>
        <v>1</v>
      </c>
      <c r="J361" s="8">
        <v>10</v>
      </c>
      <c r="K361" s="530">
        <f>cbal!E361</f>
        <v>5.3</v>
      </c>
      <c r="L361" s="530">
        <f>cbal!F361</f>
        <v>5.3</v>
      </c>
      <c r="M361" s="530">
        <f>cbal!G361</f>
        <v>5.3</v>
      </c>
      <c r="N361" s="8" t="s">
        <v>5506</v>
      </c>
      <c r="O361" s="131" t="b">
        <f t="shared" si="34"/>
        <v>1</v>
      </c>
    </row>
    <row r="362" spans="1:15">
      <c r="A362" s="8" t="s">
        <v>1497</v>
      </c>
      <c r="D362" s="8">
        <v>11</v>
      </c>
      <c r="E362" s="530">
        <f t="shared" si="32"/>
        <v>6</v>
      </c>
      <c r="F362" s="530">
        <f t="shared" si="32"/>
        <v>6</v>
      </c>
      <c r="G362" s="530">
        <f t="shared" si="32"/>
        <v>6</v>
      </c>
      <c r="H362" s="8" t="s">
        <v>3820</v>
      </c>
      <c r="I362" s="131" t="b">
        <f t="shared" si="33"/>
        <v>1</v>
      </c>
      <c r="J362" s="8">
        <v>11</v>
      </c>
      <c r="K362" s="530">
        <f>cbal!E362</f>
        <v>6</v>
      </c>
      <c r="L362" s="530">
        <f>cbal!F362</f>
        <v>6</v>
      </c>
      <c r="M362" s="530">
        <f>cbal!G362</f>
        <v>6</v>
      </c>
      <c r="N362" s="8" t="s">
        <v>5507</v>
      </c>
      <c r="O362" s="131" t="b">
        <f t="shared" si="34"/>
        <v>1</v>
      </c>
    </row>
    <row r="363" spans="1:15">
      <c r="A363" s="8" t="s">
        <v>1498</v>
      </c>
      <c r="D363" s="63">
        <v>12</v>
      </c>
      <c r="E363" s="530">
        <f t="shared" si="32"/>
        <v>6</v>
      </c>
      <c r="F363" s="530">
        <f t="shared" si="32"/>
        <v>6</v>
      </c>
      <c r="G363" s="530">
        <f t="shared" si="32"/>
        <v>6</v>
      </c>
      <c r="H363" s="8" t="s">
        <v>3821</v>
      </c>
      <c r="I363" s="131" t="b">
        <f t="shared" si="33"/>
        <v>1</v>
      </c>
      <c r="J363" s="63">
        <v>12</v>
      </c>
      <c r="K363" s="530">
        <f>cbal!E363</f>
        <v>6</v>
      </c>
      <c r="L363" s="530">
        <f>cbal!F363</f>
        <v>6</v>
      </c>
      <c r="M363" s="530">
        <f>cbal!G363</f>
        <v>6</v>
      </c>
      <c r="N363" s="8" t="s">
        <v>5508</v>
      </c>
      <c r="O363" s="131" t="b">
        <f t="shared" si="34"/>
        <v>1</v>
      </c>
    </row>
    <row r="364" spans="1:15">
      <c r="I364" s="131" t="b">
        <f t="shared" si="33"/>
        <v>1</v>
      </c>
      <c r="K364" s="159">
        <f>cbal!E364</f>
        <v>0</v>
      </c>
      <c r="L364" s="159">
        <f>cbal!F364</f>
        <v>0</v>
      </c>
      <c r="M364" s="159">
        <f>cbal!G364</f>
        <v>0</v>
      </c>
      <c r="O364" s="131" t="b">
        <f t="shared" si="34"/>
        <v>1</v>
      </c>
    </row>
    <row r="365" spans="1:15">
      <c r="A365" s="8" t="s">
        <v>2008</v>
      </c>
      <c r="I365" s="131" t="b">
        <f t="shared" si="33"/>
        <v>1</v>
      </c>
      <c r="K365" s="159">
        <f>cbal!E365</f>
        <v>0</v>
      </c>
      <c r="L365" s="159">
        <f>cbal!F365</f>
        <v>0</v>
      </c>
      <c r="M365" s="159">
        <f>cbal!G365</f>
        <v>0</v>
      </c>
      <c r="O365" s="131" t="b">
        <f t="shared" si="34"/>
        <v>1</v>
      </c>
    </row>
    <row r="366" spans="1:15">
      <c r="A366" s="8" t="s">
        <v>595</v>
      </c>
      <c r="D366" s="63">
        <v>1</v>
      </c>
      <c r="E366" s="530">
        <f t="shared" ref="E366:E377" si="35">E332*E352</f>
        <v>186.3</v>
      </c>
      <c r="F366" s="530">
        <f t="shared" ref="F366:G366" si="36">F332*F352</f>
        <v>186.3</v>
      </c>
      <c r="G366" s="530">
        <f t="shared" si="36"/>
        <v>186.3</v>
      </c>
      <c r="H366" s="8" t="s">
        <v>2116</v>
      </c>
      <c r="I366" s="131" t="b">
        <f t="shared" si="33"/>
        <v>1</v>
      </c>
      <c r="J366" s="63">
        <v>1</v>
      </c>
      <c r="K366" s="530">
        <f>cbal!E366</f>
        <v>186.3</v>
      </c>
      <c r="L366" s="530">
        <f>cbal!F366</f>
        <v>186.3</v>
      </c>
      <c r="M366" s="530">
        <f>cbal!G366</f>
        <v>186.3</v>
      </c>
      <c r="N366" s="8" t="s">
        <v>5509</v>
      </c>
      <c r="O366" s="131" t="b">
        <f t="shared" si="34"/>
        <v>1</v>
      </c>
    </row>
    <row r="367" spans="1:15">
      <c r="A367" s="8" t="s">
        <v>596</v>
      </c>
      <c r="D367" s="63">
        <v>2</v>
      </c>
      <c r="E367" s="530">
        <f t="shared" si="35"/>
        <v>159.6</v>
      </c>
      <c r="F367" s="530">
        <f t="shared" ref="F367:G377" si="37">F333*F353</f>
        <v>159.6</v>
      </c>
      <c r="G367" s="530">
        <f t="shared" si="37"/>
        <v>159.6</v>
      </c>
      <c r="H367" s="8" t="s">
        <v>2117</v>
      </c>
      <c r="I367" s="131" t="b">
        <f t="shared" si="33"/>
        <v>1</v>
      </c>
      <c r="J367" s="63">
        <v>2</v>
      </c>
      <c r="K367" s="530">
        <f>cbal!E367</f>
        <v>159.6</v>
      </c>
      <c r="L367" s="530">
        <f>cbal!F367</f>
        <v>159.6</v>
      </c>
      <c r="M367" s="530">
        <f>cbal!G367</f>
        <v>159.6</v>
      </c>
      <c r="N367" s="8" t="s">
        <v>5510</v>
      </c>
      <c r="O367" s="131" t="b">
        <f t="shared" si="34"/>
        <v>1</v>
      </c>
    </row>
    <row r="368" spans="1:15">
      <c r="A368" s="8" t="s">
        <v>597</v>
      </c>
      <c r="D368" s="63">
        <v>3</v>
      </c>
      <c r="E368" s="530">
        <f t="shared" si="35"/>
        <v>81.702127659574458</v>
      </c>
      <c r="F368" s="530">
        <f t="shared" si="37"/>
        <v>81.702127659574458</v>
      </c>
      <c r="G368" s="530">
        <f t="shared" si="37"/>
        <v>81.702127659574458</v>
      </c>
      <c r="H368" s="8" t="s">
        <v>2118</v>
      </c>
      <c r="I368" s="131" t="b">
        <f t="shared" si="33"/>
        <v>1</v>
      </c>
      <c r="J368" s="63">
        <v>3</v>
      </c>
      <c r="K368" s="530">
        <f>cbal!E368</f>
        <v>81.702127659574458</v>
      </c>
      <c r="L368" s="530">
        <f>cbal!F368</f>
        <v>81.702127659574458</v>
      </c>
      <c r="M368" s="530">
        <f>cbal!G368</f>
        <v>81.702127659574458</v>
      </c>
      <c r="N368" s="8" t="s">
        <v>5511</v>
      </c>
      <c r="O368" s="131" t="b">
        <f t="shared" si="34"/>
        <v>1</v>
      </c>
    </row>
    <row r="369" spans="1:15">
      <c r="A369" s="8" t="s">
        <v>598</v>
      </c>
      <c r="D369" s="8">
        <v>4</v>
      </c>
      <c r="E369" s="530">
        <f t="shared" si="35"/>
        <v>90.000000000000014</v>
      </c>
      <c r="F369" s="530">
        <f t="shared" si="37"/>
        <v>90.000000000000014</v>
      </c>
      <c r="G369" s="530">
        <f t="shared" si="37"/>
        <v>90.000000000000014</v>
      </c>
      <c r="H369" s="8" t="s">
        <v>2119</v>
      </c>
      <c r="I369" s="131" t="b">
        <f t="shared" si="33"/>
        <v>1</v>
      </c>
      <c r="J369" s="8">
        <v>4</v>
      </c>
      <c r="K369" s="530">
        <f>cbal!E369</f>
        <v>90.000000000000014</v>
      </c>
      <c r="L369" s="530">
        <f>cbal!F369</f>
        <v>90.000000000000014</v>
      </c>
      <c r="M369" s="530">
        <f>cbal!G369</f>
        <v>90.000000000000014</v>
      </c>
      <c r="N369" s="8" t="s">
        <v>5512</v>
      </c>
      <c r="O369" s="131" t="b">
        <f t="shared" si="34"/>
        <v>1</v>
      </c>
    </row>
    <row r="370" spans="1:15">
      <c r="A370" s="8" t="s">
        <v>599</v>
      </c>
      <c r="D370" s="8">
        <v>5</v>
      </c>
      <c r="E370" s="530">
        <f t="shared" si="35"/>
        <v>173.25</v>
      </c>
      <c r="F370" s="530">
        <f t="shared" si="37"/>
        <v>173.25</v>
      </c>
      <c r="G370" s="530">
        <f t="shared" si="37"/>
        <v>173.25</v>
      </c>
      <c r="H370" s="8" t="s">
        <v>2120</v>
      </c>
      <c r="I370" s="131" t="b">
        <f t="shared" si="33"/>
        <v>1</v>
      </c>
      <c r="J370" s="8">
        <v>5</v>
      </c>
      <c r="K370" s="530">
        <f>cbal!E370</f>
        <v>173.25</v>
      </c>
      <c r="L370" s="530">
        <f>cbal!F370</f>
        <v>173.25</v>
      </c>
      <c r="M370" s="530">
        <f>cbal!G370</f>
        <v>173.25</v>
      </c>
      <c r="N370" s="8" t="s">
        <v>5513</v>
      </c>
      <c r="O370" s="131" t="b">
        <f t="shared" si="34"/>
        <v>1</v>
      </c>
    </row>
    <row r="371" spans="1:15">
      <c r="A371" s="8" t="s">
        <v>600</v>
      </c>
      <c r="D371" s="8">
        <v>6</v>
      </c>
      <c r="E371" s="530">
        <f t="shared" si="35"/>
        <v>168</v>
      </c>
      <c r="F371" s="530">
        <f t="shared" si="37"/>
        <v>168</v>
      </c>
      <c r="G371" s="530">
        <f t="shared" si="37"/>
        <v>168</v>
      </c>
      <c r="H371" s="8" t="s">
        <v>2121</v>
      </c>
      <c r="I371" s="131" t="b">
        <f t="shared" si="33"/>
        <v>1</v>
      </c>
      <c r="J371" s="8">
        <v>6</v>
      </c>
      <c r="K371" s="530">
        <f>cbal!E371</f>
        <v>168</v>
      </c>
      <c r="L371" s="530">
        <f>cbal!F371</f>
        <v>168</v>
      </c>
      <c r="M371" s="530">
        <f>cbal!G371</f>
        <v>168</v>
      </c>
      <c r="N371" s="8" t="s">
        <v>5514</v>
      </c>
      <c r="O371" s="131" t="b">
        <f t="shared" si="34"/>
        <v>1</v>
      </c>
    </row>
    <row r="372" spans="1:15">
      <c r="A372" s="8" t="s">
        <v>601</v>
      </c>
      <c r="D372" s="63">
        <v>7</v>
      </c>
      <c r="E372" s="530">
        <f t="shared" si="35"/>
        <v>137.20000000000002</v>
      </c>
      <c r="F372" s="530">
        <f t="shared" si="37"/>
        <v>137.20000000000002</v>
      </c>
      <c r="G372" s="530">
        <f t="shared" si="37"/>
        <v>137.20000000000002</v>
      </c>
      <c r="H372" s="8" t="s">
        <v>2122</v>
      </c>
      <c r="I372" s="131" t="b">
        <f t="shared" si="33"/>
        <v>1</v>
      </c>
      <c r="J372" s="63">
        <v>7</v>
      </c>
      <c r="K372" s="530">
        <f>cbal!E372</f>
        <v>137.20000000000002</v>
      </c>
      <c r="L372" s="530">
        <f>cbal!F372</f>
        <v>137.20000000000002</v>
      </c>
      <c r="M372" s="530">
        <f>cbal!G372</f>
        <v>137.20000000000002</v>
      </c>
      <c r="N372" s="8" t="s">
        <v>5515</v>
      </c>
      <c r="O372" s="131" t="b">
        <f t="shared" si="34"/>
        <v>1</v>
      </c>
    </row>
    <row r="373" spans="1:15">
      <c r="A373" s="8" t="s">
        <v>602</v>
      </c>
      <c r="D373" s="63">
        <v>8</v>
      </c>
      <c r="E373" s="530">
        <f t="shared" si="35"/>
        <v>156.79999999999998</v>
      </c>
      <c r="F373" s="530">
        <f t="shared" si="37"/>
        <v>156.79999999999998</v>
      </c>
      <c r="G373" s="530">
        <f t="shared" si="37"/>
        <v>156.79999999999998</v>
      </c>
      <c r="H373" s="8" t="s">
        <v>2123</v>
      </c>
      <c r="I373" s="131" t="b">
        <f t="shared" si="33"/>
        <v>1</v>
      </c>
      <c r="J373" s="63">
        <v>8</v>
      </c>
      <c r="K373" s="530">
        <f>cbal!E373</f>
        <v>156.79999999999998</v>
      </c>
      <c r="L373" s="530">
        <f>cbal!F373</f>
        <v>156.79999999999998</v>
      </c>
      <c r="M373" s="530">
        <f>cbal!G373</f>
        <v>156.79999999999998</v>
      </c>
      <c r="N373" s="8" t="s">
        <v>5516</v>
      </c>
      <c r="O373" s="131" t="b">
        <f t="shared" si="34"/>
        <v>1</v>
      </c>
    </row>
    <row r="374" spans="1:15">
      <c r="A374" s="8" t="s">
        <v>603</v>
      </c>
      <c r="D374" s="63">
        <v>9</v>
      </c>
      <c r="E374" s="530">
        <f t="shared" si="35"/>
        <v>60</v>
      </c>
      <c r="F374" s="530">
        <f t="shared" si="37"/>
        <v>60</v>
      </c>
      <c r="G374" s="530">
        <f t="shared" si="37"/>
        <v>60</v>
      </c>
      <c r="H374" s="8" t="s">
        <v>2124</v>
      </c>
      <c r="I374" s="131" t="b">
        <f t="shared" si="33"/>
        <v>1</v>
      </c>
      <c r="J374" s="63">
        <v>9</v>
      </c>
      <c r="K374" s="530">
        <f>cbal!E374</f>
        <v>60</v>
      </c>
      <c r="L374" s="530">
        <f>cbal!F374</f>
        <v>60</v>
      </c>
      <c r="M374" s="530">
        <f>cbal!G374</f>
        <v>60</v>
      </c>
      <c r="N374" s="8" t="s">
        <v>5517</v>
      </c>
      <c r="O374" s="131" t="b">
        <f t="shared" si="34"/>
        <v>1</v>
      </c>
    </row>
    <row r="375" spans="1:15">
      <c r="A375" s="8" t="s">
        <v>604</v>
      </c>
      <c r="D375" s="8">
        <v>10</v>
      </c>
      <c r="E375" s="530">
        <f t="shared" si="35"/>
        <v>120.20618556701031</v>
      </c>
      <c r="F375" s="530">
        <f t="shared" si="37"/>
        <v>120.20618556701031</v>
      </c>
      <c r="G375" s="530">
        <f t="shared" si="37"/>
        <v>120.20618556701031</v>
      </c>
      <c r="H375" s="8" t="s">
        <v>2125</v>
      </c>
      <c r="I375" s="131" t="b">
        <f t="shared" si="33"/>
        <v>1</v>
      </c>
      <c r="J375" s="8">
        <v>10</v>
      </c>
      <c r="K375" s="530">
        <f>cbal!E375</f>
        <v>120.20618556701031</v>
      </c>
      <c r="L375" s="530">
        <f>cbal!F375</f>
        <v>120.20618556701031</v>
      </c>
      <c r="M375" s="530">
        <f>cbal!G375</f>
        <v>120.20618556701031</v>
      </c>
      <c r="N375" s="8" t="s">
        <v>5518</v>
      </c>
      <c r="O375" s="131" t="b">
        <f t="shared" si="34"/>
        <v>1</v>
      </c>
    </row>
    <row r="376" spans="1:15">
      <c r="A376" s="8" t="s">
        <v>1497</v>
      </c>
      <c r="D376" s="8">
        <v>11</v>
      </c>
      <c r="E376" s="530">
        <f t="shared" si="35"/>
        <v>0</v>
      </c>
      <c r="F376" s="530">
        <f t="shared" si="37"/>
        <v>0</v>
      </c>
      <c r="G376" s="530">
        <f t="shared" si="37"/>
        <v>0</v>
      </c>
      <c r="H376" s="8" t="s">
        <v>2126</v>
      </c>
      <c r="I376" s="131" t="b">
        <f t="shared" si="33"/>
        <v>1</v>
      </c>
      <c r="J376" s="8">
        <v>11</v>
      </c>
      <c r="K376" s="530">
        <f>cbal!E376</f>
        <v>0</v>
      </c>
      <c r="L376" s="530">
        <f>cbal!F376</f>
        <v>0</v>
      </c>
      <c r="M376" s="530">
        <f>cbal!G376</f>
        <v>0</v>
      </c>
      <c r="N376" s="8" t="s">
        <v>5519</v>
      </c>
      <c r="O376" s="131" t="b">
        <f t="shared" si="34"/>
        <v>1</v>
      </c>
    </row>
    <row r="377" spans="1:15">
      <c r="A377" s="8" t="s">
        <v>1498</v>
      </c>
      <c r="D377" s="63">
        <v>12</v>
      </c>
      <c r="E377" s="530">
        <f t="shared" si="35"/>
        <v>0</v>
      </c>
      <c r="F377" s="530">
        <f t="shared" si="37"/>
        <v>0</v>
      </c>
      <c r="G377" s="530">
        <f t="shared" si="37"/>
        <v>0</v>
      </c>
      <c r="H377" s="8" t="s">
        <v>2127</v>
      </c>
      <c r="I377" s="131" t="b">
        <f t="shared" si="33"/>
        <v>1</v>
      </c>
      <c r="J377" s="63">
        <v>12</v>
      </c>
      <c r="K377" s="530">
        <f>cbal!E377</f>
        <v>0</v>
      </c>
      <c r="L377" s="530">
        <f>cbal!F377</f>
        <v>0</v>
      </c>
      <c r="M377" s="530">
        <f>cbal!G377</f>
        <v>0</v>
      </c>
      <c r="N377" s="8" t="s">
        <v>5520</v>
      </c>
      <c r="O377" s="131" t="b">
        <f t="shared" si="34"/>
        <v>1</v>
      </c>
    </row>
    <row r="378" spans="1:15">
      <c r="I378" s="131" t="b">
        <f t="shared" si="33"/>
        <v>1</v>
      </c>
      <c r="K378" s="159">
        <f>cbal!E378</f>
        <v>0</v>
      </c>
      <c r="L378" s="159">
        <f>cbal!F378</f>
        <v>0</v>
      </c>
      <c r="M378" s="159">
        <f>cbal!G378</f>
        <v>0</v>
      </c>
      <c r="O378" s="131" t="b">
        <f t="shared" si="34"/>
        <v>1</v>
      </c>
    </row>
    <row r="379" spans="1:15">
      <c r="A379" s="8" t="s">
        <v>1602</v>
      </c>
      <c r="E379" s="440"/>
      <c r="I379" s="131" t="b">
        <f t="shared" si="33"/>
        <v>1</v>
      </c>
      <c r="K379" s="159">
        <f>cbal!E379</f>
        <v>0</v>
      </c>
      <c r="L379" s="159">
        <f>cbal!F379</f>
        <v>0</v>
      </c>
      <c r="M379" s="159">
        <f>cbal!G379</f>
        <v>0</v>
      </c>
      <c r="O379" s="131" t="b">
        <f t="shared" si="34"/>
        <v>1</v>
      </c>
    </row>
    <row r="380" spans="1:15">
      <c r="A380" s="8" t="s">
        <v>595</v>
      </c>
      <c r="D380" s="63">
        <v>1</v>
      </c>
      <c r="E380" s="457">
        <f t="shared" ref="E380:G389" si="38">VLOOKUP($D380,dataTableCC2Staff,7,FALSE)</f>
        <v>0.17500000000000002</v>
      </c>
      <c r="F380" s="457">
        <f t="shared" si="38"/>
        <v>0.17500000000000002</v>
      </c>
      <c r="G380" s="457">
        <f t="shared" si="38"/>
        <v>0.17500000000000002</v>
      </c>
      <c r="H380" s="8" t="s">
        <v>2128</v>
      </c>
      <c r="I380" s="131" t="b">
        <f t="shared" si="33"/>
        <v>1</v>
      </c>
      <c r="J380" s="63">
        <v>1</v>
      </c>
      <c r="K380" s="457">
        <f>cbal!E380</f>
        <v>0.17500000000000002</v>
      </c>
      <c r="L380" s="457">
        <f>cbal!F380</f>
        <v>0.17500000000000002</v>
      </c>
      <c r="M380" s="457">
        <f>cbal!G380</f>
        <v>0.17500000000000002</v>
      </c>
      <c r="N380" s="8" t="s">
        <v>5521</v>
      </c>
      <c r="O380" s="131" t="b">
        <f t="shared" si="34"/>
        <v>1</v>
      </c>
    </row>
    <row r="381" spans="1:15">
      <c r="A381" s="8" t="s">
        <v>596</v>
      </c>
      <c r="D381" s="63">
        <v>2</v>
      </c>
      <c r="E381" s="457">
        <f t="shared" si="38"/>
        <v>0.15</v>
      </c>
      <c r="F381" s="457">
        <f t="shared" si="38"/>
        <v>0.15</v>
      </c>
      <c r="G381" s="457">
        <f t="shared" si="38"/>
        <v>0.15</v>
      </c>
      <c r="H381" s="8" t="s">
        <v>2129</v>
      </c>
      <c r="I381" s="131" t="b">
        <f t="shared" si="33"/>
        <v>1</v>
      </c>
      <c r="J381" s="63">
        <v>2</v>
      </c>
      <c r="K381" s="457">
        <f>cbal!E381</f>
        <v>0.15</v>
      </c>
      <c r="L381" s="457">
        <f>cbal!F381</f>
        <v>0.15</v>
      </c>
      <c r="M381" s="457">
        <f>cbal!G381</f>
        <v>0.15</v>
      </c>
      <c r="N381" s="8" t="s">
        <v>5522</v>
      </c>
      <c r="O381" s="131" t="b">
        <f t="shared" si="34"/>
        <v>1</v>
      </c>
    </row>
    <row r="382" spans="1:15">
      <c r="A382" s="8" t="s">
        <v>597</v>
      </c>
      <c r="D382" s="63">
        <v>3</v>
      </c>
      <c r="E382" s="457">
        <f t="shared" si="38"/>
        <v>7.4999999999999997E-2</v>
      </c>
      <c r="F382" s="457">
        <f t="shared" si="38"/>
        <v>7.4999999999999997E-2</v>
      </c>
      <c r="G382" s="457">
        <f t="shared" si="38"/>
        <v>7.4999999999999997E-2</v>
      </c>
      <c r="H382" s="8" t="s">
        <v>2130</v>
      </c>
      <c r="I382" s="131" t="b">
        <f t="shared" si="33"/>
        <v>1</v>
      </c>
      <c r="J382" s="63">
        <v>3</v>
      </c>
      <c r="K382" s="457">
        <f>cbal!E382</f>
        <v>7.4999999999999997E-2</v>
      </c>
      <c r="L382" s="457">
        <f>cbal!F382</f>
        <v>7.4999999999999997E-2</v>
      </c>
      <c r="M382" s="457">
        <f>cbal!G382</f>
        <v>7.4999999999999997E-2</v>
      </c>
      <c r="N382" s="8" t="s">
        <v>5523</v>
      </c>
      <c r="O382" s="131" t="b">
        <f t="shared" si="34"/>
        <v>1</v>
      </c>
    </row>
    <row r="383" spans="1:15">
      <c r="A383" s="8" t="s">
        <v>598</v>
      </c>
      <c r="D383" s="8">
        <v>4</v>
      </c>
      <c r="E383" s="457">
        <f t="shared" si="38"/>
        <v>0.05</v>
      </c>
      <c r="F383" s="457">
        <f t="shared" si="38"/>
        <v>0.05</v>
      </c>
      <c r="G383" s="457">
        <f t="shared" si="38"/>
        <v>0.05</v>
      </c>
      <c r="H383" s="8" t="s">
        <v>2131</v>
      </c>
      <c r="I383" s="131" t="b">
        <f t="shared" si="33"/>
        <v>1</v>
      </c>
      <c r="J383" s="8">
        <v>4</v>
      </c>
      <c r="K383" s="457">
        <f>cbal!E383</f>
        <v>0.05</v>
      </c>
      <c r="L383" s="457">
        <f>cbal!F383</f>
        <v>0.05</v>
      </c>
      <c r="M383" s="457">
        <f>cbal!G383</f>
        <v>0.05</v>
      </c>
      <c r="N383" s="8" t="s">
        <v>5524</v>
      </c>
      <c r="O383" s="131" t="b">
        <f t="shared" si="34"/>
        <v>1</v>
      </c>
    </row>
    <row r="384" spans="1:15">
      <c r="A384" s="8" t="s">
        <v>599</v>
      </c>
      <c r="D384" s="8">
        <v>5</v>
      </c>
      <c r="E384" s="457">
        <f t="shared" si="38"/>
        <v>0.125</v>
      </c>
      <c r="F384" s="457">
        <f t="shared" si="38"/>
        <v>0.125</v>
      </c>
      <c r="G384" s="457">
        <f t="shared" si="38"/>
        <v>0.125</v>
      </c>
      <c r="H384" s="8" t="s">
        <v>2132</v>
      </c>
      <c r="I384" s="131" t="b">
        <f t="shared" si="33"/>
        <v>1</v>
      </c>
      <c r="J384" s="8">
        <v>5</v>
      </c>
      <c r="K384" s="457">
        <f>cbal!E384</f>
        <v>0.125</v>
      </c>
      <c r="L384" s="457">
        <f>cbal!F384</f>
        <v>0.125</v>
      </c>
      <c r="M384" s="457">
        <f>cbal!G384</f>
        <v>0.125</v>
      </c>
      <c r="N384" s="8" t="s">
        <v>5525</v>
      </c>
      <c r="O384" s="131" t="b">
        <f t="shared" si="34"/>
        <v>1</v>
      </c>
    </row>
    <row r="385" spans="1:15">
      <c r="A385" s="8" t="s">
        <v>600</v>
      </c>
      <c r="D385" s="8">
        <v>6</v>
      </c>
      <c r="E385" s="457">
        <f t="shared" si="38"/>
        <v>0.1875</v>
      </c>
      <c r="F385" s="457">
        <f t="shared" si="38"/>
        <v>0.1875</v>
      </c>
      <c r="G385" s="457">
        <f t="shared" si="38"/>
        <v>0.1875</v>
      </c>
      <c r="H385" s="8" t="s">
        <v>2133</v>
      </c>
      <c r="I385" s="131" t="b">
        <f t="shared" si="33"/>
        <v>1</v>
      </c>
      <c r="J385" s="8">
        <v>6</v>
      </c>
      <c r="K385" s="457">
        <f>cbal!E385</f>
        <v>0.1875</v>
      </c>
      <c r="L385" s="457">
        <f>cbal!F385</f>
        <v>0.1875</v>
      </c>
      <c r="M385" s="457">
        <f>cbal!G385</f>
        <v>0.1875</v>
      </c>
      <c r="N385" s="8" t="s">
        <v>5526</v>
      </c>
      <c r="O385" s="131" t="b">
        <f t="shared" si="34"/>
        <v>1</v>
      </c>
    </row>
    <row r="386" spans="1:15">
      <c r="A386" s="8" t="s">
        <v>601</v>
      </c>
      <c r="D386" s="63">
        <v>7</v>
      </c>
      <c r="E386" s="457">
        <f t="shared" si="38"/>
        <v>0.18</v>
      </c>
      <c r="F386" s="457">
        <f t="shared" si="38"/>
        <v>0.18</v>
      </c>
      <c r="G386" s="457">
        <f t="shared" si="38"/>
        <v>0.18</v>
      </c>
      <c r="H386" s="8" t="s">
        <v>2134</v>
      </c>
      <c r="I386" s="131" t="b">
        <f t="shared" si="33"/>
        <v>1</v>
      </c>
      <c r="J386" s="63">
        <v>7</v>
      </c>
      <c r="K386" s="457">
        <f>cbal!E386</f>
        <v>0.18</v>
      </c>
      <c r="L386" s="457">
        <f>cbal!F386</f>
        <v>0.18</v>
      </c>
      <c r="M386" s="457">
        <f>cbal!G386</f>
        <v>0.18</v>
      </c>
      <c r="N386" s="8" t="s">
        <v>5527</v>
      </c>
      <c r="O386" s="131" t="b">
        <f t="shared" si="34"/>
        <v>1</v>
      </c>
    </row>
    <row r="387" spans="1:15">
      <c r="A387" s="8" t="s">
        <v>602</v>
      </c>
      <c r="D387" s="63">
        <v>8</v>
      </c>
      <c r="E387" s="457">
        <f t="shared" si="38"/>
        <v>0.125</v>
      </c>
      <c r="F387" s="457">
        <f t="shared" si="38"/>
        <v>0.125</v>
      </c>
      <c r="G387" s="457">
        <f t="shared" si="38"/>
        <v>0.125</v>
      </c>
      <c r="H387" s="8" t="s">
        <v>2135</v>
      </c>
      <c r="I387" s="131" t="b">
        <f t="shared" si="33"/>
        <v>1</v>
      </c>
      <c r="J387" s="63">
        <v>8</v>
      </c>
      <c r="K387" s="457">
        <f>cbal!E387</f>
        <v>0.125</v>
      </c>
      <c r="L387" s="457">
        <f>cbal!F387</f>
        <v>0.125</v>
      </c>
      <c r="M387" s="457">
        <f>cbal!G387</f>
        <v>0.125</v>
      </c>
      <c r="N387" s="8" t="s">
        <v>5528</v>
      </c>
      <c r="O387" s="131" t="b">
        <f t="shared" si="34"/>
        <v>1</v>
      </c>
    </row>
    <row r="388" spans="1:15">
      <c r="A388" s="8" t="s">
        <v>603</v>
      </c>
      <c r="D388" s="63">
        <v>9</v>
      </c>
      <c r="E388" s="457">
        <f t="shared" si="38"/>
        <v>0.05</v>
      </c>
      <c r="F388" s="457">
        <f t="shared" si="38"/>
        <v>0.05</v>
      </c>
      <c r="G388" s="457">
        <f t="shared" si="38"/>
        <v>0.05</v>
      </c>
      <c r="H388" s="8" t="s">
        <v>2136</v>
      </c>
      <c r="I388" s="131" t="b">
        <f t="shared" si="33"/>
        <v>1</v>
      </c>
      <c r="J388" s="63">
        <v>9</v>
      </c>
      <c r="K388" s="457">
        <f>cbal!E388</f>
        <v>0.05</v>
      </c>
      <c r="L388" s="457">
        <f>cbal!F388</f>
        <v>0.05</v>
      </c>
      <c r="M388" s="457">
        <f>cbal!G388</f>
        <v>0.05</v>
      </c>
      <c r="N388" s="8" t="s">
        <v>5529</v>
      </c>
      <c r="O388" s="131" t="b">
        <f t="shared" si="34"/>
        <v>1</v>
      </c>
    </row>
    <row r="389" spans="1:15">
      <c r="A389" s="8" t="s">
        <v>604</v>
      </c>
      <c r="D389" s="8">
        <v>10</v>
      </c>
      <c r="E389" s="457">
        <f t="shared" si="38"/>
        <v>3.7499999999999999E-2</v>
      </c>
      <c r="F389" s="457">
        <f t="shared" si="38"/>
        <v>3.7499999999999999E-2</v>
      </c>
      <c r="G389" s="457">
        <f t="shared" si="38"/>
        <v>3.7499999999999999E-2</v>
      </c>
      <c r="H389" s="8" t="s">
        <v>2137</v>
      </c>
      <c r="I389" s="131" t="b">
        <f t="shared" si="33"/>
        <v>1</v>
      </c>
      <c r="J389" s="8">
        <v>10</v>
      </c>
      <c r="K389" s="457">
        <f>cbal!E389</f>
        <v>3.7499999999999999E-2</v>
      </c>
      <c r="L389" s="457">
        <f>cbal!F389</f>
        <v>3.7499999999999999E-2</v>
      </c>
      <c r="M389" s="457">
        <f>cbal!G389</f>
        <v>3.7499999999999999E-2</v>
      </c>
      <c r="N389" s="8" t="s">
        <v>5530</v>
      </c>
      <c r="O389" s="131" t="b">
        <f t="shared" si="34"/>
        <v>1</v>
      </c>
    </row>
    <row r="390" spans="1:15">
      <c r="A390" s="8" t="s">
        <v>1497</v>
      </c>
      <c r="D390" s="8">
        <v>11</v>
      </c>
      <c r="E390" s="457"/>
      <c r="F390" s="457"/>
      <c r="G390" s="457"/>
      <c r="H390" s="8" t="s">
        <v>2138</v>
      </c>
      <c r="I390" s="131" t="b">
        <f t="shared" si="33"/>
        <v>1</v>
      </c>
      <c r="J390" s="8">
        <v>11</v>
      </c>
      <c r="K390" s="457">
        <f>cbal!E390</f>
        <v>0</v>
      </c>
      <c r="L390" s="457">
        <f>cbal!F390</f>
        <v>0</v>
      </c>
      <c r="M390" s="457">
        <f>cbal!G390</f>
        <v>0</v>
      </c>
      <c r="N390" s="8" t="s">
        <v>5531</v>
      </c>
      <c r="O390" s="131" t="b">
        <f t="shared" si="34"/>
        <v>1</v>
      </c>
    </row>
    <row r="391" spans="1:15">
      <c r="A391" s="8" t="s">
        <v>1498</v>
      </c>
      <c r="D391" s="63">
        <v>12</v>
      </c>
      <c r="E391" s="457"/>
      <c r="F391" s="457"/>
      <c r="G391" s="457"/>
      <c r="H391" s="8" t="s">
        <v>2139</v>
      </c>
      <c r="I391" s="131" t="b">
        <f t="shared" si="33"/>
        <v>1</v>
      </c>
      <c r="J391" s="63">
        <v>12</v>
      </c>
      <c r="K391" s="457">
        <f>cbal!E391</f>
        <v>0</v>
      </c>
      <c r="L391" s="457">
        <f>cbal!F391</f>
        <v>0</v>
      </c>
      <c r="M391" s="457">
        <f>cbal!G391</f>
        <v>0</v>
      </c>
      <c r="N391" s="8" t="s">
        <v>5532</v>
      </c>
      <c r="O391" s="131" t="b">
        <f t="shared" si="34"/>
        <v>1</v>
      </c>
    </row>
    <row r="392" spans="1:15">
      <c r="A392" s="8" t="s">
        <v>3998</v>
      </c>
      <c r="D392" s="63">
        <v>19</v>
      </c>
      <c r="E392" s="457">
        <f t="shared" ref="E392:G395" si="39">VLOOKUP($D392,dataTableCC2Staff,7,FALSE)</f>
        <v>6.25E-2</v>
      </c>
      <c r="F392" s="457">
        <f t="shared" si="39"/>
        <v>6.25E-2</v>
      </c>
      <c r="G392" s="457">
        <f t="shared" si="39"/>
        <v>6.25E-2</v>
      </c>
      <c r="H392" s="8" t="s">
        <v>4091</v>
      </c>
      <c r="I392" s="131" t="b">
        <f t="shared" si="33"/>
        <v>1</v>
      </c>
      <c r="J392" s="63">
        <v>19</v>
      </c>
      <c r="K392" s="457">
        <f>cbal!E392</f>
        <v>6.25E-2</v>
      </c>
      <c r="L392" s="457">
        <f>cbal!F392</f>
        <v>6.25E-2</v>
      </c>
      <c r="M392" s="457">
        <f>cbal!G392</f>
        <v>6.25E-2</v>
      </c>
      <c r="N392" s="8" t="s">
        <v>5533</v>
      </c>
      <c r="O392" s="131" t="b">
        <f t="shared" si="34"/>
        <v>1</v>
      </c>
    </row>
    <row r="393" spans="1:15">
      <c r="A393" s="8" t="s">
        <v>3999</v>
      </c>
      <c r="D393" s="63">
        <v>20</v>
      </c>
      <c r="E393" s="457">
        <f t="shared" si="39"/>
        <v>6.25E-2</v>
      </c>
      <c r="F393" s="457">
        <f t="shared" si="39"/>
        <v>6.25E-2</v>
      </c>
      <c r="G393" s="457">
        <f t="shared" si="39"/>
        <v>6.25E-2</v>
      </c>
      <c r="H393" s="8" t="s">
        <v>4092</v>
      </c>
      <c r="I393" s="131" t="b">
        <f t="shared" si="33"/>
        <v>1</v>
      </c>
      <c r="J393" s="63">
        <v>20</v>
      </c>
      <c r="K393" s="457">
        <f>cbal!E393</f>
        <v>6.25E-2</v>
      </c>
      <c r="L393" s="457">
        <f>cbal!F393</f>
        <v>6.25E-2</v>
      </c>
      <c r="M393" s="457">
        <f>cbal!G393</f>
        <v>6.25E-2</v>
      </c>
      <c r="N393" s="8" t="s">
        <v>5534</v>
      </c>
      <c r="O393" s="131" t="b">
        <f t="shared" si="34"/>
        <v>1</v>
      </c>
    </row>
    <row r="394" spans="1:15">
      <c r="A394" s="8" t="s">
        <v>4000</v>
      </c>
      <c r="D394" s="63">
        <v>21</v>
      </c>
      <c r="E394" s="457">
        <f t="shared" si="39"/>
        <v>6.25E-2</v>
      </c>
      <c r="F394" s="457">
        <f t="shared" si="39"/>
        <v>6.25E-2</v>
      </c>
      <c r="G394" s="457">
        <f t="shared" si="39"/>
        <v>6.25E-2</v>
      </c>
      <c r="H394" s="8" t="s">
        <v>4093</v>
      </c>
      <c r="I394" s="131" t="b">
        <f t="shared" si="33"/>
        <v>1</v>
      </c>
      <c r="J394" s="63">
        <v>21</v>
      </c>
      <c r="K394" s="457">
        <f>cbal!E394</f>
        <v>6.25E-2</v>
      </c>
      <c r="L394" s="457">
        <f>cbal!F394</f>
        <v>6.25E-2</v>
      </c>
      <c r="M394" s="457">
        <f>cbal!G394</f>
        <v>6.25E-2</v>
      </c>
      <c r="N394" s="8" t="s">
        <v>5535</v>
      </c>
      <c r="O394" s="131" t="b">
        <f t="shared" si="34"/>
        <v>1</v>
      </c>
    </row>
    <row r="395" spans="1:15">
      <c r="A395" s="8" t="s">
        <v>4001</v>
      </c>
      <c r="D395" s="63">
        <v>22</v>
      </c>
      <c r="E395" s="457">
        <f t="shared" si="39"/>
        <v>6.25E-2</v>
      </c>
      <c r="F395" s="457">
        <f t="shared" si="39"/>
        <v>6.25E-2</v>
      </c>
      <c r="G395" s="457">
        <f t="shared" si="39"/>
        <v>6.25E-2</v>
      </c>
      <c r="H395" s="8" t="s">
        <v>4094</v>
      </c>
      <c r="I395" s="131" t="b">
        <f t="shared" si="33"/>
        <v>1</v>
      </c>
      <c r="J395" s="63">
        <v>22</v>
      </c>
      <c r="K395" s="457">
        <f>cbal!E395</f>
        <v>6.25E-2</v>
      </c>
      <c r="L395" s="457">
        <f>cbal!F395</f>
        <v>6.25E-2</v>
      </c>
      <c r="M395" s="457">
        <f>cbal!G395</f>
        <v>6.25E-2</v>
      </c>
      <c r="N395" s="8" t="s">
        <v>5536</v>
      </c>
      <c r="O395" s="131" t="b">
        <f t="shared" si="34"/>
        <v>1</v>
      </c>
    </row>
    <row r="396" spans="1:15">
      <c r="A396" s="8" t="s">
        <v>5091</v>
      </c>
      <c r="E396" s="457">
        <v>8.6999999999999994E-2</v>
      </c>
      <c r="F396" s="457">
        <v>8.6999999999999994E-2</v>
      </c>
      <c r="G396" s="457">
        <v>8.6999999999999994E-2</v>
      </c>
      <c r="H396" s="641" t="s">
        <v>5095</v>
      </c>
      <c r="I396" s="131" t="b">
        <f t="shared" si="33"/>
        <v>1</v>
      </c>
      <c r="K396" s="457">
        <f>cbal!E396</f>
        <v>0.11550000000000001</v>
      </c>
      <c r="L396" s="457">
        <f>cbal!F396</f>
        <v>0.11550000000000001</v>
      </c>
      <c r="M396" s="457">
        <f>cbal!G396</f>
        <v>0.11550000000000001</v>
      </c>
      <c r="N396" s="641" t="s">
        <v>5537</v>
      </c>
      <c r="O396" s="131" t="b">
        <f t="shared" si="34"/>
        <v>1</v>
      </c>
    </row>
    <row r="397" spans="1:15">
      <c r="I397" s="131" t="b">
        <f t="shared" si="33"/>
        <v>1</v>
      </c>
      <c r="K397" s="159">
        <f>cbal!E397</f>
        <v>0</v>
      </c>
      <c r="L397" s="159">
        <f>cbal!F397</f>
        <v>0</v>
      </c>
      <c r="M397" s="159">
        <f>cbal!G397</f>
        <v>0</v>
      </c>
      <c r="O397" s="131" t="b">
        <f t="shared" si="34"/>
        <v>1</v>
      </c>
    </row>
    <row r="398" spans="1:15">
      <c r="A398" s="8" t="s">
        <v>2033</v>
      </c>
      <c r="I398" s="131" t="b">
        <f t="shared" si="33"/>
        <v>1</v>
      </c>
      <c r="K398" s="159">
        <f>cbal!E398</f>
        <v>0</v>
      </c>
      <c r="L398" s="159">
        <f>cbal!F398</f>
        <v>0</v>
      </c>
      <c r="M398" s="159">
        <f>cbal!G398</f>
        <v>0</v>
      </c>
      <c r="O398" s="131" t="b">
        <f t="shared" si="34"/>
        <v>1</v>
      </c>
    </row>
    <row r="399" spans="1:15">
      <c r="A399" s="8" t="s">
        <v>595</v>
      </c>
      <c r="D399" s="63">
        <v>1</v>
      </c>
      <c r="E399" s="473">
        <f t="shared" ref="E399:G408" si="40">VLOOKUP($D399,dataTableCC2Staff,8,FALSE)</f>
        <v>4</v>
      </c>
      <c r="F399" s="473">
        <f t="shared" si="40"/>
        <v>4</v>
      </c>
      <c r="G399" s="473">
        <f t="shared" si="40"/>
        <v>4</v>
      </c>
      <c r="H399" s="8" t="s">
        <v>2140</v>
      </c>
      <c r="I399" s="131" t="b">
        <f t="shared" si="33"/>
        <v>1</v>
      </c>
      <c r="J399" s="63">
        <v>1</v>
      </c>
      <c r="K399" s="473">
        <f>cbal!E399</f>
        <v>4</v>
      </c>
      <c r="L399" s="473">
        <f>cbal!F399</f>
        <v>4</v>
      </c>
      <c r="M399" s="473">
        <f>cbal!G399</f>
        <v>4</v>
      </c>
      <c r="N399" s="8" t="s">
        <v>5538</v>
      </c>
      <c r="O399" s="131" t="b">
        <f t="shared" si="34"/>
        <v>1</v>
      </c>
    </row>
    <row r="400" spans="1:15">
      <c r="A400" s="8" t="s">
        <v>596</v>
      </c>
      <c r="D400" s="63">
        <v>2</v>
      </c>
      <c r="E400" s="473">
        <f t="shared" si="40"/>
        <v>1</v>
      </c>
      <c r="F400" s="473">
        <f t="shared" si="40"/>
        <v>1</v>
      </c>
      <c r="G400" s="473">
        <f t="shared" si="40"/>
        <v>1</v>
      </c>
      <c r="H400" s="8" t="s">
        <v>2141</v>
      </c>
      <c r="I400" s="131" t="b">
        <f t="shared" si="33"/>
        <v>1</v>
      </c>
      <c r="J400" s="63">
        <v>2</v>
      </c>
      <c r="K400" s="473">
        <f>cbal!E400</f>
        <v>1</v>
      </c>
      <c r="L400" s="473">
        <f>cbal!F400</f>
        <v>1</v>
      </c>
      <c r="M400" s="473">
        <f>cbal!G400</f>
        <v>1</v>
      </c>
      <c r="N400" s="8" t="s">
        <v>5539</v>
      </c>
      <c r="O400" s="131" t="b">
        <f t="shared" si="34"/>
        <v>1</v>
      </c>
    </row>
    <row r="401" spans="1:15">
      <c r="A401" s="8" t="s">
        <v>597</v>
      </c>
      <c r="D401" s="63">
        <v>3</v>
      </c>
      <c r="E401" s="473">
        <f t="shared" si="40"/>
        <v>3</v>
      </c>
      <c r="F401" s="473">
        <f t="shared" si="40"/>
        <v>3</v>
      </c>
      <c r="G401" s="473">
        <f t="shared" si="40"/>
        <v>3</v>
      </c>
      <c r="H401" s="8" t="s">
        <v>2142</v>
      </c>
      <c r="I401" s="131" t="b">
        <f t="shared" si="33"/>
        <v>1</v>
      </c>
      <c r="J401" s="63">
        <v>3</v>
      </c>
      <c r="K401" s="473">
        <f>cbal!E401</f>
        <v>3</v>
      </c>
      <c r="L401" s="473">
        <f>cbal!F401</f>
        <v>3</v>
      </c>
      <c r="M401" s="473">
        <f>cbal!G401</f>
        <v>3</v>
      </c>
      <c r="N401" s="8" t="s">
        <v>5540</v>
      </c>
      <c r="O401" s="131" t="b">
        <f t="shared" si="34"/>
        <v>1</v>
      </c>
    </row>
    <row r="402" spans="1:15">
      <c r="A402" s="8" t="s">
        <v>598</v>
      </c>
      <c r="D402" s="8">
        <v>4</v>
      </c>
      <c r="E402" s="473">
        <f t="shared" si="40"/>
        <v>2</v>
      </c>
      <c r="F402" s="473">
        <f t="shared" si="40"/>
        <v>2</v>
      </c>
      <c r="G402" s="473">
        <f t="shared" si="40"/>
        <v>2</v>
      </c>
      <c r="H402" s="8" t="s">
        <v>2143</v>
      </c>
      <c r="I402" s="131" t="b">
        <f t="shared" si="33"/>
        <v>1</v>
      </c>
      <c r="J402" s="8">
        <v>4</v>
      </c>
      <c r="K402" s="473">
        <f>cbal!E402</f>
        <v>2</v>
      </c>
      <c r="L402" s="473">
        <f>cbal!F402</f>
        <v>2</v>
      </c>
      <c r="M402" s="473">
        <f>cbal!G402</f>
        <v>2</v>
      </c>
      <c r="N402" s="8" t="s">
        <v>5541</v>
      </c>
      <c r="O402" s="131" t="b">
        <f t="shared" si="34"/>
        <v>1</v>
      </c>
    </row>
    <row r="403" spans="1:15">
      <c r="A403" s="8" t="s">
        <v>599</v>
      </c>
      <c r="D403" s="8">
        <v>5</v>
      </c>
      <c r="E403" s="473">
        <f t="shared" si="40"/>
        <v>2</v>
      </c>
      <c r="F403" s="473">
        <f t="shared" si="40"/>
        <v>2</v>
      </c>
      <c r="G403" s="473">
        <f t="shared" si="40"/>
        <v>2</v>
      </c>
      <c r="H403" s="8" t="s">
        <v>2144</v>
      </c>
      <c r="I403" s="131" t="b">
        <f t="shared" si="33"/>
        <v>1</v>
      </c>
      <c r="J403" s="8">
        <v>5</v>
      </c>
      <c r="K403" s="473">
        <f>cbal!E403</f>
        <v>2</v>
      </c>
      <c r="L403" s="473">
        <f>cbal!F403</f>
        <v>2</v>
      </c>
      <c r="M403" s="473">
        <f>cbal!G403</f>
        <v>2</v>
      </c>
      <c r="N403" s="8" t="s">
        <v>5542</v>
      </c>
      <c r="O403" s="131" t="b">
        <f t="shared" si="34"/>
        <v>1</v>
      </c>
    </row>
    <row r="404" spans="1:15">
      <c r="A404" s="8" t="s">
        <v>600</v>
      </c>
      <c r="D404" s="8">
        <v>6</v>
      </c>
      <c r="E404" s="473">
        <f t="shared" si="40"/>
        <v>3</v>
      </c>
      <c r="F404" s="473">
        <f t="shared" si="40"/>
        <v>3</v>
      </c>
      <c r="G404" s="473">
        <f t="shared" si="40"/>
        <v>3</v>
      </c>
      <c r="H404" s="8" t="s">
        <v>2145</v>
      </c>
      <c r="I404" s="131" t="b">
        <f t="shared" si="33"/>
        <v>1</v>
      </c>
      <c r="J404" s="8">
        <v>6</v>
      </c>
      <c r="K404" s="473">
        <f>cbal!E404</f>
        <v>3</v>
      </c>
      <c r="L404" s="473">
        <f>cbal!F404</f>
        <v>3</v>
      </c>
      <c r="M404" s="473">
        <f>cbal!G404</f>
        <v>3</v>
      </c>
      <c r="N404" s="8" t="s">
        <v>5543</v>
      </c>
      <c r="O404" s="131" t="b">
        <f t="shared" si="34"/>
        <v>1</v>
      </c>
    </row>
    <row r="405" spans="1:15">
      <c r="A405" s="8" t="s">
        <v>601</v>
      </c>
      <c r="D405" s="63">
        <v>7</v>
      </c>
      <c r="E405" s="473">
        <f t="shared" si="40"/>
        <v>2</v>
      </c>
      <c r="F405" s="473">
        <f t="shared" si="40"/>
        <v>2</v>
      </c>
      <c r="G405" s="473">
        <f t="shared" si="40"/>
        <v>2</v>
      </c>
      <c r="H405" s="8" t="s">
        <v>2146</v>
      </c>
      <c r="I405" s="131" t="b">
        <f t="shared" si="33"/>
        <v>1</v>
      </c>
      <c r="J405" s="63">
        <v>7</v>
      </c>
      <c r="K405" s="473">
        <f>cbal!E405</f>
        <v>2</v>
      </c>
      <c r="L405" s="473">
        <f>cbal!F405</f>
        <v>2</v>
      </c>
      <c r="M405" s="473">
        <f>cbal!G405</f>
        <v>2</v>
      </c>
      <c r="N405" s="8" t="s">
        <v>5544</v>
      </c>
      <c r="O405" s="131" t="b">
        <f t="shared" si="34"/>
        <v>1</v>
      </c>
    </row>
    <row r="406" spans="1:15">
      <c r="A406" s="8" t="s">
        <v>602</v>
      </c>
      <c r="D406" s="63">
        <v>8</v>
      </c>
      <c r="E406" s="473">
        <f t="shared" si="40"/>
        <v>3</v>
      </c>
      <c r="F406" s="473">
        <f t="shared" si="40"/>
        <v>3</v>
      </c>
      <c r="G406" s="473">
        <f t="shared" si="40"/>
        <v>3</v>
      </c>
      <c r="H406" s="8" t="s">
        <v>2147</v>
      </c>
      <c r="I406" s="131" t="b">
        <f t="shared" si="33"/>
        <v>1</v>
      </c>
      <c r="J406" s="63">
        <v>8</v>
      </c>
      <c r="K406" s="473">
        <f>cbal!E406</f>
        <v>3</v>
      </c>
      <c r="L406" s="473">
        <f>cbal!F406</f>
        <v>3</v>
      </c>
      <c r="M406" s="473">
        <f>cbal!G406</f>
        <v>3</v>
      </c>
      <c r="N406" s="8" t="s">
        <v>5545</v>
      </c>
      <c r="O406" s="131" t="b">
        <f t="shared" si="34"/>
        <v>1</v>
      </c>
    </row>
    <row r="407" spans="1:15">
      <c r="A407" s="8" t="s">
        <v>603</v>
      </c>
      <c r="D407" s="63">
        <v>9</v>
      </c>
      <c r="E407" s="473">
        <f t="shared" si="40"/>
        <v>2</v>
      </c>
      <c r="F407" s="473">
        <f t="shared" si="40"/>
        <v>2</v>
      </c>
      <c r="G407" s="473">
        <f t="shared" si="40"/>
        <v>2</v>
      </c>
      <c r="H407" s="8" t="s">
        <v>2148</v>
      </c>
      <c r="I407" s="131" t="b">
        <f t="shared" si="33"/>
        <v>1</v>
      </c>
      <c r="J407" s="63">
        <v>9</v>
      </c>
      <c r="K407" s="473">
        <f>cbal!E407</f>
        <v>2</v>
      </c>
      <c r="L407" s="473">
        <f>cbal!F407</f>
        <v>2</v>
      </c>
      <c r="M407" s="473">
        <f>cbal!G407</f>
        <v>2</v>
      </c>
      <c r="N407" s="8" t="s">
        <v>5546</v>
      </c>
      <c r="O407" s="131" t="b">
        <f t="shared" si="34"/>
        <v>1</v>
      </c>
    </row>
    <row r="408" spans="1:15">
      <c r="A408" s="8" t="s">
        <v>604</v>
      </c>
      <c r="D408" s="8">
        <v>10</v>
      </c>
      <c r="E408" s="473">
        <f t="shared" si="40"/>
        <v>3</v>
      </c>
      <c r="F408" s="473">
        <f t="shared" si="40"/>
        <v>3</v>
      </c>
      <c r="G408" s="473">
        <f t="shared" si="40"/>
        <v>3</v>
      </c>
      <c r="H408" s="8" t="s">
        <v>2149</v>
      </c>
      <c r="I408" s="131" t="b">
        <f t="shared" si="33"/>
        <v>1</v>
      </c>
      <c r="J408" s="8">
        <v>10</v>
      </c>
      <c r="K408" s="473">
        <f>cbal!E408</f>
        <v>3</v>
      </c>
      <c r="L408" s="473">
        <f>cbal!F408</f>
        <v>3</v>
      </c>
      <c r="M408" s="473">
        <f>cbal!G408</f>
        <v>3</v>
      </c>
      <c r="N408" s="8" t="s">
        <v>5547</v>
      </c>
      <c r="O408" s="131" t="b">
        <f t="shared" si="34"/>
        <v>1</v>
      </c>
    </row>
    <row r="409" spans="1:15">
      <c r="A409" s="8" t="s">
        <v>1497</v>
      </c>
      <c r="D409" s="8">
        <v>11</v>
      </c>
      <c r="E409" s="473"/>
      <c r="F409" s="473"/>
      <c r="G409" s="473"/>
      <c r="H409" s="8" t="s">
        <v>2150</v>
      </c>
      <c r="I409" s="131" t="b">
        <f t="shared" si="33"/>
        <v>1</v>
      </c>
      <c r="J409" s="8">
        <v>11</v>
      </c>
      <c r="K409" s="473">
        <f>cbal!E409</f>
        <v>0</v>
      </c>
      <c r="L409" s="473">
        <f>cbal!F409</f>
        <v>0</v>
      </c>
      <c r="M409" s="473">
        <f>cbal!G409</f>
        <v>0</v>
      </c>
      <c r="N409" s="8" t="s">
        <v>5548</v>
      </c>
      <c r="O409" s="131" t="b">
        <f t="shared" si="34"/>
        <v>1</v>
      </c>
    </row>
    <row r="410" spans="1:15">
      <c r="A410" s="8" t="s">
        <v>1498</v>
      </c>
      <c r="D410" s="63">
        <v>12</v>
      </c>
      <c r="E410" s="473"/>
      <c r="F410" s="473"/>
      <c r="G410" s="473"/>
      <c r="H410" s="8" t="s">
        <v>2151</v>
      </c>
      <c r="I410" s="131" t="b">
        <f t="shared" si="33"/>
        <v>1</v>
      </c>
      <c r="J410" s="63">
        <v>12</v>
      </c>
      <c r="K410" s="473">
        <f>cbal!E410</f>
        <v>0</v>
      </c>
      <c r="L410" s="473">
        <f>cbal!F410</f>
        <v>0</v>
      </c>
      <c r="M410" s="473">
        <f>cbal!G410</f>
        <v>0</v>
      </c>
      <c r="N410" s="8" t="s">
        <v>5549</v>
      </c>
      <c r="O410" s="131" t="b">
        <f t="shared" si="34"/>
        <v>1</v>
      </c>
    </row>
    <row r="411" spans="1:15">
      <c r="I411" s="131" t="b">
        <f t="shared" si="33"/>
        <v>1</v>
      </c>
      <c r="K411" s="159">
        <f>cbal!E411</f>
        <v>0</v>
      </c>
      <c r="L411" s="159">
        <f>cbal!F411</f>
        <v>0</v>
      </c>
      <c r="M411" s="159">
        <f>cbal!G411</f>
        <v>0</v>
      </c>
      <c r="O411" s="131" t="b">
        <f t="shared" si="34"/>
        <v>1</v>
      </c>
    </row>
    <row r="412" spans="1:15">
      <c r="I412" s="131" t="b">
        <f t="shared" si="33"/>
        <v>1</v>
      </c>
      <c r="K412" s="159">
        <f>cbal!E412</f>
        <v>0</v>
      </c>
      <c r="L412" s="159">
        <f>cbal!F412</f>
        <v>0</v>
      </c>
      <c r="M412" s="159">
        <f>cbal!G412</f>
        <v>0</v>
      </c>
      <c r="O412" s="131" t="b">
        <f t="shared" si="34"/>
        <v>1</v>
      </c>
    </row>
    <row r="413" spans="1:15">
      <c r="A413" s="63" t="s">
        <v>224</v>
      </c>
      <c r="E413" s="325">
        <v>0</v>
      </c>
      <c r="F413" s="325">
        <v>0</v>
      </c>
      <c r="G413" s="325">
        <v>0</v>
      </c>
      <c r="H413" s="63" t="s">
        <v>223</v>
      </c>
      <c r="I413" s="131" t="b">
        <f t="shared" si="33"/>
        <v>1</v>
      </c>
      <c r="K413" s="325">
        <f>cbal!E413</f>
        <v>0</v>
      </c>
      <c r="L413" s="325">
        <f>cbal!F413</f>
        <v>0</v>
      </c>
      <c r="M413" s="325">
        <f>cbal!G413</f>
        <v>0</v>
      </c>
      <c r="N413" s="63" t="s">
        <v>5550</v>
      </c>
      <c r="O413" s="131" t="b">
        <f t="shared" si="34"/>
        <v>1</v>
      </c>
    </row>
    <row r="414" spans="1:15">
      <c r="A414" s="63" t="s">
        <v>222</v>
      </c>
      <c r="E414" s="325">
        <v>0</v>
      </c>
      <c r="F414" s="325">
        <v>0</v>
      </c>
      <c r="G414" s="325">
        <v>0</v>
      </c>
      <c r="H414" s="63" t="s">
        <v>221</v>
      </c>
      <c r="I414" s="131" t="b">
        <f t="shared" si="33"/>
        <v>1</v>
      </c>
      <c r="K414" s="325">
        <f>cbal!E414</f>
        <v>0</v>
      </c>
      <c r="L414" s="325">
        <f>cbal!F414</f>
        <v>0</v>
      </c>
      <c r="M414" s="325">
        <f>cbal!G414</f>
        <v>0</v>
      </c>
      <c r="N414" s="63" t="s">
        <v>5551</v>
      </c>
      <c r="O414" s="131" t="b">
        <f t="shared" si="34"/>
        <v>1</v>
      </c>
    </row>
    <row r="415" spans="1:15">
      <c r="A415" s="63" t="s">
        <v>220</v>
      </c>
      <c r="E415" s="325">
        <v>0</v>
      </c>
      <c r="F415" s="325">
        <v>0</v>
      </c>
      <c r="G415" s="325">
        <v>0</v>
      </c>
      <c r="H415" s="63" t="s">
        <v>219</v>
      </c>
      <c r="I415" s="131" t="b">
        <f t="shared" si="33"/>
        <v>1</v>
      </c>
      <c r="K415" s="325">
        <f>cbal!E415</f>
        <v>0</v>
      </c>
      <c r="L415" s="325">
        <f>cbal!F415</f>
        <v>0</v>
      </c>
      <c r="M415" s="325">
        <f>cbal!G415</f>
        <v>0</v>
      </c>
      <c r="N415" s="63" t="s">
        <v>5552</v>
      </c>
      <c r="O415" s="131" t="b">
        <f t="shared" si="34"/>
        <v>1</v>
      </c>
    </row>
    <row r="416" spans="1:15">
      <c r="A416" s="63" t="s">
        <v>218</v>
      </c>
      <c r="E416" s="325">
        <v>0</v>
      </c>
      <c r="F416" s="325">
        <v>0</v>
      </c>
      <c r="G416" s="325">
        <v>0</v>
      </c>
      <c r="H416" s="63" t="s">
        <v>217</v>
      </c>
      <c r="I416" s="131" t="b">
        <f t="shared" si="33"/>
        <v>1</v>
      </c>
      <c r="K416" s="325">
        <f>cbal!E416</f>
        <v>0</v>
      </c>
      <c r="L416" s="325">
        <f>cbal!F416</f>
        <v>0</v>
      </c>
      <c r="M416" s="325">
        <f>cbal!G416</f>
        <v>0</v>
      </c>
      <c r="N416" s="63" t="s">
        <v>5553</v>
      </c>
      <c r="O416" s="131" t="b">
        <f t="shared" si="34"/>
        <v>1</v>
      </c>
    </row>
    <row r="417" spans="1:15">
      <c r="A417" s="63" t="s">
        <v>216</v>
      </c>
      <c r="E417" s="325">
        <v>0</v>
      </c>
      <c r="F417" s="325">
        <v>0</v>
      </c>
      <c r="G417" s="325">
        <v>0</v>
      </c>
      <c r="H417" s="63" t="s">
        <v>215</v>
      </c>
      <c r="I417" s="131" t="b">
        <f t="shared" ref="I417:I430" si="41">MAX(E417:G417)=MIN(E417:G417)</f>
        <v>1</v>
      </c>
      <c r="K417" s="325">
        <f>cbal!E417</f>
        <v>0</v>
      </c>
      <c r="L417" s="325">
        <f>cbal!F417</f>
        <v>0</v>
      </c>
      <c r="M417" s="325">
        <f>cbal!G417</f>
        <v>0</v>
      </c>
      <c r="N417" s="63" t="s">
        <v>5554</v>
      </c>
      <c r="O417" s="131" t="b">
        <f t="shared" ref="O417:O430" si="42">MAX(K417:M417)=MIN(K417:M417)</f>
        <v>1</v>
      </c>
    </row>
    <row r="418" spans="1:15">
      <c r="I418" s="131" t="b">
        <f t="shared" si="41"/>
        <v>1</v>
      </c>
      <c r="K418" s="159">
        <f>cbal!E418</f>
        <v>0</v>
      </c>
      <c r="L418" s="159">
        <f>cbal!F418</f>
        <v>0</v>
      </c>
      <c r="M418" s="159">
        <f>cbal!G418</f>
        <v>0</v>
      </c>
      <c r="O418" s="131" t="b">
        <f t="shared" si="42"/>
        <v>1</v>
      </c>
    </row>
    <row r="419" spans="1:15">
      <c r="A419" s="63" t="s">
        <v>214</v>
      </c>
      <c r="E419" s="325">
        <v>0</v>
      </c>
      <c r="F419" s="325">
        <v>0</v>
      </c>
      <c r="G419" s="325">
        <v>0</v>
      </c>
      <c r="H419" s="63" t="s">
        <v>213</v>
      </c>
      <c r="I419" s="131" t="b">
        <f t="shared" si="41"/>
        <v>1</v>
      </c>
      <c r="K419" s="325">
        <f>cbal!E419</f>
        <v>0</v>
      </c>
      <c r="L419" s="325">
        <f>cbal!F419</f>
        <v>0</v>
      </c>
      <c r="M419" s="325">
        <f>cbal!G419</f>
        <v>0</v>
      </c>
      <c r="N419" s="63" t="s">
        <v>5555</v>
      </c>
      <c r="O419" s="131" t="b">
        <f t="shared" si="42"/>
        <v>1</v>
      </c>
    </row>
    <row r="420" spans="1:15">
      <c r="A420" s="63" t="s">
        <v>212</v>
      </c>
      <c r="E420" s="325">
        <v>0</v>
      </c>
      <c r="F420" s="325">
        <v>0</v>
      </c>
      <c r="G420" s="325">
        <v>0</v>
      </c>
      <c r="H420" s="63" t="s">
        <v>211</v>
      </c>
      <c r="I420" s="131" t="b">
        <f t="shared" si="41"/>
        <v>1</v>
      </c>
      <c r="K420" s="325">
        <f>cbal!E420</f>
        <v>0</v>
      </c>
      <c r="L420" s="325">
        <f>cbal!F420</f>
        <v>0</v>
      </c>
      <c r="M420" s="325">
        <f>cbal!G420</f>
        <v>0</v>
      </c>
      <c r="N420" s="63" t="s">
        <v>5556</v>
      </c>
      <c r="O420" s="131" t="b">
        <f t="shared" si="42"/>
        <v>1</v>
      </c>
    </row>
    <row r="421" spans="1:15">
      <c r="A421" s="63" t="s">
        <v>210</v>
      </c>
      <c r="E421" s="325">
        <v>0</v>
      </c>
      <c r="F421" s="325">
        <v>0</v>
      </c>
      <c r="G421" s="325">
        <v>0</v>
      </c>
      <c r="H421" s="63" t="s">
        <v>209</v>
      </c>
      <c r="I421" s="131" t="b">
        <f t="shared" si="41"/>
        <v>1</v>
      </c>
      <c r="K421" s="325">
        <f>cbal!E421</f>
        <v>0</v>
      </c>
      <c r="L421" s="325">
        <f>cbal!F421</f>
        <v>0</v>
      </c>
      <c r="M421" s="325">
        <f>cbal!G421</f>
        <v>0</v>
      </c>
      <c r="N421" s="63" t="s">
        <v>5557</v>
      </c>
      <c r="O421" s="131" t="b">
        <f t="shared" si="42"/>
        <v>1</v>
      </c>
    </row>
    <row r="422" spans="1:15">
      <c r="A422" s="63" t="s">
        <v>208</v>
      </c>
      <c r="E422" s="325">
        <v>0</v>
      </c>
      <c r="F422" s="325">
        <v>0</v>
      </c>
      <c r="G422" s="325">
        <v>0</v>
      </c>
      <c r="H422" s="63" t="s">
        <v>207</v>
      </c>
      <c r="I422" s="131" t="b">
        <f t="shared" si="41"/>
        <v>1</v>
      </c>
      <c r="K422" s="325">
        <f>cbal!E422</f>
        <v>0</v>
      </c>
      <c r="L422" s="325">
        <f>cbal!F422</f>
        <v>0</v>
      </c>
      <c r="M422" s="325">
        <f>cbal!G422</f>
        <v>0</v>
      </c>
      <c r="N422" s="63" t="s">
        <v>5558</v>
      </c>
      <c r="O422" s="131" t="b">
        <f t="shared" si="42"/>
        <v>1</v>
      </c>
    </row>
    <row r="423" spans="1:15">
      <c r="A423" s="63" t="s">
        <v>206</v>
      </c>
      <c r="E423" s="325">
        <v>0</v>
      </c>
      <c r="F423" s="325">
        <v>0</v>
      </c>
      <c r="G423" s="325">
        <v>0</v>
      </c>
      <c r="H423" s="63" t="s">
        <v>205</v>
      </c>
      <c r="I423" s="131" t="b">
        <f t="shared" si="41"/>
        <v>1</v>
      </c>
      <c r="K423" s="325">
        <f>cbal!E423</f>
        <v>0</v>
      </c>
      <c r="L423" s="325">
        <f>cbal!F423</f>
        <v>0</v>
      </c>
      <c r="M423" s="325">
        <f>cbal!G423</f>
        <v>0</v>
      </c>
      <c r="N423" s="63" t="s">
        <v>5559</v>
      </c>
      <c r="O423" s="131" t="b">
        <f t="shared" si="42"/>
        <v>1</v>
      </c>
    </row>
    <row r="424" spans="1:15">
      <c r="I424" s="131" t="b">
        <f t="shared" si="41"/>
        <v>1</v>
      </c>
      <c r="K424" s="159">
        <f>cbal!E424</f>
        <v>0</v>
      </c>
      <c r="L424" s="159">
        <f>cbal!F424</f>
        <v>0</v>
      </c>
      <c r="M424" s="159">
        <f>cbal!G424</f>
        <v>0</v>
      </c>
      <c r="O424" s="131" t="b">
        <f t="shared" si="42"/>
        <v>1</v>
      </c>
    </row>
    <row r="425" spans="1:15">
      <c r="A425" s="63" t="s">
        <v>204</v>
      </c>
      <c r="E425" s="325">
        <v>0</v>
      </c>
      <c r="F425" s="325">
        <v>0</v>
      </c>
      <c r="G425" s="325">
        <v>0</v>
      </c>
      <c r="H425" s="63" t="s">
        <v>203</v>
      </c>
      <c r="I425" s="131" t="b">
        <f t="shared" si="41"/>
        <v>1</v>
      </c>
      <c r="K425" s="325">
        <f>cbal!E425</f>
        <v>0</v>
      </c>
      <c r="L425" s="325">
        <f>cbal!F425</f>
        <v>0</v>
      </c>
      <c r="M425" s="325">
        <f>cbal!G425</f>
        <v>0</v>
      </c>
      <c r="N425" s="63" t="s">
        <v>5560</v>
      </c>
      <c r="O425" s="131" t="b">
        <f t="shared" si="42"/>
        <v>1</v>
      </c>
    </row>
    <row r="426" spans="1:15">
      <c r="A426" s="63" t="s">
        <v>202</v>
      </c>
      <c r="E426" s="325">
        <v>0</v>
      </c>
      <c r="F426" s="325">
        <v>0</v>
      </c>
      <c r="G426" s="325">
        <v>0</v>
      </c>
      <c r="H426" s="63" t="s">
        <v>201</v>
      </c>
      <c r="I426" s="131" t="b">
        <f t="shared" si="41"/>
        <v>1</v>
      </c>
      <c r="K426" s="325">
        <f>cbal!E426</f>
        <v>0</v>
      </c>
      <c r="L426" s="325">
        <f>cbal!F426</f>
        <v>0</v>
      </c>
      <c r="M426" s="325">
        <f>cbal!G426</f>
        <v>0</v>
      </c>
      <c r="N426" s="63" t="s">
        <v>5561</v>
      </c>
      <c r="O426" s="131" t="b">
        <f t="shared" si="42"/>
        <v>1</v>
      </c>
    </row>
    <row r="427" spans="1:15">
      <c r="A427" s="63" t="s">
        <v>200</v>
      </c>
      <c r="E427" s="325">
        <v>0</v>
      </c>
      <c r="F427" s="325">
        <v>0</v>
      </c>
      <c r="G427" s="325">
        <v>0</v>
      </c>
      <c r="H427" s="63" t="s">
        <v>199</v>
      </c>
      <c r="I427" s="131" t="b">
        <f t="shared" si="41"/>
        <v>1</v>
      </c>
      <c r="K427" s="325">
        <f>cbal!E427</f>
        <v>0</v>
      </c>
      <c r="L427" s="325">
        <f>cbal!F427</f>
        <v>0</v>
      </c>
      <c r="M427" s="325">
        <f>cbal!G427</f>
        <v>0</v>
      </c>
      <c r="N427" s="63" t="s">
        <v>5562</v>
      </c>
      <c r="O427" s="131" t="b">
        <f t="shared" si="42"/>
        <v>1</v>
      </c>
    </row>
    <row r="428" spans="1:15">
      <c r="A428" s="63" t="s">
        <v>198</v>
      </c>
      <c r="E428" s="325">
        <v>0</v>
      </c>
      <c r="F428" s="325">
        <v>0</v>
      </c>
      <c r="G428" s="325">
        <v>0</v>
      </c>
      <c r="H428" s="63" t="s">
        <v>197</v>
      </c>
      <c r="I428" s="131" t="b">
        <f t="shared" si="41"/>
        <v>1</v>
      </c>
      <c r="K428" s="325">
        <f>cbal!E428</f>
        <v>0</v>
      </c>
      <c r="L428" s="325">
        <f>cbal!F428</f>
        <v>0</v>
      </c>
      <c r="M428" s="325">
        <f>cbal!G428</f>
        <v>0</v>
      </c>
      <c r="N428" s="63" t="s">
        <v>5563</v>
      </c>
      <c r="O428" s="131" t="b">
        <f t="shared" si="42"/>
        <v>1</v>
      </c>
    </row>
    <row r="429" spans="1:15">
      <c r="A429" s="63" t="s">
        <v>196</v>
      </c>
      <c r="E429" s="325">
        <v>0</v>
      </c>
      <c r="F429" s="325">
        <v>0</v>
      </c>
      <c r="G429" s="325">
        <v>0</v>
      </c>
      <c r="H429" s="63" t="s">
        <v>195</v>
      </c>
      <c r="I429" s="131" t="b">
        <f t="shared" si="41"/>
        <v>1</v>
      </c>
      <c r="K429" s="325">
        <f>cbal!E429</f>
        <v>0</v>
      </c>
      <c r="L429" s="325">
        <f>cbal!F429</f>
        <v>0</v>
      </c>
      <c r="M429" s="325">
        <f>cbal!G429</f>
        <v>0</v>
      </c>
      <c r="N429" s="63" t="s">
        <v>5564</v>
      </c>
      <c r="O429" s="131" t="b">
        <f t="shared" si="42"/>
        <v>1</v>
      </c>
    </row>
    <row r="430" spans="1:15">
      <c r="I430" s="131" t="b">
        <f t="shared" si="41"/>
        <v>1</v>
      </c>
      <c r="K430" s="159"/>
      <c r="L430" s="159"/>
      <c r="M430" s="159"/>
      <c r="O430" s="131" t="b">
        <f t="shared" si="42"/>
        <v>1</v>
      </c>
    </row>
    <row r="431" spans="1:15">
      <c r="K431" s="159"/>
      <c r="L431" s="159"/>
      <c r="M431" s="159"/>
    </row>
    <row r="432" spans="1:15">
      <c r="K432" s="159"/>
      <c r="L432" s="159"/>
      <c r="M432" s="159"/>
    </row>
    <row r="433" spans="1:7" s="61" customFormat="1">
      <c r="A433" s="61" t="s">
        <v>175</v>
      </c>
      <c r="E433" s="179"/>
      <c r="F433" s="176"/>
      <c r="G433" s="176"/>
    </row>
    <row r="434" spans="1:7">
      <c r="E434" s="159" t="s">
        <v>194</v>
      </c>
    </row>
  </sheetData>
  <hyperlinks>
    <hyperlink ref="D3" r:id="rId1"/>
  </hyperlinks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S433"/>
  <sheetViews>
    <sheetView topLeftCell="A71" workbookViewId="0">
      <selection activeCell="E71" sqref="E71:E86"/>
    </sheetView>
  </sheetViews>
  <sheetFormatPr defaultColWidth="9.33203125" defaultRowHeight="10"/>
  <cols>
    <col min="1" max="1" width="41.77734375" style="63" customWidth="1"/>
    <col min="2" max="4" width="3.6640625" style="63" customWidth="1"/>
    <col min="5" max="7" width="16.77734375" style="159" customWidth="1"/>
    <col min="8" max="8" width="27.6640625" style="63" customWidth="1"/>
    <col min="9" max="9" width="8.77734375" style="63" customWidth="1"/>
    <col min="10" max="10" width="9.33203125" style="63"/>
    <col min="11" max="13" width="17.109375" style="63" customWidth="1"/>
    <col min="14" max="14" width="22.109375" style="63" customWidth="1"/>
    <col min="15" max="16384" width="9.33203125" style="63"/>
  </cols>
  <sheetData>
    <row r="1" spans="1:19" s="61" customFormat="1" ht="10.5">
      <c r="A1" s="134" t="s">
        <v>193</v>
      </c>
      <c r="E1" s="176"/>
      <c r="F1" s="176"/>
      <c r="G1" s="176"/>
    </row>
    <row r="2" spans="1:19" s="83" customFormat="1" ht="12.75" customHeight="1">
      <c r="C2" s="135"/>
      <c r="E2" s="177"/>
      <c r="F2" s="320"/>
      <c r="G2" s="177"/>
    </row>
    <row r="3" spans="1:19" s="83" customFormat="1">
      <c r="B3" s="83" t="s">
        <v>138</v>
      </c>
      <c r="D3" s="136" t="s">
        <v>123</v>
      </c>
      <c r="E3" s="177"/>
      <c r="F3" s="321"/>
      <c r="G3" s="177"/>
    </row>
    <row r="4" spans="1:19" ht="12" customHeight="1">
      <c r="B4" s="138"/>
    </row>
    <row r="5" spans="1:19" s="70" customFormat="1">
      <c r="C5" s="71"/>
      <c r="D5" s="71"/>
      <c r="E5" s="179"/>
      <c r="F5" s="179"/>
      <c r="G5" s="179"/>
    </row>
    <row r="7" spans="1:19" ht="10.5">
      <c r="B7" s="67" t="s">
        <v>136</v>
      </c>
    </row>
    <row r="8" spans="1:19">
      <c r="B8" s="139"/>
      <c r="C8" s="73" t="s">
        <v>110</v>
      </c>
    </row>
    <row r="9" spans="1:19">
      <c r="B9" s="141"/>
      <c r="C9" s="73" t="s">
        <v>107</v>
      </c>
    </row>
    <row r="10" spans="1:19">
      <c r="B10" s="142"/>
      <c r="C10" s="73" t="s">
        <v>164</v>
      </c>
      <c r="E10" s="322"/>
    </row>
    <row r="12" spans="1:19" s="61" customFormat="1">
      <c r="A12" s="61" t="s">
        <v>192</v>
      </c>
      <c r="E12" s="176" t="s">
        <v>162</v>
      </c>
      <c r="F12" s="176" t="s">
        <v>161</v>
      </c>
      <c r="G12" s="176" t="s">
        <v>160</v>
      </c>
      <c r="K12" s="176" t="s">
        <v>162</v>
      </c>
      <c r="L12" s="176" t="s">
        <v>161</v>
      </c>
      <c r="M12" s="176" t="s">
        <v>160</v>
      </c>
    </row>
    <row r="13" spans="1:19" s="70" customFormat="1" ht="11.5">
      <c r="A13" s="386" t="s">
        <v>473</v>
      </c>
      <c r="B13" s="386"/>
      <c r="C13" s="386"/>
      <c r="D13" s="386"/>
      <c r="E13" s="386"/>
      <c r="F13" s="386"/>
      <c r="G13" s="386"/>
      <c r="H13" s="386"/>
      <c r="I13" s="386"/>
      <c r="J13" s="645" t="s">
        <v>474</v>
      </c>
      <c r="K13" s="377"/>
      <c r="L13" s="377"/>
      <c r="M13" s="377"/>
      <c r="N13" s="377"/>
      <c r="O13" s="377"/>
      <c r="P13" s="377"/>
      <c r="Q13" s="377"/>
      <c r="R13" s="377"/>
      <c r="S13" s="377"/>
    </row>
    <row r="14" spans="1:19" s="8" customFormat="1">
      <c r="A14" s="132" t="str">
        <f>IF(obal!A14=0,"",obal!A14)</f>
        <v/>
      </c>
      <c r="E14" s="515"/>
      <c r="F14" s="515"/>
      <c r="G14" s="515"/>
      <c r="H14" s="8" t="s">
        <v>191</v>
      </c>
      <c r="K14" s="515"/>
      <c r="L14" s="515"/>
      <c r="M14" s="515"/>
      <c r="N14" s="8" t="s">
        <v>5565</v>
      </c>
    </row>
    <row r="15" spans="1:19" s="8" customFormat="1">
      <c r="A15" s="132" t="s">
        <v>347</v>
      </c>
      <c r="E15" s="516">
        <f>finPNLLOB1Rev+finPNLLOB2Rev</f>
        <v>12795324</v>
      </c>
      <c r="F15" s="516">
        <f>finPNLLOB1Rev+finPNLLOB2Rev</f>
        <v>14202531</v>
      </c>
      <c r="G15" s="516">
        <f>finPNLLOB1Rev+finPNLLOB2Rev</f>
        <v>13669275</v>
      </c>
      <c r="H15" s="8" t="s">
        <v>3342</v>
      </c>
      <c r="I15" s="131" t="b">
        <f>MAX(E15:G15)=MIN(E15:G15)</f>
        <v>0</v>
      </c>
      <c r="K15" s="516">
        <f>finR2PNLLOB1Rev+finR2PNLLOB2Rev</f>
        <v>13133418</v>
      </c>
      <c r="L15" s="516">
        <f>finR2PNLLOB1Rev+finR2PNLLOB2Rev</f>
        <v>14202531</v>
      </c>
      <c r="M15" s="516">
        <f>finR2PNLLOB1Rev+finR2PNLLOB2Rev</f>
        <v>13669275</v>
      </c>
      <c r="N15" s="8" t="s">
        <v>5566</v>
      </c>
      <c r="O15" s="131" t="b">
        <f>MAX(K15:M15)=MIN(K15:M15)</f>
        <v>0</v>
      </c>
    </row>
    <row r="16" spans="1:19" s="8" customFormat="1">
      <c r="A16" s="132" t="s">
        <v>486</v>
      </c>
      <c r="E16" s="517">
        <f>cbalRev/obalRev-1</f>
        <v>8.7486130057792266E-3</v>
      </c>
      <c r="F16" s="517">
        <f>cbalRev/obalRev-1</f>
        <v>0</v>
      </c>
      <c r="G16" s="517">
        <f>cbalRev/obalRev-1</f>
        <v>0</v>
      </c>
      <c r="H16" s="8" t="s">
        <v>3343</v>
      </c>
      <c r="I16" s="131" t="b">
        <f t="shared" ref="I16:I80" si="0">MAX(E16:G16)=MIN(E16:G16)</f>
        <v>0</v>
      </c>
      <c r="K16" s="517">
        <f>cbalR2Rev/obalR2Rev-1</f>
        <v>2.6423246492234265E-2</v>
      </c>
      <c r="L16" s="517">
        <f>cbalR2Rev/obalR2Rev-1</f>
        <v>0</v>
      </c>
      <c r="M16" s="517">
        <f>cbalR2Rev/obalR2Rev-1</f>
        <v>0</v>
      </c>
      <c r="N16" s="8" t="s">
        <v>5567</v>
      </c>
      <c r="O16" s="131" t="b">
        <f t="shared" ref="O16:O80" si="1">MAX(K16:M16)=MIN(K16:M16)</f>
        <v>0</v>
      </c>
    </row>
    <row r="17" spans="1:15" s="8" customFormat="1">
      <c r="A17" s="132" t="s">
        <v>488</v>
      </c>
      <c r="E17" s="447">
        <f>(calcLOB1Stars*calcLOB1Patients+calcLOB2Stars*calcLOB2Patients)/(calcLOB1Patients+calcLOB2Patients)</f>
        <v>0.72786859688195993</v>
      </c>
      <c r="F17" s="447">
        <f>(calcLOB1Stars*calcLOB1Patients+calcLOB2Stars*calcLOB2Patients)/(calcLOB1Patients+calcLOB2Patients)</f>
        <v>0.80117245508982038</v>
      </c>
      <c r="G17" s="447">
        <f>(calcLOB1Stars*calcLOB1Patients+calcLOB2Stars*calcLOB2Patients)/(calcLOB1Patients+calcLOB2Patients)</f>
        <v>0.75818935281837141</v>
      </c>
      <c r="H17" s="131" t="s">
        <v>3344</v>
      </c>
      <c r="I17" s="131" t="b">
        <f t="shared" si="0"/>
        <v>0</v>
      </c>
      <c r="K17" s="447">
        <f>(calcR2LOB1Stars*calcR2LOB1Patients+calcR2LOB2Stars*calcR2LOB2Patients)/(calcR2LOB1Patients+calcR2LOB2Patients)</f>
        <v>0.7181057129963645</v>
      </c>
      <c r="L17" s="447">
        <f>(calcR2LOB1Stars*calcR2LOB1Patients+calcR2LOB2Stars*calcR2LOB2Patients)/(calcR2LOB1Patients+calcR2LOB2Patients)</f>
        <v>0.79288083832335332</v>
      </c>
      <c r="M17" s="447">
        <f>(calcR2LOB1Stars*calcR2LOB1Patients+calcR2LOB2Stars*calcR2LOB2Patients)/(calcR2LOB1Patients+calcR2LOB2Patients)</f>
        <v>0.7452323440748746</v>
      </c>
      <c r="N17" s="131" t="s">
        <v>5568</v>
      </c>
      <c r="O17" s="131" t="b">
        <f t="shared" si="1"/>
        <v>0</v>
      </c>
    </row>
    <row r="18" spans="1:15" s="8" customFormat="1">
      <c r="A18" s="132" t="s">
        <v>489</v>
      </c>
      <c r="E18" s="517">
        <f>(cbalLOB1ESAT+cbalLOB2ESAT)/2</f>
        <v>0.7</v>
      </c>
      <c r="F18" s="517">
        <f>(cbalLOB1ESAT+cbalLOB2ESAT)/2</f>
        <v>0.74275000000000002</v>
      </c>
      <c r="G18" s="517">
        <f>(cbalLOB1ESAT+cbalLOB2ESAT)/2</f>
        <v>0.72324999999999995</v>
      </c>
      <c r="H18" s="482" t="s">
        <v>3347</v>
      </c>
      <c r="I18" s="131" t="b">
        <f t="shared" si="0"/>
        <v>0</v>
      </c>
      <c r="K18" s="517">
        <f>(cbalR2LOB1ESAT+cbalR2LOB2ESAT)/2</f>
        <v>0.68023703712147898</v>
      </c>
      <c r="L18" s="517">
        <f>(cbalR2LOB1ESAT+cbalR2LOB2ESAT)/2</f>
        <v>0.78300000000000014</v>
      </c>
      <c r="M18" s="517">
        <f>(cbalR2LOB1ESAT+cbalR2LOB2ESAT)/2</f>
        <v>0.72122078750812268</v>
      </c>
      <c r="N18" s="482" t="s">
        <v>5569</v>
      </c>
      <c r="O18" s="131" t="b">
        <f t="shared" si="1"/>
        <v>0</v>
      </c>
    </row>
    <row r="19" spans="1:15" s="8" customFormat="1">
      <c r="A19" s="132" t="s">
        <v>3346</v>
      </c>
      <c r="E19" s="451">
        <f>(cbalLOB1CSAT*calcLOB1Patients+cbalLOB2CSAT*calcLOB2Patients)/(calcLOB1Patients+calcLOB2Patients)</f>
        <v>0.76669554565701548</v>
      </c>
      <c r="F19" s="451">
        <f>(cbalLOB1CSAT*calcLOB1Patients+cbalLOB2CSAT*calcLOB2Patients)/(calcLOB1Patients+calcLOB2Patients)</f>
        <v>0.80836485029940119</v>
      </c>
      <c r="G19" s="451">
        <f>(cbalLOB1CSAT*calcLOB1Patients+cbalLOB2CSAT*calcLOB2Patients)/(calcLOB1Patients+calcLOB2Patients)</f>
        <v>0.75397217118997917</v>
      </c>
      <c r="H19" s="482" t="s">
        <v>3348</v>
      </c>
      <c r="I19" s="131" t="b">
        <f t="shared" si="0"/>
        <v>0</v>
      </c>
      <c r="K19" s="451">
        <f>(cbalR2LOB1CSAT*calcR2LOB1Patients+cbalR2LOB2CSAT*calcR2LOB2Patients)/(calcR2LOB1Patients+calcR2LOB2Patients)</f>
        <v>0.75776133110113975</v>
      </c>
      <c r="L19" s="451">
        <f>(cbalR2LOB1CSAT*calcR2LOB1Patients+cbalR2LOB2CSAT*calcR2LOB2Patients)/(calcR2LOB1Patients+calcR2LOB2Patients)</f>
        <v>0.83709167664670658</v>
      </c>
      <c r="M19" s="451">
        <f>(cbalR2LOB1CSAT*calcR2LOB1Patients+cbalR2LOB2CSAT*calcR2LOB2Patients)/(calcR2LOB1Patients+calcR2LOB2Patients)</f>
        <v>0.7748023985179231</v>
      </c>
      <c r="N19" s="482" t="s">
        <v>5570</v>
      </c>
      <c r="O19" s="131" t="b">
        <f t="shared" si="1"/>
        <v>0</v>
      </c>
    </row>
    <row r="20" spans="1:15" s="8" customFormat="1">
      <c r="A20" s="132"/>
      <c r="E20" s="515"/>
      <c r="F20" s="515"/>
      <c r="G20" s="515"/>
      <c r="I20" s="131" t="b">
        <f t="shared" si="0"/>
        <v>1</v>
      </c>
      <c r="K20" s="515"/>
      <c r="L20" s="515"/>
      <c r="M20" s="515"/>
      <c r="O20" s="131" t="b">
        <f t="shared" si="1"/>
        <v>1</v>
      </c>
    </row>
    <row r="21" spans="1:15" s="171" customFormat="1" ht="10.5">
      <c r="A21" s="442" t="str">
        <f>nmLOB1</f>
        <v>Riverside</v>
      </c>
      <c r="B21" s="131"/>
      <c r="C21" s="131"/>
      <c r="D21" s="131"/>
      <c r="E21" s="323"/>
      <c r="F21" s="323"/>
      <c r="G21" s="323"/>
      <c r="H21" s="131"/>
      <c r="I21" s="131" t="b">
        <f t="shared" si="0"/>
        <v>1</v>
      </c>
      <c r="K21" s="323"/>
      <c r="L21" s="323"/>
      <c r="M21" s="323"/>
      <c r="N21" s="131"/>
      <c r="O21" s="131" t="b">
        <f t="shared" si="1"/>
        <v>1</v>
      </c>
    </row>
    <row r="22" spans="1:15">
      <c r="A22" s="76" t="str">
        <f>nmSeg1</f>
        <v>Medicare</v>
      </c>
      <c r="E22" s="159">
        <f>obalLOB1Seg1Perc</f>
        <v>0.57999999999999996</v>
      </c>
      <c r="F22" s="159">
        <f>obalLOB1Seg1Perc</f>
        <v>0.57999999999999996</v>
      </c>
      <c r="G22" s="159">
        <f>obalLOB1Seg1Perc</f>
        <v>0.57999999999999996</v>
      </c>
      <c r="H22" s="8" t="s">
        <v>721</v>
      </c>
      <c r="I22" s="131" t="b">
        <f t="shared" si="0"/>
        <v>1</v>
      </c>
      <c r="K22" s="159">
        <f>obalR2LOB1Seg1Perc</f>
        <v>0.57999999999999996</v>
      </c>
      <c r="L22" s="159">
        <f>obalR2LOB1Seg1Perc</f>
        <v>0.57999999999999996</v>
      </c>
      <c r="M22" s="159">
        <f>obalR2LOB1Seg1Perc</f>
        <v>0.57999999999999996</v>
      </c>
      <c r="N22" s="8" t="s">
        <v>5571</v>
      </c>
      <c r="O22" s="131" t="b">
        <f t="shared" si="1"/>
        <v>1</v>
      </c>
    </row>
    <row r="23" spans="1:15">
      <c r="A23" s="76" t="str">
        <f>nmSeg2</f>
        <v>PPS</v>
      </c>
      <c r="E23" s="159">
        <f>obalLOB1Seg2Perc</f>
        <v>0.1</v>
      </c>
      <c r="F23" s="159">
        <f>obalLOB1Seg2Perc</f>
        <v>0.1</v>
      </c>
      <c r="G23" s="159">
        <f>obalLOB1Seg2Perc</f>
        <v>0.1</v>
      </c>
      <c r="H23" s="8" t="s">
        <v>722</v>
      </c>
      <c r="I23" s="131" t="b">
        <f t="shared" si="0"/>
        <v>1</v>
      </c>
      <c r="K23" s="159">
        <f>obalR2LOB1Seg2Perc</f>
        <v>0.1</v>
      </c>
      <c r="L23" s="159">
        <f>obalR2LOB1Seg2Perc</f>
        <v>0.1</v>
      </c>
      <c r="M23" s="159">
        <f>obalR2LOB1Seg2Perc</f>
        <v>0.1</v>
      </c>
      <c r="N23" s="8" t="s">
        <v>5572</v>
      </c>
      <c r="O23" s="131" t="b">
        <f t="shared" si="1"/>
        <v>1</v>
      </c>
    </row>
    <row r="24" spans="1:15">
      <c r="A24" s="76" t="str">
        <f>nmSeg3</f>
        <v>Other</v>
      </c>
      <c r="E24" s="159">
        <f>obalLOB1Seg3Perc</f>
        <v>0.32</v>
      </c>
      <c r="F24" s="159">
        <f>obalLOB1Seg3Perc</f>
        <v>0.32</v>
      </c>
      <c r="G24" s="159">
        <f>obalLOB1Seg3Perc</f>
        <v>0.32</v>
      </c>
      <c r="H24" s="8" t="s">
        <v>723</v>
      </c>
      <c r="I24" s="131" t="b">
        <f t="shared" si="0"/>
        <v>1</v>
      </c>
      <c r="K24" s="159">
        <f>obalR2LOB1Seg3Perc</f>
        <v>0.32</v>
      </c>
      <c r="L24" s="159">
        <f>obalR2LOB1Seg3Perc</f>
        <v>0.32</v>
      </c>
      <c r="M24" s="159">
        <f>obalR2LOB1Seg3Perc</f>
        <v>0.32</v>
      </c>
      <c r="N24" s="8" t="s">
        <v>5573</v>
      </c>
      <c r="O24" s="131" t="b">
        <f t="shared" si="1"/>
        <v>1</v>
      </c>
    </row>
    <row r="25" spans="1:15">
      <c r="A25" s="132" t="str">
        <f>nmEmp1 &amp; " Visits Per Episode"</f>
        <v>Skilled Nursing Visits Per Episode</v>
      </c>
      <c r="E25" s="441">
        <f>obalLOB1Emp1VisitPEp*paramLOB1Emp1VisitsPEmp</f>
        <v>6.8</v>
      </c>
      <c r="F25" s="441">
        <f>obalLOB1Emp1VisitPEp*paramLOB1Emp1VisitsPEmp</f>
        <v>6.8</v>
      </c>
      <c r="G25" s="441">
        <f>obalLOB1Emp1VisitPEp*paramLOB1Emp1VisitsPEmp</f>
        <v>6.8</v>
      </c>
      <c r="H25" s="8" t="s">
        <v>724</v>
      </c>
      <c r="I25" s="131" t="b">
        <f t="shared" si="0"/>
        <v>1</v>
      </c>
      <c r="J25" s="8"/>
      <c r="K25" s="441">
        <f>obalR2LOB1Emp1VisitPEp*paramR2LOB1Emp1VisitsPEmp</f>
        <v>6.8</v>
      </c>
      <c r="L25" s="441">
        <f>obalR2LOB1Emp1VisitPEp*paramR2LOB1Emp1VisitsPEmp</f>
        <v>6.8</v>
      </c>
      <c r="M25" s="441">
        <f>obalR2LOB1Emp1VisitPEp*paramR2LOB1Emp1VisitsPEmp</f>
        <v>6.8</v>
      </c>
      <c r="N25" s="8" t="s">
        <v>5574</v>
      </c>
      <c r="O25" s="131" t="b">
        <f t="shared" si="1"/>
        <v>1</v>
      </c>
    </row>
    <row r="26" spans="1:15">
      <c r="A26" s="132" t="str">
        <f>nmEmp2 &amp; " Visits Per Episode"</f>
        <v>Occupational Therapy Visits Per Episode</v>
      </c>
      <c r="E26" s="441">
        <f>obalLOB1Emp2VisitPEp*paramLOB1Emp2VisitsPEmp</f>
        <v>1.75</v>
      </c>
      <c r="F26" s="441">
        <f>obalLOB1Emp2VisitPEp*paramLOB1Emp2VisitsPEmp</f>
        <v>1.75</v>
      </c>
      <c r="G26" s="441">
        <f>obalLOB1Emp2VisitPEp*paramLOB1Emp2VisitsPEmp</f>
        <v>1.75</v>
      </c>
      <c r="H26" s="8" t="s">
        <v>725</v>
      </c>
      <c r="I26" s="131" t="b">
        <f t="shared" si="0"/>
        <v>1</v>
      </c>
      <c r="J26" s="8"/>
      <c r="K26" s="441">
        <f>obalR2LOB1Emp2VisitPEp*paramR2LOB1Emp2VisitsPEmp</f>
        <v>1.75</v>
      </c>
      <c r="L26" s="441">
        <f>obalR2LOB1Emp2VisitPEp*paramR2LOB1Emp2VisitsPEmp</f>
        <v>1.75</v>
      </c>
      <c r="M26" s="441">
        <f>obalR2LOB1Emp2VisitPEp*paramR2LOB1Emp2VisitsPEmp</f>
        <v>1.75</v>
      </c>
      <c r="N26" s="8" t="s">
        <v>5575</v>
      </c>
      <c r="O26" s="131" t="b">
        <f t="shared" si="1"/>
        <v>1</v>
      </c>
    </row>
    <row r="27" spans="1:15">
      <c r="A27" s="132" t="str">
        <f>nmEmp3 &amp; " Visits Per Episode"</f>
        <v>Physical Therapy Visits Per Episode</v>
      </c>
      <c r="E27" s="441">
        <f>obalLOB1Emp3VisitPEp*paramLOB1Emp3VisitsPEmp</f>
        <v>6.8</v>
      </c>
      <c r="F27" s="441">
        <f>obalLOB1Emp3VisitPEp*paramLOB1Emp3VisitsPEmp</f>
        <v>6.8</v>
      </c>
      <c r="G27" s="441">
        <f>obalLOB1Emp3VisitPEp*paramLOB1Emp3VisitsPEmp</f>
        <v>6.8</v>
      </c>
      <c r="H27" s="8" t="s">
        <v>726</v>
      </c>
      <c r="I27" s="131" t="b">
        <f t="shared" si="0"/>
        <v>1</v>
      </c>
      <c r="J27" s="8"/>
      <c r="K27" s="441">
        <f>obalR2LOB1Emp3VisitPEp*paramR2LOB1Emp3VisitsPEmp</f>
        <v>6.8</v>
      </c>
      <c r="L27" s="441">
        <f>obalR2LOB1Emp3VisitPEp*paramR2LOB1Emp3VisitsPEmp</f>
        <v>6.8</v>
      </c>
      <c r="M27" s="441">
        <f>obalR2LOB1Emp3VisitPEp*paramR2LOB1Emp3VisitsPEmp</f>
        <v>6.8</v>
      </c>
      <c r="N27" s="8" t="s">
        <v>5576</v>
      </c>
      <c r="O27" s="131" t="b">
        <f t="shared" si="1"/>
        <v>1</v>
      </c>
    </row>
    <row r="28" spans="1:15">
      <c r="A28" s="132" t="str">
        <f>nmEmp1 &amp; " " &amp;  nmSeg1 &amp;  " Revenue Per Visit"</f>
        <v>Skilled Nursing Medicare Revenue Per Visit</v>
      </c>
      <c r="E28" s="441">
        <f>obalLOB1Emp1Seg1RevPVisit</f>
        <v>180</v>
      </c>
      <c r="F28" s="441">
        <f>obalLOB1Emp1Seg1RevPVisit</f>
        <v>180</v>
      </c>
      <c r="G28" s="441">
        <f>obalLOB1Emp1Seg1RevPVisit</f>
        <v>180</v>
      </c>
      <c r="H28" s="8" t="s">
        <v>2659</v>
      </c>
      <c r="I28" s="131" t="b">
        <f t="shared" si="0"/>
        <v>1</v>
      </c>
      <c r="J28" s="8"/>
      <c r="K28" s="441">
        <f>obalR2LOB1Emp1Seg1RevPVisit</f>
        <v>180</v>
      </c>
      <c r="L28" s="441">
        <f>obalR2LOB1Emp1Seg1RevPVisit</f>
        <v>180</v>
      </c>
      <c r="M28" s="441">
        <f>obalR2LOB1Emp1Seg1RevPVisit</f>
        <v>180</v>
      </c>
      <c r="N28" s="8" t="s">
        <v>5577</v>
      </c>
      <c r="O28" s="131" t="b">
        <f t="shared" si="1"/>
        <v>1</v>
      </c>
    </row>
    <row r="29" spans="1:15">
      <c r="A29" s="132" t="str">
        <f>nmEmp1 &amp; " " &amp;  nmSeg2 &amp;  " Revenue Per Visit"</f>
        <v>Skilled Nursing PPS Revenue Per Visit</v>
      </c>
      <c r="E29" s="441">
        <f>obalLOB1Emp1Seg2RevPVisit</f>
        <v>160</v>
      </c>
      <c r="F29" s="441">
        <f>obalLOB1Emp1Seg2RevPVisit</f>
        <v>160</v>
      </c>
      <c r="G29" s="441">
        <f>obalLOB1Emp1Seg2RevPVisit</f>
        <v>160</v>
      </c>
      <c r="H29" s="8" t="s">
        <v>2660</v>
      </c>
      <c r="I29" s="131" t="b">
        <f t="shared" si="0"/>
        <v>1</v>
      </c>
      <c r="K29" s="441">
        <f>obalR2LOB1Emp1Seg2RevPVisit</f>
        <v>160</v>
      </c>
      <c r="L29" s="441">
        <f>obalR2LOB1Emp1Seg2RevPVisit</f>
        <v>160</v>
      </c>
      <c r="M29" s="441">
        <f>obalR2LOB1Emp1Seg2RevPVisit</f>
        <v>160</v>
      </c>
      <c r="N29" s="8" t="s">
        <v>5578</v>
      </c>
      <c r="O29" s="131" t="b">
        <f t="shared" si="1"/>
        <v>1</v>
      </c>
    </row>
    <row r="30" spans="1:15">
      <c r="A30" s="132" t="str">
        <f>nmEmp1 &amp; " " &amp;  nmSeg3 &amp;  " Revenue Per Visit"</f>
        <v>Skilled Nursing Other Revenue Per Visit</v>
      </c>
      <c r="E30" s="441">
        <f>obalLOB1Emp1Seg3RevPVisit</f>
        <v>100</v>
      </c>
      <c r="F30" s="441">
        <f>obalLOB1Emp1Seg3RevPVisit</f>
        <v>100</v>
      </c>
      <c r="G30" s="441">
        <f>obalLOB1Emp1Seg3RevPVisit</f>
        <v>100</v>
      </c>
      <c r="H30" s="8" t="s">
        <v>2661</v>
      </c>
      <c r="I30" s="131" t="b">
        <f t="shared" si="0"/>
        <v>1</v>
      </c>
      <c r="K30" s="441">
        <f>obalR2LOB1Emp1Seg3RevPVisit</f>
        <v>100</v>
      </c>
      <c r="L30" s="441">
        <f>obalR2LOB1Emp1Seg3RevPVisit</f>
        <v>100</v>
      </c>
      <c r="M30" s="441">
        <f>obalR2LOB1Emp1Seg3RevPVisit</f>
        <v>100</v>
      </c>
      <c r="N30" s="8" t="s">
        <v>5579</v>
      </c>
      <c r="O30" s="131" t="b">
        <f t="shared" si="1"/>
        <v>1</v>
      </c>
    </row>
    <row r="31" spans="1:15">
      <c r="A31" s="132" t="str">
        <f>nmEmp2 &amp; " " &amp;  nmSeg1 &amp;  " Revenue Per Visit"</f>
        <v>Occupational Therapy Medicare Revenue Per Visit</v>
      </c>
      <c r="E31" s="441">
        <f>obalLOB1Emp2Seg1RevPVisit</f>
        <v>180</v>
      </c>
      <c r="F31" s="441">
        <f>obalLOB1Emp2Seg1RevPVisit</f>
        <v>180</v>
      </c>
      <c r="G31" s="441">
        <f>obalLOB1Emp2Seg1RevPVisit</f>
        <v>180</v>
      </c>
      <c r="H31" s="8" t="s">
        <v>2665</v>
      </c>
      <c r="I31" s="131" t="b">
        <f t="shared" si="0"/>
        <v>1</v>
      </c>
      <c r="K31" s="441">
        <f>obalR2LOB1Emp2Seg1RevPVisit</f>
        <v>180</v>
      </c>
      <c r="L31" s="441">
        <f>obalR2LOB1Emp2Seg1RevPVisit</f>
        <v>180</v>
      </c>
      <c r="M31" s="441">
        <f>obalR2LOB1Emp2Seg1RevPVisit</f>
        <v>180</v>
      </c>
      <c r="N31" s="8" t="s">
        <v>5580</v>
      </c>
      <c r="O31" s="131" t="b">
        <f t="shared" si="1"/>
        <v>1</v>
      </c>
    </row>
    <row r="32" spans="1:15">
      <c r="A32" s="132" t="str">
        <f>nmEmp2 &amp; " " &amp;  nmSeg2 &amp;  " Revenue Per Visit"</f>
        <v>Occupational Therapy PPS Revenue Per Visit</v>
      </c>
      <c r="E32" s="441">
        <f>obalLOB1Emp2Seg2RevPVisit</f>
        <v>165</v>
      </c>
      <c r="F32" s="441">
        <f>obalLOB1Emp2Seg2RevPVisit</f>
        <v>165</v>
      </c>
      <c r="G32" s="441">
        <f>obalLOB1Emp2Seg2RevPVisit</f>
        <v>165</v>
      </c>
      <c r="H32" s="8" t="s">
        <v>2666</v>
      </c>
      <c r="I32" s="131" t="b">
        <f t="shared" si="0"/>
        <v>1</v>
      </c>
      <c r="K32" s="441">
        <f>obalR2LOB1Emp2Seg2RevPVisit</f>
        <v>165</v>
      </c>
      <c r="L32" s="441">
        <f>obalR2LOB1Emp2Seg2RevPVisit</f>
        <v>165</v>
      </c>
      <c r="M32" s="441">
        <f>obalR2LOB1Emp2Seg2RevPVisit</f>
        <v>165</v>
      </c>
      <c r="N32" s="8" t="s">
        <v>5581</v>
      </c>
      <c r="O32" s="131" t="b">
        <f t="shared" si="1"/>
        <v>1</v>
      </c>
    </row>
    <row r="33" spans="1:15">
      <c r="A33" s="132" t="str">
        <f>nmEmp2 &amp; " " &amp;  nmSeg3 &amp;  " Revenue Per Visit"</f>
        <v>Occupational Therapy Other Revenue Per Visit</v>
      </c>
      <c r="E33" s="441">
        <f>obalLOB1Emp2Seg3RevPVisit</f>
        <v>100</v>
      </c>
      <c r="F33" s="441">
        <f>obalLOB1Emp2Seg3RevPVisit</f>
        <v>100</v>
      </c>
      <c r="G33" s="441">
        <f>obalLOB1Emp2Seg3RevPVisit</f>
        <v>100</v>
      </c>
      <c r="H33" s="8" t="s">
        <v>2667</v>
      </c>
      <c r="I33" s="131" t="b">
        <f t="shared" si="0"/>
        <v>1</v>
      </c>
      <c r="K33" s="441">
        <f>obalR2LOB1Emp2Seg3RevPVisit</f>
        <v>100</v>
      </c>
      <c r="L33" s="441">
        <f>obalR2LOB1Emp2Seg3RevPVisit</f>
        <v>100</v>
      </c>
      <c r="M33" s="441">
        <f>obalR2LOB1Emp2Seg3RevPVisit</f>
        <v>100</v>
      </c>
      <c r="N33" s="8" t="s">
        <v>5582</v>
      </c>
      <c r="O33" s="131" t="b">
        <f t="shared" si="1"/>
        <v>1</v>
      </c>
    </row>
    <row r="34" spans="1:15">
      <c r="A34" s="132" t="str">
        <f>nmEmp3 &amp; " " &amp;  nmSeg1 &amp;  " Revenue Per Visit"</f>
        <v>Physical Therapy Medicare Revenue Per Visit</v>
      </c>
      <c r="E34" s="441">
        <f>obalLOB1Emp3Seg1RevPVisit</f>
        <v>180</v>
      </c>
      <c r="F34" s="441">
        <f>obalLOB1Emp3Seg1RevPVisit</f>
        <v>180</v>
      </c>
      <c r="G34" s="441">
        <f>obalLOB1Emp3Seg1RevPVisit</f>
        <v>180</v>
      </c>
      <c r="H34" s="8" t="s">
        <v>2671</v>
      </c>
      <c r="I34" s="131" t="b">
        <f t="shared" si="0"/>
        <v>1</v>
      </c>
      <c r="K34" s="441">
        <f>obalR2LOB1Emp3Seg1RevPVisit</f>
        <v>180</v>
      </c>
      <c r="L34" s="441">
        <f>obalR2LOB1Emp3Seg1RevPVisit</f>
        <v>180</v>
      </c>
      <c r="M34" s="441">
        <f>obalR2LOB1Emp3Seg1RevPVisit</f>
        <v>180</v>
      </c>
      <c r="N34" s="8" t="s">
        <v>5583</v>
      </c>
      <c r="O34" s="131" t="b">
        <f t="shared" si="1"/>
        <v>1</v>
      </c>
    </row>
    <row r="35" spans="1:15">
      <c r="A35" s="132" t="str">
        <f>nmEmp3 &amp; " " &amp;  nmSeg2 &amp;  " Revenue Per Visit"</f>
        <v>Physical Therapy PPS Revenue Per Visit</v>
      </c>
      <c r="E35" s="441">
        <f>obalLOB1Emp3Seg2RevPVisit</f>
        <v>165</v>
      </c>
      <c r="F35" s="441">
        <f>obalLOB1Emp3Seg2RevPVisit</f>
        <v>165</v>
      </c>
      <c r="G35" s="441">
        <f>obalLOB1Emp3Seg2RevPVisit</f>
        <v>165</v>
      </c>
      <c r="H35" s="8" t="s">
        <v>2672</v>
      </c>
      <c r="I35" s="131" t="b">
        <f t="shared" si="0"/>
        <v>1</v>
      </c>
      <c r="K35" s="441">
        <f>obalR2LOB1Emp3Seg2RevPVisit</f>
        <v>165</v>
      </c>
      <c r="L35" s="441">
        <f>obalR2LOB1Emp3Seg2RevPVisit</f>
        <v>165</v>
      </c>
      <c r="M35" s="441">
        <f>obalR2LOB1Emp3Seg2RevPVisit</f>
        <v>165</v>
      </c>
      <c r="N35" s="8" t="s">
        <v>5584</v>
      </c>
      <c r="O35" s="131" t="b">
        <f t="shared" si="1"/>
        <v>1</v>
      </c>
    </row>
    <row r="36" spans="1:15">
      <c r="A36" s="132" t="str">
        <f>nmEmp3 &amp; " " &amp;  nmSeg3 &amp;  " Revenue Per Visit"</f>
        <v>Physical Therapy Other Revenue Per Visit</v>
      </c>
      <c r="E36" s="441">
        <f>obalLOB1Emp3Seg3RevPVisit</f>
        <v>100</v>
      </c>
      <c r="F36" s="441">
        <f>obalLOB1Emp3Seg3RevPVisit</f>
        <v>100</v>
      </c>
      <c r="G36" s="441">
        <f>obalLOB1Emp3Seg3RevPVisit</f>
        <v>100</v>
      </c>
      <c r="H36" s="8" t="s">
        <v>2673</v>
      </c>
      <c r="I36" s="131" t="b">
        <f t="shared" si="0"/>
        <v>1</v>
      </c>
      <c r="K36" s="441">
        <f>obalR2LOB1Emp3Seg3RevPVisit</f>
        <v>100</v>
      </c>
      <c r="L36" s="441">
        <f>obalR2LOB1Emp3Seg3RevPVisit</f>
        <v>100</v>
      </c>
      <c r="M36" s="441">
        <f>obalR2LOB1Emp3Seg3RevPVisit</f>
        <v>100</v>
      </c>
      <c r="N36" s="8" t="s">
        <v>5585</v>
      </c>
      <c r="O36" s="131" t="b">
        <f t="shared" si="1"/>
        <v>1</v>
      </c>
    </row>
    <row r="37" spans="1:15">
      <c r="A37" s="132" t="str">
        <f>nmEmp1 &amp; " Cost Per Visit"</f>
        <v>Skilled Nursing Cost Per Visit</v>
      </c>
      <c r="E37" s="441">
        <f>obalLOB1Emp1CostPVisit</f>
        <v>87</v>
      </c>
      <c r="F37" s="441">
        <f>obalLOB1Emp1CostPVisit</f>
        <v>87</v>
      </c>
      <c r="G37" s="441">
        <f>obalLOB1Emp1CostPVisit</f>
        <v>87</v>
      </c>
      <c r="H37" s="8" t="s">
        <v>2624</v>
      </c>
      <c r="I37" s="131" t="b">
        <f t="shared" si="0"/>
        <v>1</v>
      </c>
      <c r="K37" s="441">
        <f>obalR2LOB1Emp1CostPVisit</f>
        <v>87</v>
      </c>
      <c r="L37" s="441">
        <f>obalR2LOB1Emp1CostPVisit</f>
        <v>87</v>
      </c>
      <c r="M37" s="441">
        <f>obalR2LOB1Emp1CostPVisit</f>
        <v>87</v>
      </c>
      <c r="N37" s="8" t="s">
        <v>5586</v>
      </c>
      <c r="O37" s="131" t="b">
        <f t="shared" si="1"/>
        <v>1</v>
      </c>
    </row>
    <row r="38" spans="1:15">
      <c r="A38" s="132" t="str">
        <f>nmEmp2  &amp; " Cost Per Visit"</f>
        <v>Occupational Therapy Cost Per Visit</v>
      </c>
      <c r="E38" s="441">
        <f>obalLOB1Emp2CostPVisit</f>
        <v>96</v>
      </c>
      <c r="F38" s="441">
        <f>obalLOB1Emp2CostPVisit</f>
        <v>96</v>
      </c>
      <c r="G38" s="441">
        <f>obalLOB1Emp2CostPVisit</f>
        <v>96</v>
      </c>
      <c r="H38" s="8" t="s">
        <v>2625</v>
      </c>
      <c r="I38" s="131" t="b">
        <f t="shared" si="0"/>
        <v>1</v>
      </c>
      <c r="K38" s="441">
        <f>obalR2LOB1Emp2CostPVisit</f>
        <v>96</v>
      </c>
      <c r="L38" s="441">
        <f>obalR2LOB1Emp2CostPVisit</f>
        <v>96</v>
      </c>
      <c r="M38" s="441">
        <f>obalR2LOB1Emp2CostPVisit</f>
        <v>96</v>
      </c>
      <c r="N38" s="8" t="s">
        <v>5587</v>
      </c>
      <c r="O38" s="131" t="b">
        <f t="shared" si="1"/>
        <v>1</v>
      </c>
    </row>
    <row r="39" spans="1:15">
      <c r="A39" s="132" t="str">
        <f>nmEmp3  &amp; " Cost Per Visit"</f>
        <v>Physical Therapy Cost Per Visit</v>
      </c>
      <c r="E39" s="441">
        <f>obalLOB1Emp3CostPVisit</f>
        <v>98</v>
      </c>
      <c r="F39" s="441">
        <f>obalLOB1Emp3CostPVisit</f>
        <v>98</v>
      </c>
      <c r="G39" s="441">
        <f>obalLOB1Emp3CostPVisit</f>
        <v>98</v>
      </c>
      <c r="H39" s="8" t="s">
        <v>2626</v>
      </c>
      <c r="I39" s="131" t="b">
        <f t="shared" si="0"/>
        <v>1</v>
      </c>
      <c r="K39" s="441">
        <f>obalR2LOB1Emp3CostPVisit</f>
        <v>98</v>
      </c>
      <c r="L39" s="441">
        <f>obalR2LOB1Emp3CostPVisit</f>
        <v>98</v>
      </c>
      <c r="M39" s="441">
        <f>obalR2LOB1Emp3CostPVisit</f>
        <v>98</v>
      </c>
      <c r="N39" s="8" t="s">
        <v>5588</v>
      </c>
      <c r="O39" s="131" t="b">
        <f t="shared" si="1"/>
        <v>1</v>
      </c>
    </row>
    <row r="40" spans="1:15">
      <c r="A40" s="132" t="str">
        <f>nmSeg1 &amp; " Recert Rate"</f>
        <v>Medicare Recert Rate</v>
      </c>
      <c r="E40" s="440">
        <f>obalLOB1Prod2Seg1Perc</f>
        <v>0.25</v>
      </c>
      <c r="F40" s="440">
        <f>obalLOB1Prod2Seg1Perc</f>
        <v>0.25</v>
      </c>
      <c r="G40" s="440">
        <f>obalLOB1Prod2Seg1Perc</f>
        <v>0.25</v>
      </c>
      <c r="H40" s="8" t="s">
        <v>741</v>
      </c>
      <c r="I40" s="131" t="b">
        <f t="shared" si="0"/>
        <v>1</v>
      </c>
      <c r="K40" s="440">
        <f>obalR2LOB1Prod2Seg1Perc</f>
        <v>0.25</v>
      </c>
      <c r="L40" s="440">
        <f>obalR2LOB1Prod2Seg1Perc</f>
        <v>0.25</v>
      </c>
      <c r="M40" s="440">
        <f>obalR2LOB1Prod2Seg1Perc</f>
        <v>0.25</v>
      </c>
      <c r="N40" s="8" t="s">
        <v>5589</v>
      </c>
      <c r="O40" s="131" t="b">
        <f t="shared" si="1"/>
        <v>1</v>
      </c>
    </row>
    <row r="41" spans="1:15">
      <c r="A41" s="132" t="str">
        <f>nmSeg2 &amp; " Recert Rate"</f>
        <v>PPS Recert Rate</v>
      </c>
      <c r="E41" s="440">
        <f>obalLOB1Prod2Seg2Perc</f>
        <v>0.25</v>
      </c>
      <c r="F41" s="440">
        <f>obalLOB1Prod2Seg2Perc</f>
        <v>0.25</v>
      </c>
      <c r="G41" s="440">
        <f>obalLOB1Prod2Seg2Perc</f>
        <v>0.25</v>
      </c>
      <c r="H41" s="8" t="s">
        <v>742</v>
      </c>
      <c r="I41" s="131" t="b">
        <f t="shared" si="0"/>
        <v>1</v>
      </c>
      <c r="K41" s="440">
        <f>obalR2LOB1Prod2Seg2Perc</f>
        <v>0.25</v>
      </c>
      <c r="L41" s="440">
        <f>obalR2LOB1Prod2Seg2Perc</f>
        <v>0.25</v>
      </c>
      <c r="M41" s="440">
        <f>obalR2LOB1Prod2Seg2Perc</f>
        <v>0.25</v>
      </c>
      <c r="N41" s="8" t="s">
        <v>5590</v>
      </c>
      <c r="O41" s="131" t="b">
        <f t="shared" si="1"/>
        <v>1</v>
      </c>
    </row>
    <row r="42" spans="1:15">
      <c r="A42" s="132" t="str">
        <f>nmSeg3 &amp; " Recert Rate"</f>
        <v>Other Recert Rate</v>
      </c>
      <c r="E42" s="440">
        <f>obalLOB1Prod2Seg3Perc</f>
        <v>0.25</v>
      </c>
      <c r="F42" s="440">
        <f>obalLOB1Prod2Seg3Perc</f>
        <v>0.25</v>
      </c>
      <c r="G42" s="440">
        <f>obalLOB1Prod2Seg3Perc</f>
        <v>0.25</v>
      </c>
      <c r="H42" s="8" t="s">
        <v>743</v>
      </c>
      <c r="I42" s="131" t="b">
        <f t="shared" si="0"/>
        <v>1</v>
      </c>
      <c r="K42" s="440">
        <f>obalR2LOB1Prod2Seg3Perc</f>
        <v>0.25</v>
      </c>
      <c r="L42" s="440">
        <f>obalR2LOB1Prod2Seg3Perc</f>
        <v>0.25</v>
      </c>
      <c r="M42" s="440">
        <f>obalR2LOB1Prod2Seg3Perc</f>
        <v>0.25</v>
      </c>
      <c r="N42" s="8" t="s">
        <v>5591</v>
      </c>
      <c r="O42" s="131" t="b">
        <f t="shared" si="1"/>
        <v>1</v>
      </c>
    </row>
    <row r="43" spans="1:15">
      <c r="A43" s="132" t="s">
        <v>225</v>
      </c>
      <c r="E43" s="440">
        <f>mmLOB1MarketShare</f>
        <v>0.34805269853348336</v>
      </c>
      <c r="F43" s="440">
        <v>0.33300000000000002</v>
      </c>
      <c r="G43" s="440">
        <v>0.33300000000000002</v>
      </c>
      <c r="H43" s="8" t="s">
        <v>1970</v>
      </c>
      <c r="I43" s="131" t="b">
        <f t="shared" si="0"/>
        <v>0</v>
      </c>
      <c r="K43" s="440">
        <f>mmR2LOB1MarketShare</f>
        <v>0.31926140582756879</v>
      </c>
      <c r="L43" s="440">
        <v>0.33300000000000002</v>
      </c>
      <c r="M43" s="440">
        <v>0.33300000000000002</v>
      </c>
      <c r="N43" s="8" t="s">
        <v>5592</v>
      </c>
      <c r="O43" s="131" t="b">
        <f t="shared" si="1"/>
        <v>0</v>
      </c>
    </row>
    <row r="44" spans="1:15">
      <c r="A44" s="132" t="s">
        <v>2679</v>
      </c>
      <c r="E44" s="473">
        <f>obalLOB1FullEmpOverhead*paramLOB1Overhead</f>
        <v>75000</v>
      </c>
      <c r="F44" s="473">
        <f>obalLOB1FullEmpOverhead*paramLOB1Overhead</f>
        <v>55000</v>
      </c>
      <c r="G44" s="473">
        <f>obalLOB1FullEmpOverhead*paramLOB1Overhead</f>
        <v>70000</v>
      </c>
      <c r="H44" s="8" t="s">
        <v>2683</v>
      </c>
      <c r="I44" s="131" t="b">
        <f t="shared" si="0"/>
        <v>0</v>
      </c>
      <c r="K44" s="473">
        <f>obalR2LOB1FullEmpOverhead*paramR2LOB1Overhead</f>
        <v>75000</v>
      </c>
      <c r="L44" s="473">
        <f>obalR2LOB1FullEmpOverhead*paramR2LOB1Overhead</f>
        <v>55000</v>
      </c>
      <c r="M44" s="473">
        <f>obalR2LOB1FullEmpOverhead*paramR2LOB1Overhead</f>
        <v>70000</v>
      </c>
      <c r="N44" s="8" t="s">
        <v>5593</v>
      </c>
      <c r="O44" s="131" t="b">
        <f t="shared" si="1"/>
        <v>0</v>
      </c>
    </row>
    <row r="45" spans="1:15">
      <c r="A45" s="132" t="s">
        <v>2680</v>
      </c>
      <c r="E45" s="473">
        <f>obalLOB1PartEmpOverhead*paramLOB1Overhead</f>
        <v>40000</v>
      </c>
      <c r="F45" s="473">
        <f>obalLOB1PartEmpOverhead*paramLOB1Overhead</f>
        <v>30000</v>
      </c>
      <c r="G45" s="473">
        <f>obalLOB1PartEmpOverhead*paramLOB1Overhead</f>
        <v>35000</v>
      </c>
      <c r="H45" s="8" t="s">
        <v>2684</v>
      </c>
      <c r="I45" s="131" t="b">
        <f t="shared" si="0"/>
        <v>0</v>
      </c>
      <c r="K45" s="473">
        <f>obalR2LOB1PartEmpOverhead*paramR2LOB1Overhead</f>
        <v>40000</v>
      </c>
      <c r="L45" s="473">
        <f>obalR2LOB1PartEmpOverhead*paramR2LOB1Overhead</f>
        <v>30000</v>
      </c>
      <c r="M45" s="473">
        <f>obalR2LOB1PartEmpOverhead*paramR2LOB1Overhead</f>
        <v>35000</v>
      </c>
      <c r="N45" s="8" t="s">
        <v>5594</v>
      </c>
      <c r="O45" s="131" t="b">
        <f t="shared" si="1"/>
        <v>0</v>
      </c>
    </row>
    <row r="46" spans="1:15">
      <c r="A46" s="132" t="s">
        <v>347</v>
      </c>
      <c r="E46" s="473">
        <f>finPNLLOB1Rev</f>
        <v>7333446</v>
      </c>
      <c r="F46" s="473">
        <f>finPNLLOB1Rev</f>
        <v>10031067</v>
      </c>
      <c r="G46" s="473">
        <f>finPNLLOB1Rev</f>
        <v>5392071</v>
      </c>
      <c r="H46" s="8" t="s">
        <v>2800</v>
      </c>
      <c r="I46" s="131" t="b">
        <f t="shared" si="0"/>
        <v>0</v>
      </c>
      <c r="K46" s="473">
        <f>finR2PNLLOB1Rev</f>
        <v>7451334</v>
      </c>
      <c r="L46" s="473">
        <f>finR2PNLLOB1Rev</f>
        <v>10031067</v>
      </c>
      <c r="M46" s="473">
        <f>finR2PNLLOB1Rev</f>
        <v>5392071</v>
      </c>
      <c r="N46" s="8" t="s">
        <v>5595</v>
      </c>
      <c r="O46" s="131" t="b">
        <f t="shared" si="1"/>
        <v>0</v>
      </c>
    </row>
    <row r="47" spans="1:15">
      <c r="A47" s="132" t="s">
        <v>486</v>
      </c>
      <c r="E47" s="457">
        <f>cbalLOB1Rev/obalLOB1Rev-1</f>
        <v>-2.8501956139906914E-3</v>
      </c>
      <c r="F47" s="457">
        <f>cbalLOB1Rev/obalLOB1Rev-1</f>
        <v>0</v>
      </c>
      <c r="G47" s="457">
        <f>cbalLOB1Rev/obalLOB1Rev-1</f>
        <v>0</v>
      </c>
      <c r="H47" s="8" t="s">
        <v>2990</v>
      </c>
      <c r="I47" s="131" t="b">
        <f t="shared" si="0"/>
        <v>0</v>
      </c>
      <c r="K47" s="457">
        <f>cbalR2LOB1Rev/obalR2LOB1Rev-1</f>
        <v>1.6075389387199435E-2</v>
      </c>
      <c r="L47" s="457">
        <f>cbalR2LOB1Rev/obalR2LOB1Rev-1</f>
        <v>0</v>
      </c>
      <c r="M47" s="457">
        <f>cbalR2LOB1Rev/obalR2LOB1Rev-1</f>
        <v>0</v>
      </c>
      <c r="N47" s="8" t="s">
        <v>5596</v>
      </c>
      <c r="O47" s="131" t="b">
        <f t="shared" si="1"/>
        <v>0</v>
      </c>
    </row>
    <row r="48" spans="1:15">
      <c r="A48" s="132" t="s">
        <v>488</v>
      </c>
      <c r="E48" s="507">
        <f>calcLOB1Stars</f>
        <v>0.78900000000000003</v>
      </c>
      <c r="F48" s="507">
        <f>calcLOB1Stars</f>
        <v>0.82020000000000004</v>
      </c>
      <c r="G48" s="507">
        <f>calcLOB1Stars</f>
        <v>0.76490000000000002</v>
      </c>
      <c r="H48" s="8" t="s">
        <v>2801</v>
      </c>
      <c r="I48" s="131" t="b">
        <f t="shared" si="0"/>
        <v>0</v>
      </c>
      <c r="K48" s="507">
        <f>calcR2LOB1Stars</f>
        <v>0.77497922131414743</v>
      </c>
      <c r="L48" s="507">
        <f>calcR2LOB1Stars</f>
        <v>0.80089999999999995</v>
      </c>
      <c r="M48" s="507">
        <f>calcR2LOB1Stars</f>
        <v>0.74979999999999991</v>
      </c>
      <c r="N48" s="8" t="s">
        <v>5597</v>
      </c>
      <c r="O48" s="131" t="b">
        <f t="shared" si="1"/>
        <v>0</v>
      </c>
    </row>
    <row r="49" spans="1:15">
      <c r="A49" s="132" t="s">
        <v>489</v>
      </c>
      <c r="E49" s="506">
        <f>calcLOB1ESAT</f>
        <v>0.75</v>
      </c>
      <c r="F49" s="506">
        <f>calcLOB1ESAT</f>
        <v>0.77549999999999997</v>
      </c>
      <c r="G49" s="506">
        <f>calcLOB1ESAT</f>
        <v>0.74349999999999994</v>
      </c>
      <c r="H49" s="8" t="s">
        <v>2802</v>
      </c>
      <c r="I49" s="131" t="b">
        <f t="shared" si="0"/>
        <v>0</v>
      </c>
      <c r="K49" s="506">
        <f>calcR2LOB1ESAT</f>
        <v>0.71494805328536837</v>
      </c>
      <c r="L49" s="506">
        <f>calcR2LOB1ESAT</f>
        <v>0.79600000000000004</v>
      </c>
      <c r="M49" s="506">
        <f>calcR2LOB1ESAT</f>
        <v>0.73699999999999988</v>
      </c>
      <c r="N49" s="8" t="s">
        <v>5598</v>
      </c>
      <c r="O49" s="131" t="b">
        <f t="shared" si="1"/>
        <v>0</v>
      </c>
    </row>
    <row r="50" spans="1:15">
      <c r="A50" s="132" t="s">
        <v>490</v>
      </c>
      <c r="E50" s="506">
        <f>calcLOB1CSAT</f>
        <v>0.8599</v>
      </c>
      <c r="F50" s="506">
        <f>calcLOB1CSAT</f>
        <v>0.84666999999999992</v>
      </c>
      <c r="G50" s="506">
        <f>calcLOB1CSAT</f>
        <v>0.82153999999999994</v>
      </c>
      <c r="H50" s="8" t="s">
        <v>2803</v>
      </c>
      <c r="I50" s="131" t="b">
        <f t="shared" si="0"/>
        <v>0</v>
      </c>
      <c r="K50" s="506">
        <f>calcR2LOB1CSAT</f>
        <v>0.84798233811702528</v>
      </c>
      <c r="L50" s="506">
        <f>calcR2LOB1CSAT</f>
        <v>0.87088999999999994</v>
      </c>
      <c r="M50" s="506">
        <f>calcR2LOB1CSAT</f>
        <v>0.81807999999999992</v>
      </c>
      <c r="N50" s="8" t="s">
        <v>5599</v>
      </c>
      <c r="O50" s="131" t="b">
        <f t="shared" si="1"/>
        <v>0</v>
      </c>
    </row>
    <row r="51" spans="1:15">
      <c r="A51" s="132" t="s">
        <v>2984</v>
      </c>
      <c r="E51" s="506">
        <f>calcLOB1BDEngage</f>
        <v>0.8</v>
      </c>
      <c r="F51" s="506">
        <f>calcLOB1BDEngage</f>
        <v>0.8</v>
      </c>
      <c r="G51" s="506">
        <f>calcLOB1BDEngage</f>
        <v>0.79700000000000004</v>
      </c>
      <c r="H51" s="8" t="s">
        <v>2986</v>
      </c>
      <c r="I51" s="131" t="b">
        <f t="shared" si="0"/>
        <v>0</v>
      </c>
      <c r="K51" s="506">
        <f>calcR2LOB1BDEngage</f>
        <v>0.8</v>
      </c>
      <c r="L51" s="506">
        <f>calcR2LOB1BDEngage</f>
        <v>0.79900000000000004</v>
      </c>
      <c r="M51" s="506">
        <f>calcR2LOB1BDEngage</f>
        <v>0.79</v>
      </c>
      <c r="N51" s="8" t="s">
        <v>5600</v>
      </c>
      <c r="O51" s="131" t="b">
        <f t="shared" si="1"/>
        <v>0</v>
      </c>
    </row>
    <row r="52" spans="1:15">
      <c r="A52" s="132" t="s">
        <v>498</v>
      </c>
      <c r="E52" s="506">
        <f>calcLOB1DOOTotalPlanTime</f>
        <v>0.8</v>
      </c>
      <c r="F52" s="506">
        <f>calcLOB1DOOTotalPlanTime</f>
        <v>0.93</v>
      </c>
      <c r="G52" s="506">
        <f>calcLOB1DOOTotalPlanTime</f>
        <v>1.03</v>
      </c>
      <c r="H52" s="8" t="s">
        <v>2804</v>
      </c>
      <c r="I52" s="131" t="b">
        <f t="shared" si="0"/>
        <v>0</v>
      </c>
      <c r="K52" s="506">
        <f>calcR2LOB1DOOTotalPlanTime</f>
        <v>0.74</v>
      </c>
      <c r="L52" s="506">
        <f>calcR2LOB1DOOTotalPlanTime</f>
        <v>1.01</v>
      </c>
      <c r="M52" s="506">
        <f>calcR2LOB1DOOTotalPlanTime</f>
        <v>1.07</v>
      </c>
      <c r="N52" s="8" t="s">
        <v>5601</v>
      </c>
      <c r="O52" s="131" t="b">
        <f t="shared" si="1"/>
        <v>0</v>
      </c>
    </row>
    <row r="53" spans="1:15">
      <c r="A53" s="132" t="s">
        <v>4061</v>
      </c>
      <c r="E53" s="573">
        <f>obalLOB1AddFullTime</f>
        <v>21.6</v>
      </c>
      <c r="F53" s="573">
        <f>obalLOB1AddFullTime</f>
        <v>35</v>
      </c>
      <c r="G53" s="573">
        <f>obalLOB1AddFullTime</f>
        <v>16</v>
      </c>
      <c r="H53" s="8" t="s">
        <v>4065</v>
      </c>
      <c r="I53" s="131" t="b">
        <f t="shared" si="0"/>
        <v>0</v>
      </c>
      <c r="K53" s="573">
        <f>obalR2LOB1AddFullTime</f>
        <v>21.6</v>
      </c>
      <c r="L53" s="573">
        <f>obalR2LOB1AddFullTime</f>
        <v>35</v>
      </c>
      <c r="M53" s="573">
        <f>obalR2LOB1AddFullTime</f>
        <v>16</v>
      </c>
      <c r="N53" s="8" t="s">
        <v>5602</v>
      </c>
      <c r="O53" s="131" t="b">
        <f t="shared" si="1"/>
        <v>0</v>
      </c>
    </row>
    <row r="54" spans="1:15">
      <c r="A54" s="132" t="s">
        <v>4062</v>
      </c>
      <c r="E54" s="573">
        <f>obalLOB1AddPartTime</f>
        <v>5.4</v>
      </c>
      <c r="F54" s="573">
        <f>obalLOB1AddPartTime</f>
        <v>12</v>
      </c>
      <c r="G54" s="573">
        <f>obalLOB1AddPartTime</f>
        <v>6</v>
      </c>
      <c r="H54" s="8" t="s">
        <v>4066</v>
      </c>
      <c r="I54" s="131" t="b">
        <f t="shared" si="0"/>
        <v>0</v>
      </c>
      <c r="K54" s="573">
        <f>obalR2LOB1AddPartTime</f>
        <v>5.4</v>
      </c>
      <c r="L54" s="573">
        <f>obalR2LOB1AddPartTime</f>
        <v>12</v>
      </c>
      <c r="M54" s="573">
        <f>obalR2LOB1AddPartTime</f>
        <v>6</v>
      </c>
      <c r="N54" s="8" t="s">
        <v>5603</v>
      </c>
      <c r="O54" s="131" t="b">
        <f t="shared" si="1"/>
        <v>0</v>
      </c>
    </row>
    <row r="55" spans="1:15">
      <c r="A55" s="132" t="str">
        <f>nmDisc1 &amp; " Retention"</f>
        <v>RN Retention</v>
      </c>
      <c r="E55" s="506">
        <f>calcLOB1Disc1Retention</f>
        <v>0.85499999999999998</v>
      </c>
      <c r="F55" s="506">
        <f>calcLOB1Disc1Retention</f>
        <v>0.87680250000000004</v>
      </c>
      <c r="G55" s="506">
        <f>calcLOB1Disc1Retention</f>
        <v>0.84944249999999999</v>
      </c>
      <c r="H55" s="8" t="s">
        <v>4604</v>
      </c>
      <c r="I55" s="131" t="b">
        <f t="shared" si="0"/>
        <v>0</v>
      </c>
      <c r="K55" s="506">
        <f>calcR2LOB1Disc1Retention</f>
        <v>0.82503058555898989</v>
      </c>
      <c r="L55" s="506">
        <f>calcR2LOB1Disc1Retention</f>
        <v>0.89477695125000023</v>
      </c>
      <c r="M55" s="506">
        <f>calcR2LOB1Disc1Retention</f>
        <v>0.84392112374999995</v>
      </c>
      <c r="N55" s="8" t="s">
        <v>5604</v>
      </c>
      <c r="O55" s="131" t="b">
        <f t="shared" si="1"/>
        <v>0</v>
      </c>
    </row>
    <row r="56" spans="1:15">
      <c r="A56" s="132" t="str">
        <f>nmDisc2 &amp; " Retention"</f>
        <v>LPN Retention</v>
      </c>
      <c r="E56" s="506">
        <f>calcLOB1Disc2Retention</f>
        <v>0.95</v>
      </c>
      <c r="F56" s="506">
        <f>calcLOB1Disc2Retention</f>
        <v>0.97422500000000001</v>
      </c>
      <c r="G56" s="506">
        <f>calcLOB1Disc2Retention</f>
        <v>0.94382499999999991</v>
      </c>
      <c r="H56" s="8" t="s">
        <v>4605</v>
      </c>
      <c r="I56" s="131" t="b">
        <f t="shared" si="0"/>
        <v>0</v>
      </c>
      <c r="K56" s="506">
        <f>calcR2LOB1Disc2Retention</f>
        <v>0.91670065062109996</v>
      </c>
      <c r="L56" s="506">
        <f>calcR2LOB1Disc2Retention</f>
        <v>0.99419661250000024</v>
      </c>
      <c r="M56" s="506">
        <f>calcR2LOB1Disc2Retention</f>
        <v>0.93769013749999985</v>
      </c>
      <c r="N56" s="8" t="s">
        <v>5605</v>
      </c>
      <c r="O56" s="131" t="b">
        <f t="shared" si="1"/>
        <v>0</v>
      </c>
    </row>
    <row r="57" spans="1:15">
      <c r="A57" s="132" t="str">
        <f>nmDisc3 &amp; " Retention"</f>
        <v>PT Retention</v>
      </c>
      <c r="E57" s="506">
        <f>calcLOB1Disc3Retention</f>
        <v>0.95</v>
      </c>
      <c r="F57" s="506">
        <f>calcLOB1Disc3Retention</f>
        <v>0.97422500000000001</v>
      </c>
      <c r="G57" s="506">
        <f>calcLOB1Disc3Retention</f>
        <v>0.94382499999999991</v>
      </c>
      <c r="H57" s="8" t="s">
        <v>4606</v>
      </c>
      <c r="I57" s="131" t="b">
        <f t="shared" si="0"/>
        <v>0</v>
      </c>
      <c r="K57" s="506">
        <f>calcR2LOB1Disc3Retention</f>
        <v>0.91670065062109996</v>
      </c>
      <c r="L57" s="506">
        <f>calcR2LOB1Disc3Retention</f>
        <v>0.99419661250000024</v>
      </c>
      <c r="M57" s="506">
        <f>calcR2LOB1Disc3Retention</f>
        <v>0.93769013749999985</v>
      </c>
      <c r="N57" s="8" t="s">
        <v>5606</v>
      </c>
      <c r="O57" s="131" t="b">
        <f t="shared" si="1"/>
        <v>0</v>
      </c>
    </row>
    <row r="58" spans="1:15">
      <c r="A58" s="132" t="str">
        <f>nmDisc4 &amp; " Retention"</f>
        <v>OT Retention</v>
      </c>
      <c r="E58" s="506">
        <f>calcLOB1Disc4Retention</f>
        <v>0.95</v>
      </c>
      <c r="F58" s="506">
        <f>calcLOB1Disc4Retention</f>
        <v>0.97422500000000001</v>
      </c>
      <c r="G58" s="506">
        <f>calcLOB1Disc4Retention</f>
        <v>0.94382499999999991</v>
      </c>
      <c r="H58" s="8" t="s">
        <v>4607</v>
      </c>
      <c r="I58" s="131" t="b">
        <f t="shared" si="0"/>
        <v>0</v>
      </c>
      <c r="K58" s="506">
        <f>calcR2LOB1Disc4Retention</f>
        <v>0.91670065062109996</v>
      </c>
      <c r="L58" s="506">
        <f>calcR2LOB1Disc4Retention</f>
        <v>0.99419661250000024</v>
      </c>
      <c r="M58" s="506">
        <f>calcR2LOB1Disc4Retention</f>
        <v>0.93769013749999985</v>
      </c>
      <c r="N58" s="8" t="s">
        <v>5607</v>
      </c>
      <c r="O58" s="131" t="b">
        <f t="shared" si="1"/>
        <v>0</v>
      </c>
    </row>
    <row r="59" spans="1:15">
      <c r="A59" s="132" t="s">
        <v>8370</v>
      </c>
      <c r="E59" s="506">
        <f>calcLOB1AvgUtilization</f>
        <v>1.1402077868585265</v>
      </c>
      <c r="F59" s="506">
        <f>calcLOB1AvgUtilization</f>
        <v>0.93080111425526457</v>
      </c>
      <c r="G59" s="506">
        <f>calcLOB1AvgUtilization</f>
        <v>0.83826360110558551</v>
      </c>
      <c r="H59" s="8" t="s">
        <v>8375</v>
      </c>
      <c r="I59" s="131" t="b">
        <f t="shared" si="0"/>
        <v>0</v>
      </c>
      <c r="K59" s="506">
        <f>calcR2LOB1AvgUtilization</f>
        <v>1.3257789307897019</v>
      </c>
      <c r="L59" s="506">
        <f>calcR2LOB1AvgUtilization</f>
        <v>0.95090019337413756</v>
      </c>
      <c r="M59" s="506">
        <f>calcR2LOB1AvgUtilization</f>
        <v>0.89059120892469779</v>
      </c>
      <c r="N59" s="8" t="s">
        <v>8376</v>
      </c>
      <c r="O59" s="131" t="b">
        <f t="shared" si="1"/>
        <v>0</v>
      </c>
    </row>
    <row r="60" spans="1:15">
      <c r="A60" s="132"/>
      <c r="I60" s="131" t="b">
        <f t="shared" si="0"/>
        <v>1</v>
      </c>
      <c r="K60" s="159"/>
      <c r="L60" s="159"/>
      <c r="M60" s="159"/>
      <c r="O60" s="131" t="b">
        <f t="shared" si="1"/>
        <v>1</v>
      </c>
    </row>
    <row r="61" spans="1:15">
      <c r="A61" s="132" t="s">
        <v>498</v>
      </c>
      <c r="I61" s="131" t="b">
        <f t="shared" si="0"/>
        <v>1</v>
      </c>
      <c r="K61" s="159"/>
      <c r="L61" s="159"/>
      <c r="M61" s="159"/>
      <c r="O61" s="131" t="b">
        <f t="shared" si="1"/>
        <v>1</v>
      </c>
    </row>
    <row r="62" spans="1:15">
      <c r="A62" s="132" t="s">
        <v>561</v>
      </c>
      <c r="E62" s="457">
        <f>calcLOB1DOOPlanTime1</f>
        <v>0.8</v>
      </c>
      <c r="F62" s="457">
        <f>calcLOB1DOOPlanTime1</f>
        <v>0.9</v>
      </c>
      <c r="G62" s="457">
        <f>calcLOB1DOOPlanTime1</f>
        <v>1.02</v>
      </c>
      <c r="H62" s="63" t="s">
        <v>4593</v>
      </c>
      <c r="I62" s="131" t="b">
        <f t="shared" si="0"/>
        <v>0</v>
      </c>
      <c r="K62" s="457">
        <f>calcR2LOB1DOOPlanTime1</f>
        <v>0.74</v>
      </c>
      <c r="L62" s="457">
        <f>calcR2LOB1DOOPlanTime1</f>
        <v>0.98</v>
      </c>
      <c r="M62" s="457">
        <f>calcR2LOB1DOOPlanTime1</f>
        <v>1.02</v>
      </c>
      <c r="N62" s="63" t="s">
        <v>5608</v>
      </c>
      <c r="O62" s="131" t="b">
        <f t="shared" si="1"/>
        <v>0</v>
      </c>
    </row>
    <row r="63" spans="1:15">
      <c r="A63" s="132" t="s">
        <v>562</v>
      </c>
      <c r="E63" s="457">
        <f>calcLOB1DOOPlanTime2</f>
        <v>0</v>
      </c>
      <c r="F63" s="457">
        <f>calcLOB1DOOPlanTime2</f>
        <v>0</v>
      </c>
      <c r="G63" s="457">
        <f>calcLOB1DOOPlanTime2</f>
        <v>0</v>
      </c>
      <c r="H63" s="63" t="s">
        <v>4594</v>
      </c>
      <c r="I63" s="131" t="b">
        <f t="shared" si="0"/>
        <v>1</v>
      </c>
      <c r="K63" s="457">
        <f>calcR2LOB1DOOPlanTime2</f>
        <v>0</v>
      </c>
      <c r="L63" s="457">
        <f>calcR2LOB1DOOPlanTime2</f>
        <v>0</v>
      </c>
      <c r="M63" s="457">
        <f>calcR2LOB1DOOPlanTime2</f>
        <v>0</v>
      </c>
      <c r="N63" s="63" t="s">
        <v>5609</v>
      </c>
      <c r="O63" s="131" t="b">
        <f t="shared" si="1"/>
        <v>1</v>
      </c>
    </row>
    <row r="64" spans="1:15">
      <c r="A64" s="132" t="s">
        <v>563</v>
      </c>
      <c r="E64" s="457">
        <f>calcLOB1DOOPlanTime3</f>
        <v>0</v>
      </c>
      <c r="F64" s="457">
        <f>calcLOB1DOOPlanTime3</f>
        <v>0.03</v>
      </c>
      <c r="G64" s="457">
        <f>calcLOB1DOOPlanTime3</f>
        <v>0.01</v>
      </c>
      <c r="H64" s="63" t="s">
        <v>4595</v>
      </c>
      <c r="I64" s="131" t="b">
        <f t="shared" si="0"/>
        <v>0</v>
      </c>
      <c r="K64" s="457">
        <f>calcR2LOB1DOOPlanTime3</f>
        <v>0</v>
      </c>
      <c r="L64" s="457">
        <f>calcR2LOB1DOOPlanTime3</f>
        <v>0.03</v>
      </c>
      <c r="M64" s="457">
        <f>calcR2LOB1DOOPlanTime3</f>
        <v>0.05</v>
      </c>
      <c r="N64" s="63" t="s">
        <v>5610</v>
      </c>
      <c r="O64" s="131" t="b">
        <f t="shared" si="1"/>
        <v>0</v>
      </c>
    </row>
    <row r="65" spans="1:15">
      <c r="A65" s="132" t="s">
        <v>564</v>
      </c>
      <c r="E65" s="457">
        <f>calcLOB1DOOPlanTime4</f>
        <v>0</v>
      </c>
      <c r="F65" s="457">
        <f>calcLOB1DOOPlanTime4</f>
        <v>0</v>
      </c>
      <c r="G65" s="457">
        <f>calcLOB1DOOPlanTime4</f>
        <v>0</v>
      </c>
      <c r="H65" s="63" t="s">
        <v>4596</v>
      </c>
      <c r="I65" s="131" t="b">
        <f t="shared" si="0"/>
        <v>1</v>
      </c>
      <c r="K65" s="457">
        <f>calcR2LOB1DOOPlanTime4</f>
        <v>0</v>
      </c>
      <c r="L65" s="457">
        <f>calcR2LOB1DOOPlanTime4</f>
        <v>0</v>
      </c>
      <c r="M65" s="457">
        <f>calcR2LOB1DOOPlanTime4</f>
        <v>0</v>
      </c>
      <c r="N65" s="63" t="s">
        <v>5611</v>
      </c>
      <c r="O65" s="131" t="b">
        <f t="shared" si="1"/>
        <v>1</v>
      </c>
    </row>
    <row r="66" spans="1:15">
      <c r="A66" s="132" t="s">
        <v>565</v>
      </c>
      <c r="E66" s="457">
        <f>calcLOB1DOOPlanTime5</f>
        <v>0</v>
      </c>
      <c r="F66" s="457">
        <f>calcLOB1DOOPlanTime5</f>
        <v>0</v>
      </c>
      <c r="G66" s="457">
        <f>calcLOB1DOOPlanTime5</f>
        <v>0</v>
      </c>
      <c r="H66" s="63" t="s">
        <v>4597</v>
      </c>
      <c r="I66" s="131" t="b">
        <f t="shared" si="0"/>
        <v>1</v>
      </c>
      <c r="K66" s="457">
        <f>calcR2LOB1DOOPlanTime5</f>
        <v>0</v>
      </c>
      <c r="L66" s="457">
        <f>calcR2LOB1DOOPlanTime5</f>
        <v>0</v>
      </c>
      <c r="M66" s="457">
        <f>calcR2LOB1DOOPlanTime5</f>
        <v>0</v>
      </c>
      <c r="N66" s="63" t="s">
        <v>5612</v>
      </c>
      <c r="O66" s="131" t="b">
        <f t="shared" si="1"/>
        <v>1</v>
      </c>
    </row>
    <row r="67" spans="1:15">
      <c r="A67" s="132" t="s">
        <v>566</v>
      </c>
      <c r="E67" s="457">
        <f>calcLOB1DOOPlanTime6</f>
        <v>0</v>
      </c>
      <c r="F67" s="457">
        <f>calcLOB1DOOPlanTime6</f>
        <v>0</v>
      </c>
      <c r="G67" s="457">
        <f>calcLOB1DOOPlanTime6</f>
        <v>0</v>
      </c>
      <c r="H67" s="63" t="s">
        <v>4598</v>
      </c>
      <c r="I67" s="131" t="b">
        <f t="shared" si="0"/>
        <v>1</v>
      </c>
      <c r="K67" s="457">
        <f>calcR2LOB1DOOPlanTime6</f>
        <v>0</v>
      </c>
      <c r="L67" s="457">
        <f>calcR2LOB1DOOPlanTime6</f>
        <v>0</v>
      </c>
      <c r="M67" s="457">
        <f>calcR2LOB1DOOPlanTime6</f>
        <v>0</v>
      </c>
      <c r="N67" s="63" t="s">
        <v>5613</v>
      </c>
      <c r="O67" s="131" t="b">
        <f t="shared" si="1"/>
        <v>1</v>
      </c>
    </row>
    <row r="68" spans="1:15">
      <c r="A68" s="132" t="s">
        <v>13</v>
      </c>
      <c r="E68" s="457">
        <f>calcLOB1DOOTotalPlanTime</f>
        <v>0.8</v>
      </c>
      <c r="F68" s="457">
        <f>calcLOB1DOOTotalPlanTime</f>
        <v>0.93</v>
      </c>
      <c r="G68" s="457">
        <f>calcLOB1DOOTotalPlanTime</f>
        <v>1.03</v>
      </c>
      <c r="H68" s="131" t="s">
        <v>4599</v>
      </c>
      <c r="I68" s="131" t="b">
        <f t="shared" si="0"/>
        <v>0</v>
      </c>
      <c r="K68" s="457">
        <f>calcR2LOB1DOOTotalPlanTime</f>
        <v>0.74</v>
      </c>
      <c r="L68" s="457">
        <f>calcR2LOB1DOOTotalPlanTime</f>
        <v>1.01</v>
      </c>
      <c r="M68" s="457">
        <f>calcR2LOB1DOOTotalPlanTime</f>
        <v>1.07</v>
      </c>
      <c r="N68" s="131" t="s">
        <v>5614</v>
      </c>
      <c r="O68" s="131" t="b">
        <f t="shared" si="1"/>
        <v>0</v>
      </c>
    </row>
    <row r="69" spans="1:15">
      <c r="A69" s="132"/>
      <c r="I69" s="131" t="b">
        <f t="shared" si="0"/>
        <v>1</v>
      </c>
      <c r="K69" s="159"/>
      <c r="L69" s="159"/>
      <c r="M69" s="159"/>
      <c r="O69" s="131" t="b">
        <f t="shared" si="1"/>
        <v>1</v>
      </c>
    </row>
    <row r="70" spans="1:15">
      <c r="A70" s="132" t="s">
        <v>1496</v>
      </c>
      <c r="D70" s="8"/>
      <c r="E70" s="464"/>
      <c r="F70" s="464"/>
      <c r="G70" s="464"/>
      <c r="I70" s="131" t="b">
        <f t="shared" si="0"/>
        <v>1</v>
      </c>
      <c r="K70" s="464"/>
      <c r="L70" s="464"/>
      <c r="M70" s="464"/>
      <c r="O70" s="131" t="b">
        <f t="shared" si="1"/>
        <v>1</v>
      </c>
    </row>
    <row r="71" spans="1:15">
      <c r="A71" s="76" t="s">
        <v>595</v>
      </c>
      <c r="D71" s="63">
        <v>1</v>
      </c>
      <c r="E71" s="387" t="str">
        <f>obalLOB1DiscClinician1</f>
        <v>RN</v>
      </c>
      <c r="F71" s="387" t="str">
        <f>obalLOB1DiscClinician1</f>
        <v>RN</v>
      </c>
      <c r="G71" s="387" t="str">
        <f>obalLOB1DiscClinician1</f>
        <v>RN</v>
      </c>
      <c r="H71" s="8" t="s">
        <v>1513</v>
      </c>
      <c r="I71" s="131" t="b">
        <f t="shared" si="0"/>
        <v>1</v>
      </c>
      <c r="J71" s="63">
        <v>1</v>
      </c>
      <c r="K71" s="387" t="str">
        <f>obalR2LOB1DiscClinician1</f>
        <v>RN</v>
      </c>
      <c r="L71" s="387" t="str">
        <f>obalR2LOB1DiscClinician1</f>
        <v>RN</v>
      </c>
      <c r="M71" s="387" t="str">
        <f>obalR2LOB1DiscClinician1</f>
        <v>RN</v>
      </c>
      <c r="N71" s="8" t="s">
        <v>5615</v>
      </c>
      <c r="O71" s="131" t="b">
        <f t="shared" si="1"/>
        <v>1</v>
      </c>
    </row>
    <row r="72" spans="1:15">
      <c r="A72" s="76" t="s">
        <v>596</v>
      </c>
      <c r="D72" s="63">
        <v>2</v>
      </c>
      <c r="E72" s="387" t="str">
        <f>obalLOB1DiscClinician2</f>
        <v>RN</v>
      </c>
      <c r="F72" s="387" t="str">
        <f>obalLOB1DiscClinician2</f>
        <v>RN</v>
      </c>
      <c r="G72" s="387" t="str">
        <f>obalLOB1DiscClinician2</f>
        <v>RN</v>
      </c>
      <c r="H72" s="8" t="s">
        <v>1514</v>
      </c>
      <c r="I72" s="131" t="b">
        <f t="shared" si="0"/>
        <v>1</v>
      </c>
      <c r="J72" s="63">
        <v>2</v>
      </c>
      <c r="K72" s="387" t="str">
        <f>obalR2LOB1DiscClinician2</f>
        <v>RN</v>
      </c>
      <c r="L72" s="387" t="str">
        <f>obalR2LOB1DiscClinician2</f>
        <v>RN</v>
      </c>
      <c r="M72" s="387" t="str">
        <f>obalR2LOB1DiscClinician2</f>
        <v>RN</v>
      </c>
      <c r="N72" s="8" t="s">
        <v>5616</v>
      </c>
      <c r="O72" s="131" t="b">
        <f t="shared" si="1"/>
        <v>1</v>
      </c>
    </row>
    <row r="73" spans="1:15">
      <c r="A73" s="76" t="s">
        <v>597</v>
      </c>
      <c r="D73" s="63">
        <v>3</v>
      </c>
      <c r="E73" s="387" t="str">
        <f>obalLOB1DiscClinician3</f>
        <v>RN</v>
      </c>
      <c r="F73" s="387" t="str">
        <f>obalLOB1DiscClinician3</f>
        <v>RN</v>
      </c>
      <c r="G73" s="387" t="str">
        <f>obalLOB1DiscClinician3</f>
        <v>RN</v>
      </c>
      <c r="H73" s="8" t="s">
        <v>1515</v>
      </c>
      <c r="I73" s="131" t="b">
        <f t="shared" si="0"/>
        <v>1</v>
      </c>
      <c r="J73" s="63">
        <v>3</v>
      </c>
      <c r="K73" s="387" t="str">
        <f>obalR2LOB1DiscClinician3</f>
        <v>RN</v>
      </c>
      <c r="L73" s="387" t="str">
        <f>obalR2LOB1DiscClinician3</f>
        <v>RN</v>
      </c>
      <c r="M73" s="387" t="str">
        <f>obalR2LOB1DiscClinician3</f>
        <v>RN</v>
      </c>
      <c r="N73" s="8" t="s">
        <v>5617</v>
      </c>
      <c r="O73" s="131" t="b">
        <f t="shared" si="1"/>
        <v>1</v>
      </c>
    </row>
    <row r="74" spans="1:15">
      <c r="A74" s="76" t="s">
        <v>598</v>
      </c>
      <c r="D74" s="8">
        <v>4</v>
      </c>
      <c r="E74" s="387" t="str">
        <f>obalLOB1DiscClinician4</f>
        <v>LPN</v>
      </c>
      <c r="F74" s="387" t="str">
        <f>obalLOB1DiscClinician4</f>
        <v>LPN</v>
      </c>
      <c r="G74" s="387" t="str">
        <f>obalLOB1DiscClinician4</f>
        <v>LPN</v>
      </c>
      <c r="H74" s="8" t="s">
        <v>1516</v>
      </c>
      <c r="I74" s="131" t="b">
        <f t="shared" si="0"/>
        <v>1</v>
      </c>
      <c r="J74" s="8">
        <v>4</v>
      </c>
      <c r="K74" s="387" t="str">
        <f>obalR2LOB1DiscClinician4</f>
        <v>LPN</v>
      </c>
      <c r="L74" s="387" t="str">
        <f>obalR2LOB1DiscClinician4</f>
        <v>LPN</v>
      </c>
      <c r="M74" s="387" t="str">
        <f>obalR2LOB1DiscClinician4</f>
        <v>LPN</v>
      </c>
      <c r="N74" s="8" t="s">
        <v>5618</v>
      </c>
      <c r="O74" s="131" t="b">
        <f t="shared" si="1"/>
        <v>1</v>
      </c>
    </row>
    <row r="75" spans="1:15">
      <c r="A75" s="76" t="s">
        <v>599</v>
      </c>
      <c r="D75" s="8">
        <v>5</v>
      </c>
      <c r="E75" s="387" t="str">
        <f>obalLOB1DiscClinician5</f>
        <v>LPN</v>
      </c>
      <c r="F75" s="387" t="str">
        <f>obalLOB1DiscClinician5</f>
        <v>LPN</v>
      </c>
      <c r="G75" s="387" t="str">
        <f>obalLOB1DiscClinician5</f>
        <v>LPN</v>
      </c>
      <c r="H75" s="8" t="s">
        <v>1517</v>
      </c>
      <c r="I75" s="131" t="b">
        <f t="shared" si="0"/>
        <v>1</v>
      </c>
      <c r="J75" s="8">
        <v>5</v>
      </c>
      <c r="K75" s="387" t="str">
        <f>obalR2LOB1DiscClinician5</f>
        <v>LPN</v>
      </c>
      <c r="L75" s="387" t="str">
        <f>obalR2LOB1DiscClinician5</f>
        <v>LPN</v>
      </c>
      <c r="M75" s="387" t="str">
        <f>obalR2LOB1DiscClinician5</f>
        <v>LPN</v>
      </c>
      <c r="N75" s="8" t="s">
        <v>5619</v>
      </c>
      <c r="O75" s="131" t="b">
        <f t="shared" si="1"/>
        <v>1</v>
      </c>
    </row>
    <row r="76" spans="1:15">
      <c r="A76" s="76" t="s">
        <v>600</v>
      </c>
      <c r="D76" s="633">
        <v>6</v>
      </c>
      <c r="E76" s="387" t="str">
        <f>obalLOB1DiscClinician6</f>
        <v>PTA</v>
      </c>
      <c r="F76" s="387" t="str">
        <f>obalLOB1DiscClinician6</f>
        <v>PTA</v>
      </c>
      <c r="G76" s="387" t="str">
        <f>obalLOB1DiscClinician6</f>
        <v>PTA</v>
      </c>
      <c r="H76" s="8" t="s">
        <v>1518</v>
      </c>
      <c r="I76" s="131" t="b">
        <f t="shared" si="0"/>
        <v>1</v>
      </c>
      <c r="J76" s="8">
        <v>6</v>
      </c>
      <c r="K76" s="387" t="str">
        <f>obalR2LOB1DiscClinician6</f>
        <v>PTA</v>
      </c>
      <c r="L76" s="387" t="str">
        <f>obalR2LOB1DiscClinician6</f>
        <v>PTA</v>
      </c>
      <c r="M76" s="387" t="str">
        <f>obalR2LOB1DiscClinician6</f>
        <v>PTA</v>
      </c>
      <c r="N76" s="8" t="s">
        <v>5620</v>
      </c>
      <c r="O76" s="131" t="b">
        <f t="shared" si="1"/>
        <v>1</v>
      </c>
    </row>
    <row r="77" spans="1:15">
      <c r="A77" s="76" t="s">
        <v>601</v>
      </c>
      <c r="D77" s="761">
        <v>7</v>
      </c>
      <c r="E77" s="387" t="str">
        <f>obalLOB1DiscClinician7</f>
        <v>PT</v>
      </c>
      <c r="F77" s="387" t="str">
        <f>obalLOB1DiscClinician7</f>
        <v>PT</v>
      </c>
      <c r="G77" s="387" t="str">
        <f>obalLOB1DiscClinician7</f>
        <v>PT</v>
      </c>
      <c r="H77" s="8" t="s">
        <v>1519</v>
      </c>
      <c r="I77" s="131" t="b">
        <f t="shared" si="0"/>
        <v>1</v>
      </c>
      <c r="J77" s="63">
        <v>7</v>
      </c>
      <c r="K77" s="387" t="str">
        <f>obalR2LOB1DiscClinician7</f>
        <v>PT</v>
      </c>
      <c r="L77" s="387" t="str">
        <f>obalR2LOB1DiscClinician7</f>
        <v>PT</v>
      </c>
      <c r="M77" s="387" t="str">
        <f>obalR2LOB1DiscClinician7</f>
        <v>PT</v>
      </c>
      <c r="N77" s="8" t="s">
        <v>5621</v>
      </c>
      <c r="O77" s="131" t="b">
        <f t="shared" si="1"/>
        <v>1</v>
      </c>
    </row>
    <row r="78" spans="1:15">
      <c r="A78" s="76" t="s">
        <v>602</v>
      </c>
      <c r="D78" s="761">
        <v>8</v>
      </c>
      <c r="E78" s="387" t="str">
        <f>obalLOB1DiscClinician8</f>
        <v>PT</v>
      </c>
      <c r="F78" s="387" t="str">
        <f>obalLOB1DiscClinician8</f>
        <v>PT</v>
      </c>
      <c r="G78" s="387" t="str">
        <f>obalLOB1DiscClinician8</f>
        <v>PT</v>
      </c>
      <c r="H78" s="8" t="s">
        <v>1520</v>
      </c>
      <c r="I78" s="131" t="b">
        <f t="shared" si="0"/>
        <v>1</v>
      </c>
      <c r="J78" s="63">
        <v>8</v>
      </c>
      <c r="K78" s="387" t="str">
        <f>obalR2LOB1DiscClinician8</f>
        <v>PT</v>
      </c>
      <c r="L78" s="387" t="str">
        <f>obalR2LOB1DiscClinician8</f>
        <v>PT</v>
      </c>
      <c r="M78" s="387" t="str">
        <f>obalR2LOB1DiscClinician8</f>
        <v>PT</v>
      </c>
      <c r="N78" s="8" t="s">
        <v>5622</v>
      </c>
      <c r="O78" s="131" t="b">
        <f t="shared" si="1"/>
        <v>1</v>
      </c>
    </row>
    <row r="79" spans="1:15">
      <c r="A79" s="76" t="s">
        <v>603</v>
      </c>
      <c r="D79" s="761">
        <v>9</v>
      </c>
      <c r="E79" s="387" t="str">
        <f>obalLOB1DiscClinician9</f>
        <v>PT</v>
      </c>
      <c r="F79" s="387" t="str">
        <f>obalLOB1DiscClinician9</f>
        <v>PT</v>
      </c>
      <c r="G79" s="387" t="str">
        <f>obalLOB1DiscClinician9</f>
        <v>PT</v>
      </c>
      <c r="H79" s="8" t="s">
        <v>1521</v>
      </c>
      <c r="I79" s="131" t="b">
        <f t="shared" si="0"/>
        <v>1</v>
      </c>
      <c r="J79" s="63">
        <v>9</v>
      </c>
      <c r="K79" s="387" t="str">
        <f>obalR2LOB1DiscClinician9</f>
        <v>PT</v>
      </c>
      <c r="L79" s="387" t="str">
        <f>obalR2LOB1DiscClinician9</f>
        <v>PT</v>
      </c>
      <c r="M79" s="387" t="str">
        <f>obalR2LOB1DiscClinician9</f>
        <v>PT</v>
      </c>
      <c r="N79" s="8" t="s">
        <v>5623</v>
      </c>
      <c r="O79" s="131" t="b">
        <f t="shared" si="1"/>
        <v>1</v>
      </c>
    </row>
    <row r="80" spans="1:15">
      <c r="A80" s="76" t="s">
        <v>604</v>
      </c>
      <c r="D80" s="8">
        <v>10</v>
      </c>
      <c r="E80" s="387" t="str">
        <f>obalLOB1DiscClinician10</f>
        <v>OT</v>
      </c>
      <c r="F80" s="387" t="str">
        <f>obalLOB1DiscClinician10</f>
        <v>OT</v>
      </c>
      <c r="G80" s="387" t="str">
        <f>obalLOB1DiscClinician10</f>
        <v>OT</v>
      </c>
      <c r="H80" s="8" t="s">
        <v>1522</v>
      </c>
      <c r="I80" s="131" t="b">
        <f t="shared" si="0"/>
        <v>1</v>
      </c>
      <c r="J80" s="8">
        <v>10</v>
      </c>
      <c r="K80" s="387" t="str">
        <f>obalR2LOB1DiscClinician10</f>
        <v>OT</v>
      </c>
      <c r="L80" s="387" t="str">
        <f>obalR2LOB1DiscClinician10</f>
        <v>OT</v>
      </c>
      <c r="M80" s="387" t="str">
        <f>obalR2LOB1DiscClinician10</f>
        <v>OT</v>
      </c>
      <c r="N80" s="8" t="s">
        <v>5624</v>
      </c>
      <c r="O80" s="131" t="b">
        <f t="shared" si="1"/>
        <v>1</v>
      </c>
    </row>
    <row r="81" spans="1:15">
      <c r="A81" s="76" t="s">
        <v>1497</v>
      </c>
      <c r="D81" s="8">
        <v>11</v>
      </c>
      <c r="E81" s="387">
        <f>VLOOKUP(calcLOB1Clinician11LookupValue,dataTableCC1Staff,2,FALSE)</f>
        <v>0</v>
      </c>
      <c r="F81" s="387">
        <f>VLOOKUP(calcLOB1Clinician11LookupValue,dataTableCC1Staff,2,FALSE)</f>
        <v>0</v>
      </c>
      <c r="G81" s="387">
        <f>VLOOKUP(calcLOB1Clinician11LookupValue,dataTableCC1Staff,2,FALSE)</f>
        <v>0</v>
      </c>
      <c r="H81" s="8" t="s">
        <v>1523</v>
      </c>
      <c r="I81" s="131" t="b">
        <f t="shared" ref="I81:I152" si="2">MAX(E81:G81)=MIN(E81:G81)</f>
        <v>1</v>
      </c>
      <c r="J81" s="8">
        <v>11</v>
      </c>
      <c r="K81" s="387">
        <f>VLOOKUP(calcR2LOB1Clinician11LookupValue,dataTableCC1Staff,2,FALSE)</f>
        <v>0</v>
      </c>
      <c r="L81" s="387">
        <f>VLOOKUP(calcR2LOB1Clinician11LookupValue,dataTableCC1Staff,2,FALSE)</f>
        <v>0</v>
      </c>
      <c r="M81" s="387">
        <f>VLOOKUP(calcR2LOB1Clinician11LookupValue,dataTableCC1Staff,2,FALSE)</f>
        <v>0</v>
      </c>
      <c r="N81" s="8" t="s">
        <v>5625</v>
      </c>
      <c r="O81" s="131" t="b">
        <f t="shared" ref="O81:O152" si="3">MAX(K81:M81)=MIN(K81:M81)</f>
        <v>1</v>
      </c>
    </row>
    <row r="82" spans="1:15">
      <c r="A82" s="76" t="s">
        <v>1498</v>
      </c>
      <c r="D82" s="63">
        <v>12</v>
      </c>
      <c r="E82" s="387">
        <f>VLOOKUP(calcLOB1Clinician12LookupValue,dataTableCC1Staff,2,FALSE)</f>
        <v>0</v>
      </c>
      <c r="F82" s="387">
        <f>VLOOKUP(calcLOB1Clinician12LookupValue,dataTableCC1Staff,2,FALSE)</f>
        <v>0</v>
      </c>
      <c r="G82" s="387">
        <f>VLOOKUP(calcLOB1Clinician12LookupValue,dataTableCC1Staff,2,FALSE)</f>
        <v>0</v>
      </c>
      <c r="H82" s="8" t="s">
        <v>1524</v>
      </c>
      <c r="I82" s="131" t="b">
        <f t="shared" si="2"/>
        <v>1</v>
      </c>
      <c r="J82" s="63">
        <v>12</v>
      </c>
      <c r="K82" s="387">
        <f>VLOOKUP(calcR2LOB1Clinician12LookupValue,dataTableCC1Staff,2,FALSE)</f>
        <v>0</v>
      </c>
      <c r="L82" s="387">
        <f>VLOOKUP(calcR2LOB1Clinician12LookupValue,dataTableCC1Staff,2,FALSE)</f>
        <v>0</v>
      </c>
      <c r="M82" s="387">
        <f>VLOOKUP(calcR2LOB1Clinician12LookupValue,dataTableCC1Staff,2,FALSE)</f>
        <v>0</v>
      </c>
      <c r="N82" s="8" t="s">
        <v>5626</v>
      </c>
      <c r="O82" s="131" t="b">
        <f t="shared" si="3"/>
        <v>1</v>
      </c>
    </row>
    <row r="83" spans="1:15">
      <c r="A83" s="76" t="s">
        <v>3998</v>
      </c>
      <c r="D83" s="63">
        <v>19</v>
      </c>
      <c r="E83" s="8" t="str">
        <f>obalLOB1DiscClinician13</f>
        <v>RN</v>
      </c>
      <c r="F83" s="8" t="str">
        <f>obalLOB1DiscClinician13</f>
        <v>RN</v>
      </c>
      <c r="G83" s="8" t="str">
        <f>obalLOB1DiscClinician13</f>
        <v>RN</v>
      </c>
      <c r="H83" s="8" t="s">
        <v>4006</v>
      </c>
      <c r="I83" s="131" t="b">
        <f t="shared" si="2"/>
        <v>1</v>
      </c>
      <c r="J83" s="63">
        <v>19</v>
      </c>
      <c r="K83" s="8" t="str">
        <f>obalR2LOB1DiscClinician13</f>
        <v>RN</v>
      </c>
      <c r="L83" s="8" t="str">
        <f>obalR2LOB1DiscClinician13</f>
        <v>RN</v>
      </c>
      <c r="M83" s="8" t="str">
        <f>obalR2LOB1DiscClinician13</f>
        <v>RN</v>
      </c>
      <c r="N83" s="8" t="s">
        <v>5627</v>
      </c>
      <c r="O83" s="131" t="b">
        <f t="shared" si="3"/>
        <v>1</v>
      </c>
    </row>
    <row r="84" spans="1:15">
      <c r="A84" s="76" t="s">
        <v>3999</v>
      </c>
      <c r="D84" s="63">
        <v>20</v>
      </c>
      <c r="E84" s="8" t="str">
        <f>obalLOB1DiscClinician14</f>
        <v>LPN</v>
      </c>
      <c r="F84" s="8" t="str">
        <f>obalLOB1DiscClinician14</f>
        <v>LPN</v>
      </c>
      <c r="G84" s="8" t="str">
        <f>obalLOB1DiscClinician14</f>
        <v>LPN</v>
      </c>
      <c r="H84" s="8" t="s">
        <v>4007</v>
      </c>
      <c r="I84" s="131" t="b">
        <f t="shared" si="2"/>
        <v>1</v>
      </c>
      <c r="J84" s="63">
        <v>20</v>
      </c>
      <c r="K84" s="8" t="str">
        <f>obalR2LOB1DiscClinician14</f>
        <v>LPN</v>
      </c>
      <c r="L84" s="8" t="str">
        <f>obalR2LOB1DiscClinician14</f>
        <v>LPN</v>
      </c>
      <c r="M84" s="8" t="str">
        <f>obalR2LOB1DiscClinician14</f>
        <v>LPN</v>
      </c>
      <c r="N84" s="8" t="s">
        <v>5628</v>
      </c>
      <c r="O84" s="131" t="b">
        <f t="shared" si="3"/>
        <v>1</v>
      </c>
    </row>
    <row r="85" spans="1:15">
      <c r="A85" s="76" t="s">
        <v>4000</v>
      </c>
      <c r="D85" s="761">
        <v>21</v>
      </c>
      <c r="E85" s="8" t="str">
        <f>obalLOB1DiscClinician15</f>
        <v>PT</v>
      </c>
      <c r="F85" s="8" t="str">
        <f>obalLOB1DiscClinician15</f>
        <v>PT</v>
      </c>
      <c r="G85" s="8" t="str">
        <f>obalLOB1DiscClinician15</f>
        <v>PT</v>
      </c>
      <c r="H85" s="8" t="s">
        <v>4008</v>
      </c>
      <c r="I85" s="131" t="b">
        <f t="shared" si="2"/>
        <v>1</v>
      </c>
      <c r="J85" s="63">
        <v>21</v>
      </c>
      <c r="K85" s="8" t="str">
        <f>obalR2LOB1DiscClinician15</f>
        <v>PT</v>
      </c>
      <c r="L85" s="8" t="str">
        <f>obalR2LOB1DiscClinician15</f>
        <v>PT</v>
      </c>
      <c r="M85" s="8" t="str">
        <f>obalR2LOB1DiscClinician15</f>
        <v>PT</v>
      </c>
      <c r="N85" s="8" t="s">
        <v>5629</v>
      </c>
      <c r="O85" s="131" t="b">
        <f t="shared" si="3"/>
        <v>1</v>
      </c>
    </row>
    <row r="86" spans="1:15">
      <c r="A86" s="76" t="s">
        <v>4001</v>
      </c>
      <c r="D86" s="63">
        <v>22</v>
      </c>
      <c r="E86" s="8" t="str">
        <f>obalLOB1DiscClinician16</f>
        <v>OT</v>
      </c>
      <c r="F86" s="8" t="str">
        <f>obalLOB1DiscClinician16</f>
        <v>OT</v>
      </c>
      <c r="G86" s="8" t="str">
        <f>obalLOB1DiscClinician16</f>
        <v>OT</v>
      </c>
      <c r="H86" s="8" t="s">
        <v>4009</v>
      </c>
      <c r="I86" s="131" t="b">
        <f t="shared" si="2"/>
        <v>1</v>
      </c>
      <c r="J86" s="63">
        <v>22</v>
      </c>
      <c r="K86" s="8" t="str">
        <f>obalR2LOB1DiscClinician16</f>
        <v>OT</v>
      </c>
      <c r="L86" s="8" t="str">
        <f>obalR2LOB1DiscClinician16</f>
        <v>OT</v>
      </c>
      <c r="M86" s="8" t="str">
        <f>obalR2LOB1DiscClinician16</f>
        <v>OT</v>
      </c>
      <c r="N86" s="8" t="s">
        <v>5630</v>
      </c>
      <c r="O86" s="131" t="b">
        <f t="shared" si="3"/>
        <v>1</v>
      </c>
    </row>
    <row r="87" spans="1:15">
      <c r="A87" s="76"/>
      <c r="E87" s="464"/>
      <c r="F87" s="464"/>
      <c r="G87" s="464"/>
      <c r="I87" s="131" t="b">
        <f t="shared" si="2"/>
        <v>1</v>
      </c>
      <c r="K87" s="464"/>
      <c r="L87" s="464"/>
      <c r="M87" s="464"/>
      <c r="O87" s="131" t="b">
        <f t="shared" si="3"/>
        <v>1</v>
      </c>
    </row>
    <row r="88" spans="1:15">
      <c r="A88" s="76" t="s">
        <v>1525</v>
      </c>
      <c r="I88" s="131" t="b">
        <f t="shared" si="2"/>
        <v>1</v>
      </c>
      <c r="K88" s="159"/>
      <c r="L88" s="159"/>
      <c r="M88" s="159"/>
      <c r="O88" s="131" t="b">
        <f t="shared" si="3"/>
        <v>1</v>
      </c>
    </row>
    <row r="89" spans="1:15">
      <c r="A89" s="76" t="s">
        <v>595</v>
      </c>
      <c r="D89" s="63">
        <v>1</v>
      </c>
      <c r="E89" s="8" t="str">
        <f>obalLOB1EmpStatClinician1</f>
        <v>Full-Time</v>
      </c>
      <c r="F89" s="8" t="str">
        <f>obalLOB1EmpStatClinician1</f>
        <v>Full-Time</v>
      </c>
      <c r="G89" s="8" t="str">
        <f>obalLOB1EmpStatClinician1</f>
        <v>Full-Time</v>
      </c>
      <c r="H89" s="8" t="s">
        <v>1538</v>
      </c>
      <c r="I89" s="131" t="b">
        <f t="shared" si="2"/>
        <v>1</v>
      </c>
      <c r="J89" s="63">
        <v>1</v>
      </c>
      <c r="K89" s="8" t="str">
        <f>obalR2LOB1EmpStatClinician1</f>
        <v>Full-Time</v>
      </c>
      <c r="L89" s="8" t="str">
        <f>obalR2LOB1EmpStatClinician1</f>
        <v>Full-Time</v>
      </c>
      <c r="M89" s="8" t="str">
        <f>obalR2LOB1EmpStatClinician1</f>
        <v>Full-Time</v>
      </c>
      <c r="N89" s="8" t="s">
        <v>5631</v>
      </c>
      <c r="O89" s="131" t="b">
        <f t="shared" si="3"/>
        <v>1</v>
      </c>
    </row>
    <row r="90" spans="1:15">
      <c r="A90" s="76" t="s">
        <v>596</v>
      </c>
      <c r="D90" s="63">
        <v>2</v>
      </c>
      <c r="E90" s="8" t="str">
        <f>obalLOB1EmpStatClinician2</f>
        <v>Full-Time</v>
      </c>
      <c r="F90" s="8" t="str">
        <f>obalLOB1EmpStatClinician2</f>
        <v>Full-Time</v>
      </c>
      <c r="G90" s="8" t="str">
        <f>obalLOB1EmpStatClinician2</f>
        <v>Full-Time</v>
      </c>
      <c r="H90" s="8" t="s">
        <v>1539</v>
      </c>
      <c r="I90" s="131" t="b">
        <f t="shared" si="2"/>
        <v>1</v>
      </c>
      <c r="J90" s="63">
        <v>2</v>
      </c>
      <c r="K90" s="8" t="str">
        <f>obalR2LOB1EmpStatClinician2</f>
        <v>Full-Time</v>
      </c>
      <c r="L90" s="8" t="str">
        <f>obalR2LOB1EmpStatClinician2</f>
        <v>Full-Time</v>
      </c>
      <c r="M90" s="8" t="str">
        <f>obalR2LOB1EmpStatClinician2</f>
        <v>Full-Time</v>
      </c>
      <c r="N90" s="8" t="s">
        <v>5632</v>
      </c>
      <c r="O90" s="131" t="b">
        <f t="shared" si="3"/>
        <v>1</v>
      </c>
    </row>
    <row r="91" spans="1:15">
      <c r="A91" s="76" t="s">
        <v>597</v>
      </c>
      <c r="D91" s="63">
        <v>3</v>
      </c>
      <c r="E91" s="8" t="str">
        <f>obalLOB1EmpStatClinician3</f>
        <v>Part-Time</v>
      </c>
      <c r="F91" s="8" t="str">
        <f>obalLOB1EmpStatClinician3</f>
        <v>Part-Time</v>
      </c>
      <c r="G91" s="8" t="str">
        <f>obalLOB1EmpStatClinician3</f>
        <v>Part-Time</v>
      </c>
      <c r="H91" s="8" t="s">
        <v>1540</v>
      </c>
      <c r="I91" s="131" t="b">
        <f t="shared" si="2"/>
        <v>1</v>
      </c>
      <c r="J91" s="63">
        <v>3</v>
      </c>
      <c r="K91" s="8" t="str">
        <f>obalR2LOB1EmpStatClinician3</f>
        <v>Part-Time</v>
      </c>
      <c r="L91" s="8" t="str">
        <f>obalR2LOB1EmpStatClinician3</f>
        <v>Part-Time</v>
      </c>
      <c r="M91" s="8" t="str">
        <f>obalR2LOB1EmpStatClinician3</f>
        <v>Part-Time</v>
      </c>
      <c r="N91" s="8" t="s">
        <v>5633</v>
      </c>
      <c r="O91" s="131" t="b">
        <f t="shared" si="3"/>
        <v>1</v>
      </c>
    </row>
    <row r="92" spans="1:15">
      <c r="A92" s="76" t="s">
        <v>598</v>
      </c>
      <c r="D92" s="8">
        <v>4</v>
      </c>
      <c r="E92" s="8" t="str">
        <f>obalLOB1EmpStatClinician4</f>
        <v>Full-Time</v>
      </c>
      <c r="F92" s="8" t="str">
        <f>obalLOB1EmpStatClinician4</f>
        <v>Full-Time</v>
      </c>
      <c r="G92" s="8" t="str">
        <f>obalLOB1EmpStatClinician4</f>
        <v>Full-Time</v>
      </c>
      <c r="H92" s="8" t="s">
        <v>1541</v>
      </c>
      <c r="I92" s="131" t="b">
        <f t="shared" si="2"/>
        <v>1</v>
      </c>
      <c r="J92" s="8">
        <v>4</v>
      </c>
      <c r="K92" s="8" t="str">
        <f>obalR2LOB1EmpStatClinician4</f>
        <v>Full-Time</v>
      </c>
      <c r="L92" s="8" t="str">
        <f>obalR2LOB1EmpStatClinician4</f>
        <v>Full-Time</v>
      </c>
      <c r="M92" s="8" t="str">
        <f>obalR2LOB1EmpStatClinician4</f>
        <v>Full-Time</v>
      </c>
      <c r="N92" s="8" t="s">
        <v>5634</v>
      </c>
      <c r="O92" s="131" t="b">
        <f t="shared" si="3"/>
        <v>1</v>
      </c>
    </row>
    <row r="93" spans="1:15">
      <c r="A93" s="76" t="s">
        <v>599</v>
      </c>
      <c r="D93" s="8">
        <v>5</v>
      </c>
      <c r="E93" s="8" t="str">
        <f>obalLOB1EmpStatClinician5</f>
        <v>Full-Time</v>
      </c>
      <c r="F93" s="8" t="str">
        <f>obalLOB1EmpStatClinician5</f>
        <v>Full-Time</v>
      </c>
      <c r="G93" s="8" t="str">
        <f>obalLOB1EmpStatClinician5</f>
        <v>Full-Time</v>
      </c>
      <c r="H93" s="8" t="s">
        <v>1542</v>
      </c>
      <c r="I93" s="131" t="b">
        <f t="shared" si="2"/>
        <v>1</v>
      </c>
      <c r="J93" s="8">
        <v>5</v>
      </c>
      <c r="K93" s="8" t="str">
        <f>obalR2LOB1EmpStatClinician5</f>
        <v>Full-Time</v>
      </c>
      <c r="L93" s="8" t="str">
        <f>obalR2LOB1EmpStatClinician5</f>
        <v>Full-Time</v>
      </c>
      <c r="M93" s="8" t="str">
        <f>obalR2LOB1EmpStatClinician5</f>
        <v>Full-Time</v>
      </c>
      <c r="N93" s="8" t="s">
        <v>5635</v>
      </c>
      <c r="O93" s="131" t="b">
        <f t="shared" si="3"/>
        <v>1</v>
      </c>
    </row>
    <row r="94" spans="1:15">
      <c r="A94" s="76" t="s">
        <v>600</v>
      </c>
      <c r="D94" s="8">
        <v>6</v>
      </c>
      <c r="E94" s="8" t="str">
        <f>obalLOB1EmpStatClinician6</f>
        <v>Full-Time</v>
      </c>
      <c r="F94" s="8" t="str">
        <f>obalLOB1EmpStatClinician6</f>
        <v>Full-Time</v>
      </c>
      <c r="G94" s="8" t="str">
        <f>obalLOB1EmpStatClinician6</f>
        <v>Full-Time</v>
      </c>
      <c r="H94" s="8" t="s">
        <v>1543</v>
      </c>
      <c r="I94" s="131" t="b">
        <f t="shared" si="2"/>
        <v>1</v>
      </c>
      <c r="J94" s="8">
        <v>6</v>
      </c>
      <c r="K94" s="8" t="str">
        <f>obalR2LOB1EmpStatClinician6</f>
        <v>Full-Time</v>
      </c>
      <c r="L94" s="8" t="str">
        <f>obalR2LOB1EmpStatClinician6</f>
        <v>Full-Time</v>
      </c>
      <c r="M94" s="8" t="str">
        <f>obalR2LOB1EmpStatClinician6</f>
        <v>Full-Time</v>
      </c>
      <c r="N94" s="8" t="s">
        <v>5636</v>
      </c>
      <c r="O94" s="131" t="b">
        <f t="shared" si="3"/>
        <v>1</v>
      </c>
    </row>
    <row r="95" spans="1:15">
      <c r="A95" s="76" t="s">
        <v>601</v>
      </c>
      <c r="D95" s="63">
        <v>7</v>
      </c>
      <c r="E95" s="8" t="str">
        <f>obalLOB1EmpStatClinician7</f>
        <v>Full-Time</v>
      </c>
      <c r="F95" s="8" t="str">
        <f>obalLOB1EmpStatClinician7</f>
        <v>Full-Time</v>
      </c>
      <c r="G95" s="8" t="str">
        <f>obalLOB1EmpStatClinician7</f>
        <v>Full-Time</v>
      </c>
      <c r="H95" s="8" t="s">
        <v>1544</v>
      </c>
      <c r="I95" s="131" t="b">
        <f t="shared" si="2"/>
        <v>1</v>
      </c>
      <c r="J95" s="63">
        <v>7</v>
      </c>
      <c r="K95" s="8" t="str">
        <f>obalR2LOB1EmpStatClinician7</f>
        <v>Full-Time</v>
      </c>
      <c r="L95" s="8" t="str">
        <f>obalR2LOB1EmpStatClinician7</f>
        <v>Full-Time</v>
      </c>
      <c r="M95" s="8" t="str">
        <f>obalR2LOB1EmpStatClinician7</f>
        <v>Full-Time</v>
      </c>
      <c r="N95" s="8" t="s">
        <v>5637</v>
      </c>
      <c r="O95" s="131" t="b">
        <f t="shared" si="3"/>
        <v>1</v>
      </c>
    </row>
    <row r="96" spans="1:15">
      <c r="A96" s="76" t="s">
        <v>602</v>
      </c>
      <c r="D96" s="63">
        <v>8</v>
      </c>
      <c r="E96" s="8" t="str">
        <f>obalLOB1EmpStatClinician8</f>
        <v>Full-Time</v>
      </c>
      <c r="F96" s="8" t="str">
        <f>obalLOB1EmpStatClinician8</f>
        <v>Full-Time</v>
      </c>
      <c r="G96" s="8" t="str">
        <f>obalLOB1EmpStatClinician8</f>
        <v>Full-Time</v>
      </c>
      <c r="H96" s="8" t="s">
        <v>1545</v>
      </c>
      <c r="I96" s="131" t="b">
        <f t="shared" si="2"/>
        <v>1</v>
      </c>
      <c r="J96" s="63">
        <v>8</v>
      </c>
      <c r="K96" s="8" t="str">
        <f>obalR2LOB1EmpStatClinician8</f>
        <v>Full-Time</v>
      </c>
      <c r="L96" s="8" t="str">
        <f>obalR2LOB1EmpStatClinician8</f>
        <v>Full-Time</v>
      </c>
      <c r="M96" s="8" t="str">
        <f>obalR2LOB1EmpStatClinician8</f>
        <v>Full-Time</v>
      </c>
      <c r="N96" s="8" t="s">
        <v>5638</v>
      </c>
      <c r="O96" s="131" t="b">
        <f t="shared" si="3"/>
        <v>1</v>
      </c>
    </row>
    <row r="97" spans="1:15">
      <c r="A97" s="76" t="s">
        <v>603</v>
      </c>
      <c r="D97" s="63">
        <v>9</v>
      </c>
      <c r="E97" s="8" t="str">
        <f>obalLOB1EmpStatClinician9</f>
        <v>Part-Time</v>
      </c>
      <c r="F97" s="8" t="str">
        <f>obalLOB1EmpStatClinician9</f>
        <v>Part-Time</v>
      </c>
      <c r="G97" s="8" t="str">
        <f>obalLOB1EmpStatClinician9</f>
        <v>Part-Time</v>
      </c>
      <c r="H97" s="8" t="s">
        <v>1546</v>
      </c>
      <c r="I97" s="131" t="b">
        <f t="shared" si="2"/>
        <v>1</v>
      </c>
      <c r="J97" s="63">
        <v>9</v>
      </c>
      <c r="K97" s="8" t="str">
        <f>obalR2LOB1EmpStatClinician9</f>
        <v>Part-Time</v>
      </c>
      <c r="L97" s="8" t="str">
        <f>obalR2LOB1EmpStatClinician9</f>
        <v>Part-Time</v>
      </c>
      <c r="M97" s="8" t="str">
        <f>obalR2LOB1EmpStatClinician9</f>
        <v>Part-Time</v>
      </c>
      <c r="N97" s="8" t="s">
        <v>5639</v>
      </c>
      <c r="O97" s="131" t="b">
        <f t="shared" si="3"/>
        <v>1</v>
      </c>
    </row>
    <row r="98" spans="1:15">
      <c r="A98" s="76" t="s">
        <v>604</v>
      </c>
      <c r="D98" s="8">
        <v>10</v>
      </c>
      <c r="E98" s="8" t="str">
        <f>obalLOB1EmpStatClinician10</f>
        <v>Full-Time</v>
      </c>
      <c r="F98" s="8" t="str">
        <f>obalLOB1EmpStatClinician10</f>
        <v>Full-Time</v>
      </c>
      <c r="G98" s="8" t="str">
        <f>obalLOB1EmpStatClinician10</f>
        <v>Full-Time</v>
      </c>
      <c r="H98" s="8" t="s">
        <v>1547</v>
      </c>
      <c r="I98" s="131" t="b">
        <f t="shared" si="2"/>
        <v>1</v>
      </c>
      <c r="J98" s="8">
        <v>10</v>
      </c>
      <c r="K98" s="8" t="str">
        <f>obalR2LOB1EmpStatClinician10</f>
        <v>Full-Time</v>
      </c>
      <c r="L98" s="8" t="str">
        <f>obalR2LOB1EmpStatClinician10</f>
        <v>Full-Time</v>
      </c>
      <c r="M98" s="8" t="str">
        <f>obalR2LOB1EmpStatClinician10</f>
        <v>Full-Time</v>
      </c>
      <c r="N98" s="8" t="s">
        <v>5640</v>
      </c>
      <c r="O98" s="131" t="b">
        <f t="shared" si="3"/>
        <v>1</v>
      </c>
    </row>
    <row r="99" spans="1:15">
      <c r="A99" s="76" t="s">
        <v>1497</v>
      </c>
      <c r="D99" s="8">
        <v>11</v>
      </c>
      <c r="E99" s="387">
        <f>VLOOKUP(calcLOB1Clinician11LookupValue,dataTableCC1Staff,3,FALSE)</f>
        <v>0</v>
      </c>
      <c r="F99" s="387">
        <f>VLOOKUP(calcLOB1Clinician11LookupValue,dataTableCC1Staff,3,FALSE)</f>
        <v>0</v>
      </c>
      <c r="G99" s="387">
        <f>VLOOKUP(calcLOB1Clinician11LookupValue,dataTableCC1Staff,3,FALSE)</f>
        <v>0</v>
      </c>
      <c r="H99" s="8" t="s">
        <v>1548</v>
      </c>
      <c r="I99" s="131" t="b">
        <f t="shared" si="2"/>
        <v>1</v>
      </c>
      <c r="J99" s="8">
        <v>11</v>
      </c>
      <c r="K99" s="387">
        <f>VLOOKUP(calcR2LOB1Clinician11LookupValue,dataTableCC1Staff,3,FALSE)</f>
        <v>0</v>
      </c>
      <c r="L99" s="387">
        <f>VLOOKUP(calcR2LOB1Clinician11LookupValue,dataTableCC1Staff,3,FALSE)</f>
        <v>0</v>
      </c>
      <c r="M99" s="387">
        <f>VLOOKUP(calcR2LOB1Clinician11LookupValue,dataTableCC1Staff,3,FALSE)</f>
        <v>0</v>
      </c>
      <c r="N99" s="8" t="s">
        <v>5641</v>
      </c>
      <c r="O99" s="131" t="b">
        <f t="shared" si="3"/>
        <v>1</v>
      </c>
    </row>
    <row r="100" spans="1:15">
      <c r="A100" s="76" t="s">
        <v>1498</v>
      </c>
      <c r="D100" s="63">
        <v>12</v>
      </c>
      <c r="E100" s="387">
        <f>VLOOKUP(calcLOB1Clinician12LookupValue,dataTableCC1Staff,3,FALSE)</f>
        <v>0</v>
      </c>
      <c r="F100" s="387">
        <f>VLOOKUP(calcLOB1Clinician12LookupValue,dataTableCC1Staff,3,FALSE)</f>
        <v>0</v>
      </c>
      <c r="G100" s="387">
        <f>VLOOKUP(calcLOB1Clinician12LookupValue,dataTableCC1Staff,3,FALSE)</f>
        <v>0</v>
      </c>
      <c r="H100" s="8" t="s">
        <v>1549</v>
      </c>
      <c r="I100" s="131" t="b">
        <f t="shared" si="2"/>
        <v>1</v>
      </c>
      <c r="J100" s="63">
        <v>12</v>
      </c>
      <c r="K100" s="387">
        <f>VLOOKUP(calcR2LOB1Clinician12LookupValue,dataTableCC1Staff,3,FALSE)</f>
        <v>0</v>
      </c>
      <c r="L100" s="387">
        <f>VLOOKUP(calcR2LOB1Clinician12LookupValue,dataTableCC1Staff,3,FALSE)</f>
        <v>0</v>
      </c>
      <c r="M100" s="387">
        <f>VLOOKUP(calcR2LOB1Clinician12LookupValue,dataTableCC1Staff,3,FALSE)</f>
        <v>0</v>
      </c>
      <c r="N100" s="8" t="s">
        <v>5642</v>
      </c>
      <c r="O100" s="131" t="b">
        <f t="shared" si="3"/>
        <v>1</v>
      </c>
    </row>
    <row r="101" spans="1:15">
      <c r="A101" s="76" t="s">
        <v>3998</v>
      </c>
      <c r="D101" s="63">
        <v>19</v>
      </c>
      <c r="E101" s="8" t="str">
        <f>obalLOB1EmpStatClinician13</f>
        <v>Full-Time</v>
      </c>
      <c r="F101" s="8" t="str">
        <f>obalLOB1EmpStatClinician13</f>
        <v>Full-Time</v>
      </c>
      <c r="G101" s="8" t="str">
        <f>obalLOB1EmpStatClinician13</f>
        <v>Full-Time</v>
      </c>
      <c r="H101" s="8" t="s">
        <v>4014</v>
      </c>
      <c r="I101" s="131" t="b">
        <f t="shared" si="2"/>
        <v>1</v>
      </c>
      <c r="J101" s="63">
        <v>19</v>
      </c>
      <c r="K101" s="8" t="str">
        <f>obalR2LOB1EmpStatClinician13</f>
        <v>Full-Time</v>
      </c>
      <c r="L101" s="8" t="str">
        <f>obalR2LOB1EmpStatClinician13</f>
        <v>Full-Time</v>
      </c>
      <c r="M101" s="8" t="str">
        <f>obalR2LOB1EmpStatClinician13</f>
        <v>Full-Time</v>
      </c>
      <c r="N101" s="8" t="s">
        <v>5643</v>
      </c>
      <c r="O101" s="131" t="b">
        <f t="shared" si="3"/>
        <v>1</v>
      </c>
    </row>
    <row r="102" spans="1:15">
      <c r="A102" s="76" t="s">
        <v>3999</v>
      </c>
      <c r="D102" s="63">
        <v>20</v>
      </c>
      <c r="E102" s="8" t="str">
        <f>obalLOB1EmpStatClinician14</f>
        <v>Full-Time</v>
      </c>
      <c r="F102" s="8" t="str">
        <f>obalLOB1EmpStatClinician14</f>
        <v>Full-Time</v>
      </c>
      <c r="G102" s="8" t="str">
        <f>obalLOB1EmpStatClinician14</f>
        <v>Full-Time</v>
      </c>
      <c r="H102" s="8" t="s">
        <v>4015</v>
      </c>
      <c r="I102" s="131" t="b">
        <f t="shared" si="2"/>
        <v>1</v>
      </c>
      <c r="J102" s="63">
        <v>20</v>
      </c>
      <c r="K102" s="8" t="str">
        <f>obalR2LOB1EmpStatClinician14</f>
        <v>Full-Time</v>
      </c>
      <c r="L102" s="8" t="str">
        <f>obalR2LOB1EmpStatClinician14</f>
        <v>Full-Time</v>
      </c>
      <c r="M102" s="8" t="str">
        <f>obalR2LOB1EmpStatClinician14</f>
        <v>Full-Time</v>
      </c>
      <c r="N102" s="8" t="s">
        <v>5644</v>
      </c>
      <c r="O102" s="131" t="b">
        <f t="shared" si="3"/>
        <v>1</v>
      </c>
    </row>
    <row r="103" spans="1:15">
      <c r="A103" s="76" t="s">
        <v>4000</v>
      </c>
      <c r="D103" s="63">
        <v>21</v>
      </c>
      <c r="E103" s="8" t="str">
        <f>obalLOB1EmpStatClinician15</f>
        <v>Full-Time</v>
      </c>
      <c r="F103" s="8" t="str">
        <f>obalLOB1EmpStatClinician15</f>
        <v>Full-Time</v>
      </c>
      <c r="G103" s="8" t="str">
        <f>obalLOB1EmpStatClinician15</f>
        <v>Full-Time</v>
      </c>
      <c r="H103" s="8" t="s">
        <v>4016</v>
      </c>
      <c r="I103" s="131" t="b">
        <f t="shared" si="2"/>
        <v>1</v>
      </c>
      <c r="J103" s="63">
        <v>21</v>
      </c>
      <c r="K103" s="8" t="str">
        <f>obalR2LOB1EmpStatClinician15</f>
        <v>Full-Time</v>
      </c>
      <c r="L103" s="8" t="str">
        <f>obalR2LOB1EmpStatClinician15</f>
        <v>Full-Time</v>
      </c>
      <c r="M103" s="8" t="str">
        <f>obalR2LOB1EmpStatClinician15</f>
        <v>Full-Time</v>
      </c>
      <c r="N103" s="8" t="s">
        <v>5645</v>
      </c>
      <c r="O103" s="131" t="b">
        <f t="shared" si="3"/>
        <v>1</v>
      </c>
    </row>
    <row r="104" spans="1:15">
      <c r="A104" s="76" t="s">
        <v>4001</v>
      </c>
      <c r="D104" s="63">
        <v>22</v>
      </c>
      <c r="E104" s="8" t="str">
        <f>obalLOB1EmpStatClinician16</f>
        <v>Full-Time</v>
      </c>
      <c r="F104" s="8" t="str">
        <f>obalLOB1EmpStatClinician16</f>
        <v>Full-Time</v>
      </c>
      <c r="G104" s="8" t="str">
        <f>obalLOB1EmpStatClinician16</f>
        <v>Full-Time</v>
      </c>
      <c r="H104" s="8" t="s">
        <v>4017</v>
      </c>
      <c r="I104" s="131" t="b">
        <f t="shared" si="2"/>
        <v>1</v>
      </c>
      <c r="J104" s="63">
        <v>22</v>
      </c>
      <c r="K104" s="8" t="str">
        <f>obalR2LOB1EmpStatClinician16</f>
        <v>Full-Time</v>
      </c>
      <c r="L104" s="8" t="str">
        <f>obalR2LOB1EmpStatClinician16</f>
        <v>Full-Time</v>
      </c>
      <c r="M104" s="8" t="str">
        <f>obalR2LOB1EmpStatClinician16</f>
        <v>Full-Time</v>
      </c>
      <c r="N104" s="8" t="s">
        <v>5646</v>
      </c>
      <c r="O104" s="131" t="b">
        <f t="shared" si="3"/>
        <v>1</v>
      </c>
    </row>
    <row r="105" spans="1:15">
      <c r="A105" s="76"/>
      <c r="I105" s="131" t="b">
        <f t="shared" si="2"/>
        <v>1</v>
      </c>
      <c r="K105" s="159"/>
      <c r="L105" s="159"/>
      <c r="M105" s="159"/>
      <c r="O105" s="131" t="b">
        <f t="shared" si="3"/>
        <v>1</v>
      </c>
    </row>
    <row r="106" spans="1:15">
      <c r="A106" s="132" t="s">
        <v>1983</v>
      </c>
      <c r="I106" s="131" t="b">
        <f t="shared" si="2"/>
        <v>1</v>
      </c>
      <c r="K106" s="159"/>
      <c r="L106" s="159"/>
      <c r="M106" s="159"/>
      <c r="O106" s="131" t="b">
        <f t="shared" si="3"/>
        <v>1</v>
      </c>
    </row>
    <row r="107" spans="1:15">
      <c r="A107" s="76" t="s">
        <v>595</v>
      </c>
      <c r="D107" s="63">
        <v>1</v>
      </c>
      <c r="E107" s="8" t="str">
        <f>obalLOB1NameClinician1</f>
        <v>Tiana Teachout  </v>
      </c>
      <c r="F107" s="8" t="str">
        <f>obalLOB1NameClinician1</f>
        <v>Tiana Teachout  </v>
      </c>
      <c r="G107" s="8" t="str">
        <f>obalLOB1NameClinician1</f>
        <v>Tiana Teachout  </v>
      </c>
      <c r="H107" s="8" t="s">
        <v>1996</v>
      </c>
      <c r="I107" s="131" t="b">
        <f t="shared" si="2"/>
        <v>1</v>
      </c>
      <c r="J107" s="63">
        <v>1</v>
      </c>
      <c r="K107" s="8" t="str">
        <f>obalR2LOB1NameClinician1</f>
        <v>Tiana Teachout  </v>
      </c>
      <c r="L107" s="8" t="str">
        <f>obalR2LOB1NameClinician1</f>
        <v>Tiana Teachout  </v>
      </c>
      <c r="M107" s="8" t="str">
        <f>obalR2LOB1NameClinician1</f>
        <v>Tiana Teachout  </v>
      </c>
      <c r="N107" s="8" t="s">
        <v>5647</v>
      </c>
      <c r="O107" s="131" t="b">
        <f t="shared" si="3"/>
        <v>1</v>
      </c>
    </row>
    <row r="108" spans="1:15">
      <c r="A108" s="76" t="s">
        <v>596</v>
      </c>
      <c r="D108" s="63">
        <v>2</v>
      </c>
      <c r="E108" s="8" t="str">
        <f>obalLOB1NameClinician2</f>
        <v>Vernon Vale  </v>
      </c>
      <c r="F108" s="8" t="str">
        <f>obalLOB1NameClinician2</f>
        <v>Vernon Vale  </v>
      </c>
      <c r="G108" s="8" t="str">
        <f>obalLOB1NameClinician2</f>
        <v>Vernon Vale  </v>
      </c>
      <c r="H108" s="8" t="s">
        <v>1997</v>
      </c>
      <c r="I108" s="131" t="b">
        <f t="shared" si="2"/>
        <v>1</v>
      </c>
      <c r="J108" s="63">
        <v>2</v>
      </c>
      <c r="K108" s="8" t="str">
        <f>obalR2LOB1NameClinician2</f>
        <v>Vernon Vale  </v>
      </c>
      <c r="L108" s="8" t="str">
        <f>obalR2LOB1NameClinician2</f>
        <v>Vernon Vale  </v>
      </c>
      <c r="M108" s="8" t="str">
        <f>obalR2LOB1NameClinician2</f>
        <v>Vernon Vale  </v>
      </c>
      <c r="N108" s="8" t="s">
        <v>5648</v>
      </c>
      <c r="O108" s="131" t="b">
        <f t="shared" si="3"/>
        <v>1</v>
      </c>
    </row>
    <row r="109" spans="1:15">
      <c r="A109" s="76" t="s">
        <v>597</v>
      </c>
      <c r="D109" s="63">
        <v>3</v>
      </c>
      <c r="E109" s="8" t="str">
        <f>obalLOB1NameClinician3</f>
        <v>Shelby Schoenfeld  </v>
      </c>
      <c r="F109" s="8" t="str">
        <f>obalLOB1NameClinician3</f>
        <v>Shelby Schoenfeld  </v>
      </c>
      <c r="G109" s="8" t="str">
        <f>obalLOB1NameClinician3</f>
        <v>Shelby Schoenfeld  </v>
      </c>
      <c r="H109" s="8" t="s">
        <v>1998</v>
      </c>
      <c r="I109" s="131" t="b">
        <f t="shared" si="2"/>
        <v>1</v>
      </c>
      <c r="J109" s="63">
        <v>3</v>
      </c>
      <c r="K109" s="8" t="str">
        <f>obalR2LOB1NameClinician3</f>
        <v>Shelby Schoenfeld  </v>
      </c>
      <c r="L109" s="8" t="str">
        <f>obalR2LOB1NameClinician3</f>
        <v>Shelby Schoenfeld  </v>
      </c>
      <c r="M109" s="8" t="str">
        <f>obalR2LOB1NameClinician3</f>
        <v>Shelby Schoenfeld  </v>
      </c>
      <c r="N109" s="8" t="s">
        <v>5649</v>
      </c>
      <c r="O109" s="131" t="b">
        <f t="shared" si="3"/>
        <v>1</v>
      </c>
    </row>
    <row r="110" spans="1:15">
      <c r="A110" s="76" t="s">
        <v>598</v>
      </c>
      <c r="D110" s="8">
        <v>4</v>
      </c>
      <c r="E110" s="8" t="str">
        <f>obalLOB1NameClinician4</f>
        <v>Edmond Estepp  </v>
      </c>
      <c r="F110" s="8" t="str">
        <f>obalLOB1NameClinician4</f>
        <v>Edmond Estepp  </v>
      </c>
      <c r="G110" s="8" t="str">
        <f>obalLOB1NameClinician4</f>
        <v>Edmond Estepp  </v>
      </c>
      <c r="H110" s="8" t="s">
        <v>1999</v>
      </c>
      <c r="I110" s="131" t="b">
        <f t="shared" si="2"/>
        <v>1</v>
      </c>
      <c r="J110" s="8">
        <v>4</v>
      </c>
      <c r="K110" s="8" t="str">
        <f>obalR2LOB1NameClinician4</f>
        <v>Edmond Estepp  </v>
      </c>
      <c r="L110" s="8" t="str">
        <f>obalR2LOB1NameClinician4</f>
        <v>Edmond Estepp  </v>
      </c>
      <c r="M110" s="8" t="str">
        <f>obalR2LOB1NameClinician4</f>
        <v>Edmond Estepp  </v>
      </c>
      <c r="N110" s="8" t="s">
        <v>5650</v>
      </c>
      <c r="O110" s="131" t="b">
        <f t="shared" si="3"/>
        <v>1</v>
      </c>
    </row>
    <row r="111" spans="1:15">
      <c r="A111" s="76" t="s">
        <v>599</v>
      </c>
      <c r="D111" s="8">
        <v>5</v>
      </c>
      <c r="E111" s="8" t="str">
        <f>obalLOB1NameClinician5</f>
        <v>Beatrice Ballew  </v>
      </c>
      <c r="F111" s="8" t="str">
        <f>obalLOB1NameClinician5</f>
        <v>Beatrice Ballew  </v>
      </c>
      <c r="G111" s="8" t="str">
        <f>obalLOB1NameClinician5</f>
        <v>Beatrice Ballew  </v>
      </c>
      <c r="H111" s="8" t="s">
        <v>2000</v>
      </c>
      <c r="I111" s="131" t="b">
        <f t="shared" si="2"/>
        <v>1</v>
      </c>
      <c r="J111" s="8">
        <v>5</v>
      </c>
      <c r="K111" s="8" t="str">
        <f>obalR2LOB1NameClinician5</f>
        <v>Beatrice Ballew  </v>
      </c>
      <c r="L111" s="8" t="str">
        <f>obalR2LOB1NameClinician5</f>
        <v>Beatrice Ballew  </v>
      </c>
      <c r="M111" s="8" t="str">
        <f>obalR2LOB1NameClinician5</f>
        <v>Beatrice Ballew  </v>
      </c>
      <c r="N111" s="8" t="s">
        <v>5651</v>
      </c>
      <c r="O111" s="131" t="b">
        <f t="shared" si="3"/>
        <v>1</v>
      </c>
    </row>
    <row r="112" spans="1:15">
      <c r="A112" s="76" t="s">
        <v>600</v>
      </c>
      <c r="D112" s="8">
        <v>6</v>
      </c>
      <c r="E112" s="8" t="str">
        <f>obalLOB1NameClinician6</f>
        <v>Joy Jernigan  </v>
      </c>
      <c r="F112" s="8" t="str">
        <f>obalLOB1NameClinician6</f>
        <v>Joy Jernigan  </v>
      </c>
      <c r="G112" s="8" t="str">
        <f>obalLOB1NameClinician6</f>
        <v>Joy Jernigan  </v>
      </c>
      <c r="H112" s="8" t="s">
        <v>2001</v>
      </c>
      <c r="I112" s="131" t="b">
        <f t="shared" si="2"/>
        <v>1</v>
      </c>
      <c r="J112" s="8">
        <v>6</v>
      </c>
      <c r="K112" s="8" t="str">
        <f>obalR2LOB1NameClinician6</f>
        <v>Joy Jernigan  </v>
      </c>
      <c r="L112" s="8" t="str">
        <f>obalR2LOB1NameClinician6</f>
        <v>Joy Jernigan  </v>
      </c>
      <c r="M112" s="8" t="str">
        <f>obalR2LOB1NameClinician6</f>
        <v>Joy Jernigan  </v>
      </c>
      <c r="N112" s="8" t="s">
        <v>5652</v>
      </c>
      <c r="O112" s="131" t="b">
        <f t="shared" si="3"/>
        <v>1</v>
      </c>
    </row>
    <row r="113" spans="1:15">
      <c r="A113" s="76" t="s">
        <v>601</v>
      </c>
      <c r="D113" s="63">
        <v>7</v>
      </c>
      <c r="E113" s="8" t="str">
        <f>obalLOB1NameClinician7</f>
        <v>Ellie Elizalde  </v>
      </c>
      <c r="F113" s="8" t="str">
        <f>obalLOB1NameClinician7</f>
        <v>Ellie Elizalde  </v>
      </c>
      <c r="G113" s="8" t="str">
        <f>obalLOB1NameClinician7</f>
        <v>Ellie Elizalde  </v>
      </c>
      <c r="H113" s="8" t="s">
        <v>2002</v>
      </c>
      <c r="I113" s="131" t="b">
        <f t="shared" si="2"/>
        <v>1</v>
      </c>
      <c r="J113" s="63">
        <v>7</v>
      </c>
      <c r="K113" s="8" t="str">
        <f>obalR2LOB1NameClinician7</f>
        <v>Ellie Elizalde  </v>
      </c>
      <c r="L113" s="8" t="str">
        <f>obalR2LOB1NameClinician7</f>
        <v>Ellie Elizalde  </v>
      </c>
      <c r="M113" s="8" t="str">
        <f>obalR2LOB1NameClinician7</f>
        <v>Ellie Elizalde  </v>
      </c>
      <c r="N113" s="8" t="s">
        <v>5653</v>
      </c>
      <c r="O113" s="131" t="b">
        <f t="shared" si="3"/>
        <v>1</v>
      </c>
    </row>
    <row r="114" spans="1:15">
      <c r="A114" s="76" t="s">
        <v>602</v>
      </c>
      <c r="D114" s="63">
        <v>8</v>
      </c>
      <c r="E114" s="8" t="str">
        <f>obalLOB1NameClinician8</f>
        <v>Jestine Jeffers  </v>
      </c>
      <c r="F114" s="8" t="str">
        <f>obalLOB1NameClinician8</f>
        <v>Jestine Jeffers  </v>
      </c>
      <c r="G114" s="8" t="str">
        <f>obalLOB1NameClinician8</f>
        <v>Jestine Jeffers  </v>
      </c>
      <c r="H114" s="8" t="s">
        <v>2003</v>
      </c>
      <c r="I114" s="131" t="b">
        <f t="shared" si="2"/>
        <v>1</v>
      </c>
      <c r="J114" s="63">
        <v>8</v>
      </c>
      <c r="K114" s="8" t="str">
        <f>obalR2LOB1NameClinician8</f>
        <v>Jestine Jeffers  </v>
      </c>
      <c r="L114" s="8" t="str">
        <f>obalR2LOB1NameClinician8</f>
        <v>Jestine Jeffers  </v>
      </c>
      <c r="M114" s="8" t="str">
        <f>obalR2LOB1NameClinician8</f>
        <v>Jestine Jeffers  </v>
      </c>
      <c r="N114" s="8" t="s">
        <v>5654</v>
      </c>
      <c r="O114" s="131" t="b">
        <f t="shared" si="3"/>
        <v>1</v>
      </c>
    </row>
    <row r="115" spans="1:15">
      <c r="A115" s="76" t="s">
        <v>603</v>
      </c>
      <c r="D115" s="63">
        <v>9</v>
      </c>
      <c r="E115" s="8" t="str">
        <f>obalLOB1NameClinician9</f>
        <v>Elease Esters  </v>
      </c>
      <c r="F115" s="8" t="str">
        <f>obalLOB1NameClinician9</f>
        <v>Elease Esters  </v>
      </c>
      <c r="G115" s="8" t="str">
        <f>obalLOB1NameClinician9</f>
        <v>Elease Esters  </v>
      </c>
      <c r="H115" s="8" t="s">
        <v>2004</v>
      </c>
      <c r="I115" s="131" t="b">
        <f t="shared" si="2"/>
        <v>1</v>
      </c>
      <c r="J115" s="63">
        <v>9</v>
      </c>
      <c r="K115" s="8" t="str">
        <f>obalR2LOB1NameClinician9</f>
        <v>Elease Esters  </v>
      </c>
      <c r="L115" s="8" t="str">
        <f>obalR2LOB1NameClinician9</f>
        <v>Elease Esters  </v>
      </c>
      <c r="M115" s="8" t="str">
        <f>obalR2LOB1NameClinician9</f>
        <v>Elease Esters  </v>
      </c>
      <c r="N115" s="8" t="s">
        <v>5655</v>
      </c>
      <c r="O115" s="131" t="b">
        <f t="shared" si="3"/>
        <v>1</v>
      </c>
    </row>
    <row r="116" spans="1:15">
      <c r="A116" s="76" t="s">
        <v>604</v>
      </c>
      <c r="D116" s="8">
        <v>10</v>
      </c>
      <c r="E116" s="8" t="str">
        <f>obalLOB1NameClinician10</f>
        <v>Ginger Gault  </v>
      </c>
      <c r="F116" s="8" t="str">
        <f>obalLOB1NameClinician10</f>
        <v>Ginger Gault  </v>
      </c>
      <c r="G116" s="8" t="str">
        <f>obalLOB1NameClinician10</f>
        <v>Ginger Gault  </v>
      </c>
      <c r="H116" s="8" t="s">
        <v>2005</v>
      </c>
      <c r="I116" s="131" t="b">
        <f t="shared" si="2"/>
        <v>1</v>
      </c>
      <c r="J116" s="8">
        <v>10</v>
      </c>
      <c r="K116" s="8" t="str">
        <f>obalR2LOB1NameClinician10</f>
        <v>Ginger Gault  </v>
      </c>
      <c r="L116" s="8" t="str">
        <f>obalR2LOB1NameClinician10</f>
        <v>Ginger Gault  </v>
      </c>
      <c r="M116" s="8" t="str">
        <f>obalR2LOB1NameClinician10</f>
        <v>Ginger Gault  </v>
      </c>
      <c r="N116" s="8" t="s">
        <v>5656</v>
      </c>
      <c r="O116" s="131" t="b">
        <f t="shared" si="3"/>
        <v>1</v>
      </c>
    </row>
    <row r="117" spans="1:15">
      <c r="A117" s="76" t="s">
        <v>1497</v>
      </c>
      <c r="D117" s="8">
        <v>11</v>
      </c>
      <c r="E117" s="387">
        <f>VLOOKUP(calcLOB1Clinician11LookupValue,dataTableCC1Staff,4,FALSE)</f>
        <v>0</v>
      </c>
      <c r="F117" s="387">
        <f>VLOOKUP(calcLOB1Clinician11LookupValue,dataTableCC1Staff,4,FALSE)</f>
        <v>0</v>
      </c>
      <c r="G117" s="387">
        <f>VLOOKUP(calcLOB1Clinician11LookupValue,dataTableCC1Staff,4,FALSE)</f>
        <v>0</v>
      </c>
      <c r="H117" s="8" t="s">
        <v>2006</v>
      </c>
      <c r="I117" s="131" t="b">
        <f t="shared" si="2"/>
        <v>1</v>
      </c>
      <c r="J117" s="8">
        <v>11</v>
      </c>
      <c r="K117" s="387">
        <f>VLOOKUP(calcR2LOB1Clinician11LookupValue,dataTableCC1Staff,4,FALSE)</f>
        <v>0</v>
      </c>
      <c r="L117" s="387">
        <f>VLOOKUP(calcR2LOB1Clinician11LookupValue,dataTableCC1Staff,4,FALSE)</f>
        <v>0</v>
      </c>
      <c r="M117" s="387">
        <f>VLOOKUP(calcR2LOB1Clinician11LookupValue,dataTableCC1Staff,4,FALSE)</f>
        <v>0</v>
      </c>
      <c r="N117" s="8" t="s">
        <v>5657</v>
      </c>
      <c r="O117" s="131" t="b">
        <f t="shared" si="3"/>
        <v>1</v>
      </c>
    </row>
    <row r="118" spans="1:15">
      <c r="A118" s="76" t="s">
        <v>1498</v>
      </c>
      <c r="D118" s="63">
        <v>12</v>
      </c>
      <c r="E118" s="387">
        <f>VLOOKUP(calcLOB1Clinician12LookupValue,dataTableCC1Staff,4,FALSE)</f>
        <v>0</v>
      </c>
      <c r="F118" s="387">
        <f>VLOOKUP(calcLOB1Clinician12LookupValue,dataTableCC1Staff,4,FALSE)</f>
        <v>0</v>
      </c>
      <c r="G118" s="387">
        <f>VLOOKUP(calcLOB1Clinician12LookupValue,dataTableCC1Staff,4,FALSE)</f>
        <v>0</v>
      </c>
      <c r="H118" s="8" t="s">
        <v>2007</v>
      </c>
      <c r="I118" s="131" t="b">
        <f t="shared" si="2"/>
        <v>1</v>
      </c>
      <c r="J118" s="63">
        <v>12</v>
      </c>
      <c r="K118" s="387">
        <f>VLOOKUP(calcR2LOB1Clinician12LookupValue,dataTableCC1Staff,4,FALSE)</f>
        <v>0</v>
      </c>
      <c r="L118" s="387">
        <f>VLOOKUP(calcR2LOB1Clinician12LookupValue,dataTableCC1Staff,4,FALSE)</f>
        <v>0</v>
      </c>
      <c r="M118" s="387">
        <f>VLOOKUP(calcR2LOB1Clinician12LookupValue,dataTableCC1Staff,4,FALSE)</f>
        <v>0</v>
      </c>
      <c r="N118" s="8" t="s">
        <v>5658</v>
      </c>
      <c r="O118" s="131" t="b">
        <f t="shared" si="3"/>
        <v>1</v>
      </c>
    </row>
    <row r="119" spans="1:15">
      <c r="A119" s="76" t="s">
        <v>3998</v>
      </c>
      <c r="E119" s="381">
        <f>obalLOB1NumProdClinician13*cbalLOB1Disc1Retention</f>
        <v>3.8475000000000001</v>
      </c>
      <c r="F119" s="381">
        <f>obalLOB1NumProdClinician13*cbalLOB1Disc1Retention</f>
        <v>7.5350214843750001</v>
      </c>
      <c r="G119" s="381">
        <f>obalLOB1NumProdClinician13*cbalLOB1Disc1Retention</f>
        <v>3.9817617187500001</v>
      </c>
      <c r="H119" s="8" t="s">
        <v>8258</v>
      </c>
      <c r="I119" s="131" t="b">
        <f t="shared" ref="I119:I122" si="4">MAX(E119:G119)=MIN(E119:G119)</f>
        <v>0</v>
      </c>
      <c r="K119" s="381">
        <f>obalR2LOB1NumProdClinician13*cbalR2LOB1Disc1Retention</f>
        <v>3.1743051779382139</v>
      </c>
      <c r="L119" s="381">
        <f>obalR2LOB1NumProdClinician13*cbalR2LOB1Disc1Retention</f>
        <v>6.7421635513923137</v>
      </c>
      <c r="M119" s="381">
        <f>obalR2LOB1NumProdClinician13*cbalR2LOB1Disc1Retention</f>
        <v>3.3602928241922312</v>
      </c>
      <c r="N119" s="8" t="s">
        <v>8266</v>
      </c>
      <c r="O119" s="131" t="b">
        <f t="shared" ref="O119:O122" si="5">MAX(K119:M119)=MIN(K119:M119)</f>
        <v>0</v>
      </c>
    </row>
    <row r="120" spans="1:15">
      <c r="A120" s="76" t="s">
        <v>3999</v>
      </c>
      <c r="E120" s="381">
        <f>obalLOB1NumProdClinician14*cbalLOB1Disc1Retention</f>
        <v>5.5575000000000001</v>
      </c>
      <c r="F120" s="381">
        <f>obalLOB1NumProdClinician14*cbalLOB1Disc1Retention</f>
        <v>7.5539907692307695</v>
      </c>
      <c r="G120" s="381">
        <f>obalLOB1NumProdClinician14*cbalLOB1Disc1Retention</f>
        <v>3.9205038461538457</v>
      </c>
      <c r="H120" s="8" t="s">
        <v>8259</v>
      </c>
      <c r="I120" s="131" t="b">
        <f t="shared" si="4"/>
        <v>0</v>
      </c>
      <c r="K120" s="381">
        <f>obalR2LOB1NumProdClinician14*cbalR2LOB1Disc1Retention</f>
        <v>4.585107479244086</v>
      </c>
      <c r="L120" s="381">
        <f>obalR2LOB1NumProdClinician14*cbalR2LOB1Disc1Retention</f>
        <v>6.7591368302629524</v>
      </c>
      <c r="M120" s="381">
        <f>obalR2LOB1NumProdClinician14*cbalR2LOB1Disc1Retention</f>
        <v>3.3085960115123503</v>
      </c>
      <c r="N120" s="8" t="s">
        <v>8267</v>
      </c>
      <c r="O120" s="131" t="b">
        <f t="shared" si="5"/>
        <v>0</v>
      </c>
    </row>
    <row r="121" spans="1:15">
      <c r="A121" s="76" t="s">
        <v>4000</v>
      </c>
      <c r="E121" s="381">
        <f>obalLOB1NumProdClinician15*cbalLOB1Disc1Retention</f>
        <v>8.5500000000000007</v>
      </c>
      <c r="F121" s="381">
        <f>obalLOB1NumProdClinician15*cbalLOB1Disc1Retention</f>
        <v>16.283475000000003</v>
      </c>
      <c r="G121" s="381">
        <f>obalLOB1NumProdClinician15*cbalLOB1Disc1Retention</f>
        <v>8.0899285714285707</v>
      </c>
      <c r="H121" s="8" t="s">
        <v>8260</v>
      </c>
      <c r="I121" s="131" t="b">
        <f t="shared" si="4"/>
        <v>0</v>
      </c>
      <c r="K121" s="381">
        <f>obalR2LOB1NumProdClinician15*cbalR2LOB1Disc1Retention</f>
        <v>7.0540115065293643</v>
      </c>
      <c r="L121" s="381">
        <f>obalR2LOB1NumProdClinician15*cbalR2LOB1Disc1Retention</f>
        <v>14.570078116255599</v>
      </c>
      <c r="M121" s="381">
        <f>obalR2LOB1NumProdClinician15*cbalR2LOB1Disc1Retention</f>
        <v>6.8272616110572315</v>
      </c>
      <c r="N121" s="8" t="s">
        <v>8268</v>
      </c>
      <c r="O121" s="131" t="b">
        <f t="shared" si="5"/>
        <v>0</v>
      </c>
    </row>
    <row r="122" spans="1:15">
      <c r="A122" s="76" t="s">
        <v>4001</v>
      </c>
      <c r="E122" s="381">
        <f>obalLOB1NumProdClinician16*cbalLOB1Disc1Retention</f>
        <v>2.5649999999999999</v>
      </c>
      <c r="F122" s="381">
        <f>obalLOB1NumProdClinician16*cbalLOB1Disc1Retention</f>
        <v>4.8711250000000001</v>
      </c>
      <c r="G122" s="381">
        <f>obalLOB1NumProdClinician16*cbalLOB1Disc1Retention</f>
        <v>2.8314750000000002</v>
      </c>
      <c r="H122" s="8" t="s">
        <v>8261</v>
      </c>
      <c r="I122" s="131" t="b">
        <f t="shared" si="4"/>
        <v>0</v>
      </c>
      <c r="K122" s="381">
        <f>obalR2LOB1NumProdClinician16*cbalR2LOB1Disc1Retention</f>
        <v>2.1162034519588091</v>
      </c>
      <c r="L122" s="381">
        <f>obalR2LOB1NumProdClinician16*cbalR2LOB1Disc1Retention</f>
        <v>4.3585703766576573</v>
      </c>
      <c r="M122" s="381">
        <f>obalR2LOB1NumProdClinician16*cbalR2LOB1Disc1Retention</f>
        <v>2.3895415638700315</v>
      </c>
      <c r="N122" s="8" t="s">
        <v>8269</v>
      </c>
      <c r="O122" s="131" t="b">
        <f t="shared" si="5"/>
        <v>0</v>
      </c>
    </row>
    <row r="123" spans="1:15">
      <c r="A123" s="76" t="s">
        <v>3998</v>
      </c>
      <c r="E123" s="381">
        <f>obalLOB1BaseProdClinician13*paramLOB1Disc1Meetings*paramLOB1Meetings</f>
        <v>28</v>
      </c>
      <c r="F123" s="381">
        <f>obalLOB1BaseProdClinician13*paramLOB1Disc1Meetings*paramLOB1Meetings</f>
        <v>32</v>
      </c>
      <c r="G123" s="381">
        <f>obalLOB1BaseProdClinician13*paramLOB1Disc1Meetings*paramLOB1Meetings</f>
        <v>32</v>
      </c>
      <c r="H123" s="8" t="s">
        <v>8278</v>
      </c>
      <c r="I123" s="131" t="b">
        <f t="shared" ref="I123:I126" si="6">MAX(E123:G123)=MIN(E123:G123)</f>
        <v>0</v>
      </c>
      <c r="K123" s="381">
        <f>obalR2LOB1BaseProdClinician13*paramR2LOB1Disc1Meetings*paramR2LOB1Meetings</f>
        <v>28</v>
      </c>
      <c r="L123" s="381">
        <f>obalR2LOB1BaseProdClinician13*paramR2LOB1Disc1Meetings*paramR2LOB1Meetings</f>
        <v>32</v>
      </c>
      <c r="M123" s="381">
        <f>obalR2LOB1BaseProdClinician13*paramR2LOB1Disc1Meetings*paramR2LOB1Meetings</f>
        <v>32</v>
      </c>
      <c r="N123" s="8" t="s">
        <v>8282</v>
      </c>
      <c r="O123" s="131" t="b">
        <f t="shared" ref="O123:O126" si="7">MAX(K123:M123)=MIN(K123:M123)</f>
        <v>0</v>
      </c>
    </row>
    <row r="124" spans="1:15">
      <c r="A124" s="76" t="s">
        <v>3999</v>
      </c>
      <c r="E124" s="381">
        <f>obalLOB1BaseProdClinician14*paramLOB1Disc2Meetings*paramLOB1Meetings</f>
        <v>31</v>
      </c>
      <c r="F124" s="381">
        <f>obalLOB1BaseProdClinician14*paramLOB1Disc2Meetings*paramLOB1Meetings</f>
        <v>32.5</v>
      </c>
      <c r="G124" s="381">
        <f>obalLOB1BaseProdClinician14*paramLOB1Disc2Meetings*paramLOB1Meetings</f>
        <v>32.5</v>
      </c>
      <c r="H124" s="8" t="s">
        <v>8279</v>
      </c>
      <c r="I124" s="131" t="b">
        <f t="shared" si="6"/>
        <v>0</v>
      </c>
      <c r="K124" s="381">
        <f>obalR2LOB1BaseProdClinician14*paramR2LOB1Disc2Meetings*paramR2LOB1Meetings</f>
        <v>31</v>
      </c>
      <c r="L124" s="381">
        <f>obalR2LOB1BaseProdClinician14*paramR2LOB1Disc2Meetings*paramR2LOB1Meetings</f>
        <v>32.5</v>
      </c>
      <c r="M124" s="381">
        <f>obalR2LOB1BaseProdClinician14*paramR2LOB1Disc2Meetings*paramR2LOB1Meetings</f>
        <v>32.5</v>
      </c>
      <c r="N124" s="8" t="s">
        <v>8283</v>
      </c>
      <c r="O124" s="131" t="b">
        <f t="shared" si="7"/>
        <v>0</v>
      </c>
    </row>
    <row r="125" spans="1:15">
      <c r="A125" s="76" t="s">
        <v>4000</v>
      </c>
      <c r="E125" s="381">
        <f>obalLOB1BaseProdClinician15*paramLOB1Disc4Meetings*paramLOB1Meetings</f>
        <v>33</v>
      </c>
      <c r="F125" s="381">
        <f>obalLOB1BaseProdClinician15*paramLOB1Disc4Meetings*paramLOB1Meetings</f>
        <v>31.5</v>
      </c>
      <c r="G125" s="381">
        <f>obalLOB1BaseProdClinician15*paramLOB1Disc4Meetings*paramLOB1Meetings</f>
        <v>31.5</v>
      </c>
      <c r="H125" s="8" t="s">
        <v>8280</v>
      </c>
      <c r="I125" s="131" t="b">
        <f t="shared" si="6"/>
        <v>0</v>
      </c>
      <c r="K125" s="381">
        <f>obalR2LOB1BaseProdClinician15*paramR2LOB1Disc4Meetings*paramR2LOB1Meetings</f>
        <v>33</v>
      </c>
      <c r="L125" s="381">
        <f>obalR2LOB1BaseProdClinician15*paramR2LOB1Disc4Meetings*paramR2LOB1Meetings</f>
        <v>31.5</v>
      </c>
      <c r="M125" s="381">
        <f>obalR2LOB1BaseProdClinician15*paramR2LOB1Disc4Meetings*paramR2LOB1Meetings</f>
        <v>31.5</v>
      </c>
      <c r="N125" s="8" t="s">
        <v>8284</v>
      </c>
      <c r="O125" s="131" t="b">
        <f t="shared" si="7"/>
        <v>0</v>
      </c>
    </row>
    <row r="126" spans="1:15">
      <c r="A126" s="76" t="s">
        <v>4001</v>
      </c>
      <c r="E126" s="381">
        <f>obalLOB1BaseProdClinician16*paramLOB1Disc3Meetings*paramLOB1Meetings</f>
        <v>29</v>
      </c>
      <c r="F126" s="381">
        <f>obalLOB1BaseProdClinician16*paramLOB1Disc3Meetings*paramLOB1Meetings</f>
        <v>27</v>
      </c>
      <c r="G126" s="381">
        <f>obalLOB1BaseProdClinician16*paramLOB1Disc3Meetings*paramLOB1Meetings</f>
        <v>27</v>
      </c>
      <c r="H126" s="8" t="s">
        <v>8281</v>
      </c>
      <c r="I126" s="131" t="b">
        <f t="shared" si="6"/>
        <v>0</v>
      </c>
      <c r="K126" s="381">
        <f>obalR2LOB1BaseProdClinician16*paramR2LOB1Disc3Meetings*paramR2LOB1Meetings</f>
        <v>29</v>
      </c>
      <c r="L126" s="381">
        <f>obalR2LOB1BaseProdClinician16*paramR2LOB1Disc3Meetings*paramR2LOB1Meetings</f>
        <v>27</v>
      </c>
      <c r="M126" s="381">
        <f>obalR2LOB1BaseProdClinician16*paramR2LOB1Disc3Meetings*paramR2LOB1Meetings</f>
        <v>27</v>
      </c>
      <c r="N126" s="8" t="s">
        <v>8285</v>
      </c>
      <c r="O126" s="131" t="b">
        <f t="shared" si="7"/>
        <v>0</v>
      </c>
    </row>
    <row r="127" spans="1:15">
      <c r="A127" s="76"/>
      <c r="I127" s="131" t="b">
        <f t="shared" si="2"/>
        <v>1</v>
      </c>
      <c r="K127" s="159"/>
      <c r="L127" s="159"/>
      <c r="M127" s="159"/>
      <c r="O127" s="131" t="b">
        <f t="shared" si="3"/>
        <v>1</v>
      </c>
    </row>
    <row r="128" spans="1:15">
      <c r="A128" s="132" t="s">
        <v>1550</v>
      </c>
      <c r="I128" s="131" t="b">
        <f t="shared" si="2"/>
        <v>1</v>
      </c>
      <c r="K128" s="159"/>
      <c r="L128" s="159"/>
      <c r="M128" s="159"/>
      <c r="O128" s="131" t="b">
        <f t="shared" si="3"/>
        <v>1</v>
      </c>
    </row>
    <row r="129" spans="1:15">
      <c r="A129" s="76" t="s">
        <v>595</v>
      </c>
      <c r="D129" s="63">
        <v>1</v>
      </c>
      <c r="E129" s="381">
        <f>calcLOB1Clinician1GrossProd</f>
        <v>27</v>
      </c>
      <c r="F129" s="381">
        <f>calcLOB1Clinician1GrossProd</f>
        <v>27</v>
      </c>
      <c r="G129" s="381">
        <f>calcLOB1Clinician1GrossProd</f>
        <v>27</v>
      </c>
      <c r="H129" s="8" t="s">
        <v>1563</v>
      </c>
      <c r="I129" s="131" t="b">
        <f t="shared" si="2"/>
        <v>1</v>
      </c>
      <c r="J129" s="63">
        <v>1</v>
      </c>
      <c r="K129" s="381">
        <f>calcR2LOB1Clinician1GrossProd</f>
        <v>27</v>
      </c>
      <c r="L129" s="381">
        <f>calcR2LOB1Clinician1GrossProd</f>
        <v>27</v>
      </c>
      <c r="M129" s="381">
        <f>calcR2LOB1Clinician1GrossProd</f>
        <v>27</v>
      </c>
      <c r="N129" s="8" t="s">
        <v>5659</v>
      </c>
      <c r="O129" s="131" t="b">
        <f t="shared" si="3"/>
        <v>1</v>
      </c>
    </row>
    <row r="130" spans="1:15">
      <c r="A130" s="76" t="s">
        <v>596</v>
      </c>
      <c r="D130" s="63">
        <v>2</v>
      </c>
      <c r="E130" s="381">
        <f>calcLOB1Clinician2GrossProd</f>
        <v>24</v>
      </c>
      <c r="F130" s="381">
        <f>calcLOB1Clinician2GrossProd</f>
        <v>24</v>
      </c>
      <c r="G130" s="381">
        <f>calcLOB1Clinician2GrossProd</f>
        <v>24</v>
      </c>
      <c r="H130" s="8" t="s">
        <v>1564</v>
      </c>
      <c r="I130" s="131" t="b">
        <f t="shared" si="2"/>
        <v>1</v>
      </c>
      <c r="J130" s="63">
        <v>2</v>
      </c>
      <c r="K130" s="381">
        <f>calcR2LOB1Clinician2GrossProd</f>
        <v>24</v>
      </c>
      <c r="L130" s="381">
        <f>calcR2LOB1Clinician2GrossProd</f>
        <v>24</v>
      </c>
      <c r="M130" s="381">
        <f>calcR2LOB1Clinician2GrossProd</f>
        <v>24</v>
      </c>
      <c r="N130" s="8" t="s">
        <v>5660</v>
      </c>
      <c r="O130" s="131" t="b">
        <f t="shared" si="3"/>
        <v>1</v>
      </c>
    </row>
    <row r="131" spans="1:15">
      <c r="A131" s="76" t="s">
        <v>597</v>
      </c>
      <c r="D131" s="63">
        <v>3</v>
      </c>
      <c r="E131" s="381">
        <f>calcLOB1Clinician3GrossProd</f>
        <v>12.526315789473685</v>
      </c>
      <c r="F131" s="381">
        <f>calcLOB1Clinician3GrossProd</f>
        <v>12.526315789473685</v>
      </c>
      <c r="G131" s="381">
        <f>calcLOB1Clinician3GrossProd</f>
        <v>12.526315789473685</v>
      </c>
      <c r="H131" s="8" t="s">
        <v>1565</v>
      </c>
      <c r="I131" s="131" t="b">
        <f t="shared" si="2"/>
        <v>1</v>
      </c>
      <c r="J131" s="63">
        <v>3</v>
      </c>
      <c r="K131" s="381">
        <f>calcR2LOB1Clinician3GrossProd</f>
        <v>12.526315789473685</v>
      </c>
      <c r="L131" s="381">
        <f>calcR2LOB1Clinician3GrossProd</f>
        <v>12.526315789473685</v>
      </c>
      <c r="M131" s="381">
        <f>calcR2LOB1Clinician3GrossProd</f>
        <v>12.526315789473685</v>
      </c>
      <c r="N131" s="8" t="s">
        <v>5661</v>
      </c>
      <c r="O131" s="131" t="b">
        <f t="shared" si="3"/>
        <v>1</v>
      </c>
    </row>
    <row r="132" spans="1:15">
      <c r="A132" s="76" t="s">
        <v>598</v>
      </c>
      <c r="D132" s="63">
        <v>4</v>
      </c>
      <c r="E132" s="381">
        <f>calcLOB1Clinician4GrossProd</f>
        <v>33</v>
      </c>
      <c r="F132" s="381">
        <f>calcLOB1Clinician4GrossProd</f>
        <v>33</v>
      </c>
      <c r="G132" s="381">
        <f>calcLOB1Clinician4GrossProd</f>
        <v>33</v>
      </c>
      <c r="H132" s="8" t="s">
        <v>1566</v>
      </c>
      <c r="I132" s="131" t="b">
        <f t="shared" si="2"/>
        <v>1</v>
      </c>
      <c r="J132" s="8">
        <v>4</v>
      </c>
      <c r="K132" s="381">
        <f>calcR2LOB1Clinician4GrossProd</f>
        <v>33</v>
      </c>
      <c r="L132" s="381">
        <f>calcR2LOB1Clinician4GrossProd</f>
        <v>33</v>
      </c>
      <c r="M132" s="381">
        <f>calcR2LOB1Clinician4GrossProd</f>
        <v>33</v>
      </c>
      <c r="N132" s="8" t="s">
        <v>5662</v>
      </c>
      <c r="O132" s="131" t="b">
        <f t="shared" si="3"/>
        <v>1</v>
      </c>
    </row>
    <row r="133" spans="1:15">
      <c r="A133" s="76" t="s">
        <v>599</v>
      </c>
      <c r="D133" s="63">
        <v>5</v>
      </c>
      <c r="E133" s="381">
        <f>calcLOB1Clinician5GrossProd</f>
        <v>17.52577319587629</v>
      </c>
      <c r="F133" s="381">
        <f>calcLOB1Clinician5GrossProd</f>
        <v>17.52577319587629</v>
      </c>
      <c r="G133" s="381">
        <f>calcLOB1Clinician5GrossProd</f>
        <v>17.52577319587629</v>
      </c>
      <c r="H133" s="8" t="s">
        <v>1567</v>
      </c>
      <c r="I133" s="131" t="b">
        <f t="shared" si="2"/>
        <v>1</v>
      </c>
      <c r="J133" s="8">
        <v>5</v>
      </c>
      <c r="K133" s="381">
        <f>calcR2LOB1Clinician5GrossProd</f>
        <v>17.52577319587629</v>
      </c>
      <c r="L133" s="381">
        <f>calcR2LOB1Clinician5GrossProd</f>
        <v>17.52577319587629</v>
      </c>
      <c r="M133" s="381">
        <f>calcR2LOB1Clinician5GrossProd</f>
        <v>17.52577319587629</v>
      </c>
      <c r="N133" s="8" t="s">
        <v>5663</v>
      </c>
      <c r="O133" s="131" t="b">
        <f t="shared" si="3"/>
        <v>1</v>
      </c>
    </row>
    <row r="134" spans="1:15">
      <c r="A134" s="76" t="s">
        <v>600</v>
      </c>
      <c r="D134" s="633">
        <v>6</v>
      </c>
      <c r="E134" s="381">
        <f>calcLOB1Clinician6GrossProd</f>
        <v>30</v>
      </c>
      <c r="F134" s="381">
        <f>calcLOB1Clinician6GrossProd</f>
        <v>30</v>
      </c>
      <c r="G134" s="381">
        <f>calcLOB1Clinician6GrossProd</f>
        <v>30</v>
      </c>
      <c r="H134" s="8" t="s">
        <v>1568</v>
      </c>
      <c r="I134" s="131" t="b">
        <f t="shared" si="2"/>
        <v>1</v>
      </c>
      <c r="J134" s="8">
        <v>6</v>
      </c>
      <c r="K134" s="381">
        <f>calcR2LOB1Clinician6GrossProd</f>
        <v>30</v>
      </c>
      <c r="L134" s="381">
        <f>calcR2LOB1Clinician6GrossProd</f>
        <v>30</v>
      </c>
      <c r="M134" s="381">
        <f>calcR2LOB1Clinician6GrossProd</f>
        <v>30</v>
      </c>
      <c r="N134" s="8" t="s">
        <v>5664</v>
      </c>
      <c r="O134" s="131" t="b">
        <f t="shared" si="3"/>
        <v>1</v>
      </c>
    </row>
    <row r="135" spans="1:15">
      <c r="A135" s="76" t="s">
        <v>601</v>
      </c>
      <c r="D135" s="761">
        <v>7</v>
      </c>
      <c r="E135" s="381">
        <f>calcLOB1Clinician7GrossProd</f>
        <v>28</v>
      </c>
      <c r="F135" s="381">
        <f>calcLOB1Clinician7GrossProd</f>
        <v>28</v>
      </c>
      <c r="G135" s="381">
        <f>calcLOB1Clinician7GrossProd</f>
        <v>28</v>
      </c>
      <c r="H135" s="8" t="s">
        <v>1569</v>
      </c>
      <c r="I135" s="131" t="b">
        <f t="shared" si="2"/>
        <v>1</v>
      </c>
      <c r="J135" s="63">
        <v>7</v>
      </c>
      <c r="K135" s="381">
        <f>calcR2LOB1Clinician7GrossProd</f>
        <v>28</v>
      </c>
      <c r="L135" s="381">
        <f>calcR2LOB1Clinician7GrossProd</f>
        <v>28</v>
      </c>
      <c r="M135" s="381">
        <f>calcR2LOB1Clinician7GrossProd</f>
        <v>28</v>
      </c>
      <c r="N135" s="8" t="s">
        <v>5665</v>
      </c>
      <c r="O135" s="131" t="b">
        <f t="shared" si="3"/>
        <v>1</v>
      </c>
    </row>
    <row r="136" spans="1:15">
      <c r="A136" s="76" t="s">
        <v>602</v>
      </c>
      <c r="D136" s="761">
        <v>8</v>
      </c>
      <c r="E136" s="381">
        <f>calcLOB1Clinician8GrossProd</f>
        <v>29</v>
      </c>
      <c r="F136" s="381">
        <f>calcLOB1Clinician8GrossProd</f>
        <v>29</v>
      </c>
      <c r="G136" s="381">
        <f>calcLOB1Clinician8GrossProd</f>
        <v>29</v>
      </c>
      <c r="H136" s="8" t="s">
        <v>1570</v>
      </c>
      <c r="I136" s="131" t="b">
        <f t="shared" si="2"/>
        <v>1</v>
      </c>
      <c r="J136" s="63">
        <v>8</v>
      </c>
      <c r="K136" s="381">
        <f>calcR2LOB1Clinician8GrossProd</f>
        <v>29</v>
      </c>
      <c r="L136" s="381">
        <f>calcR2LOB1Clinician8GrossProd</f>
        <v>29</v>
      </c>
      <c r="M136" s="381">
        <f>calcR2LOB1Clinician8GrossProd</f>
        <v>29</v>
      </c>
      <c r="N136" s="8" t="s">
        <v>5666</v>
      </c>
      <c r="O136" s="131" t="b">
        <f t="shared" si="3"/>
        <v>1</v>
      </c>
    </row>
    <row r="137" spans="1:15">
      <c r="A137" s="76" t="s">
        <v>603</v>
      </c>
      <c r="D137" s="761">
        <v>9</v>
      </c>
      <c r="E137" s="381">
        <f>calcLOB1Clinician9GrossProd</f>
        <v>15.773195876288661</v>
      </c>
      <c r="F137" s="381">
        <f>calcLOB1Clinician9GrossProd</f>
        <v>15.773195876288661</v>
      </c>
      <c r="G137" s="381">
        <f>calcLOB1Clinician9GrossProd</f>
        <v>15.773195876288661</v>
      </c>
      <c r="H137" s="8" t="s">
        <v>1571</v>
      </c>
      <c r="I137" s="131" t="b">
        <f t="shared" si="2"/>
        <v>1</v>
      </c>
      <c r="J137" s="63">
        <v>9</v>
      </c>
      <c r="K137" s="381">
        <f>calcR2LOB1Clinician9GrossProd</f>
        <v>15.773195876288661</v>
      </c>
      <c r="L137" s="381">
        <f>calcR2LOB1Clinician9GrossProd</f>
        <v>15.773195876288661</v>
      </c>
      <c r="M137" s="381">
        <f>calcR2LOB1Clinician9GrossProd</f>
        <v>15.773195876288661</v>
      </c>
      <c r="N137" s="8" t="s">
        <v>5667</v>
      </c>
      <c r="O137" s="131" t="b">
        <f t="shared" si="3"/>
        <v>1</v>
      </c>
    </row>
    <row r="138" spans="1:15">
      <c r="A138" s="76" t="s">
        <v>604</v>
      </c>
      <c r="D138" s="8">
        <v>10</v>
      </c>
      <c r="E138" s="381">
        <f>calcLOB1Clinician10GrossProd</f>
        <v>25.05263157894737</v>
      </c>
      <c r="F138" s="381">
        <f>calcLOB1Clinician10GrossProd</f>
        <v>25.05263157894737</v>
      </c>
      <c r="G138" s="381">
        <f>calcLOB1Clinician10GrossProd</f>
        <v>25.05263157894737</v>
      </c>
      <c r="H138" s="8" t="s">
        <v>1572</v>
      </c>
      <c r="I138" s="131" t="b">
        <f t="shared" si="2"/>
        <v>1</v>
      </c>
      <c r="J138" s="8">
        <v>10</v>
      </c>
      <c r="K138" s="381">
        <f>calcR2LOB1Clinician10GrossProd</f>
        <v>25.05263157894737</v>
      </c>
      <c r="L138" s="381">
        <f>calcR2LOB1Clinician10GrossProd</f>
        <v>25.05263157894737</v>
      </c>
      <c r="M138" s="381">
        <f>calcR2LOB1Clinician10GrossProd</f>
        <v>25.05263157894737</v>
      </c>
      <c r="N138" s="8" t="s">
        <v>5668</v>
      </c>
      <c r="O138" s="131" t="b">
        <f t="shared" si="3"/>
        <v>1</v>
      </c>
    </row>
    <row r="139" spans="1:15">
      <c r="A139" s="76" t="s">
        <v>1497</v>
      </c>
      <c r="D139" s="8">
        <v>11</v>
      </c>
      <c r="E139" s="381">
        <f>calcLOB1Clinician11GrossProd</f>
        <v>0</v>
      </c>
      <c r="F139" s="381">
        <f>calcLOB1Clinician11GrossProd</f>
        <v>0</v>
      </c>
      <c r="G139" s="381">
        <f>calcLOB1Clinician11GrossProd</f>
        <v>0</v>
      </c>
      <c r="H139" s="8" t="s">
        <v>1573</v>
      </c>
      <c r="I139" s="131" t="b">
        <f t="shared" si="2"/>
        <v>1</v>
      </c>
      <c r="J139" s="8">
        <v>11</v>
      </c>
      <c r="K139" s="381">
        <f>calcR2LOB1Clinician11GrossProd</f>
        <v>0</v>
      </c>
      <c r="L139" s="381">
        <f>calcR2LOB1Clinician11GrossProd</f>
        <v>0</v>
      </c>
      <c r="M139" s="381">
        <f>calcR2LOB1Clinician11GrossProd</f>
        <v>0</v>
      </c>
      <c r="N139" s="8" t="s">
        <v>5669</v>
      </c>
      <c r="O139" s="131" t="b">
        <f t="shared" si="3"/>
        <v>1</v>
      </c>
    </row>
    <row r="140" spans="1:15">
      <c r="A140" s="76" t="s">
        <v>1498</v>
      </c>
      <c r="D140" s="63">
        <v>12</v>
      </c>
      <c r="E140" s="381">
        <f>calcLOB1Clinician12GrossProd</f>
        <v>0</v>
      </c>
      <c r="F140" s="381">
        <f>calcLOB1Clinician12GrossProd</f>
        <v>0</v>
      </c>
      <c r="G140" s="381">
        <f>calcLOB1Clinician12GrossProd</f>
        <v>0</v>
      </c>
      <c r="H140" s="8" t="s">
        <v>1574</v>
      </c>
      <c r="I140" s="131" t="b">
        <f t="shared" si="2"/>
        <v>1</v>
      </c>
      <c r="J140" s="63">
        <v>12</v>
      </c>
      <c r="K140" s="381">
        <f>calcR2LOB1Clinician12GrossProd</f>
        <v>0</v>
      </c>
      <c r="L140" s="381">
        <f>calcR2LOB1Clinician12GrossProd</f>
        <v>0</v>
      </c>
      <c r="M140" s="381">
        <f>calcR2LOB1Clinician12GrossProd</f>
        <v>0</v>
      </c>
      <c r="N140" s="8" t="s">
        <v>5670</v>
      </c>
      <c r="O140" s="131" t="b">
        <f t="shared" si="3"/>
        <v>1</v>
      </c>
    </row>
    <row r="141" spans="1:15">
      <c r="A141" s="76" t="s">
        <v>3998</v>
      </c>
      <c r="D141" s="63">
        <v>13</v>
      </c>
      <c r="E141" s="381">
        <f>cbalLOB1NumProdClinician13*cbalLOB1BaseProdClinician13</f>
        <v>107.73</v>
      </c>
      <c r="F141" s="381">
        <f>obalLOB1AvgProdClinician13*cbalLOB1Disc1Retention</f>
        <v>241.1206875</v>
      </c>
      <c r="G141" s="381">
        <f>obalLOB1AvgProdClinician13*cbalLOB1Disc1Retention</f>
        <v>127.416375</v>
      </c>
      <c r="H141" s="8" t="s">
        <v>4022</v>
      </c>
      <c r="I141" s="131" t="b">
        <f t="shared" si="2"/>
        <v>0</v>
      </c>
      <c r="J141" s="63">
        <v>19</v>
      </c>
      <c r="K141" s="381">
        <f>cbalR2LOB1NumProdClinician13*cbalR2LOB1BaseProdClinician13</f>
        <v>88.880544982269981</v>
      </c>
      <c r="L141" s="381">
        <f>obalR2LOB1AvgProdClinician13*cbalR2LOB1Disc1Retention</f>
        <v>215.74923364455404</v>
      </c>
      <c r="M141" s="381">
        <f>obalR2LOB1AvgProdClinician13*cbalR2LOB1Disc1Retention</f>
        <v>107.5293703741514</v>
      </c>
      <c r="N141" s="8" t="s">
        <v>5671</v>
      </c>
      <c r="O141" s="131" t="b">
        <f t="shared" si="3"/>
        <v>0</v>
      </c>
    </row>
    <row r="142" spans="1:15">
      <c r="A142" s="76" t="s">
        <v>3999</v>
      </c>
      <c r="D142" s="63">
        <v>14</v>
      </c>
      <c r="E142" s="381">
        <f>cbalLOB1NumProdClinician14*cbalLOB1BaseProdClinician14</f>
        <v>172.2825</v>
      </c>
      <c r="F142" s="381">
        <f>obalLOB1AvgProdClinician14*cbalLOB1Disc2Retention</f>
        <v>272.78300000000002</v>
      </c>
      <c r="G142" s="381">
        <f>obalLOB1AvgProdClinician14*cbalLOB1Disc2Retention</f>
        <v>141.57374999999999</v>
      </c>
      <c r="H142" s="8" t="s">
        <v>4023</v>
      </c>
      <c r="I142" s="131" t="b">
        <f t="shared" si="2"/>
        <v>0</v>
      </c>
      <c r="J142" s="63">
        <v>20</v>
      </c>
      <c r="K142" s="381">
        <f>cbalR2LOB1NumProdClinician14*cbalR2LOB1BaseProdClinician14</f>
        <v>142.13833185656668</v>
      </c>
      <c r="L142" s="381">
        <f>obalR2LOB1AvgProdClinician14*cbalR2LOB1Disc2Retention</f>
        <v>271.19993454758759</v>
      </c>
      <c r="M142" s="381">
        <f>obalR2LOB1AvgProdClinician14*cbalR2LOB1Disc2Retention</f>
        <v>132.75230910389058</v>
      </c>
      <c r="N142" s="8" t="s">
        <v>5672</v>
      </c>
      <c r="O142" s="131" t="b">
        <f t="shared" si="3"/>
        <v>0</v>
      </c>
    </row>
    <row r="143" spans="1:15">
      <c r="A143" s="76" t="s">
        <v>4000</v>
      </c>
      <c r="D143" s="761">
        <v>15</v>
      </c>
      <c r="E143" s="381">
        <f>cbalLOB1NumProdClinician15*cbalLOB1BaseProdClinician15</f>
        <v>282.15000000000003</v>
      </c>
      <c r="F143" s="381">
        <f>obalLOB1AvgProdClinician15*cbalLOB1Disc3Retention</f>
        <v>569.92162499999995</v>
      </c>
      <c r="G143" s="381">
        <f>obalLOB1AvgProdClinician15*cbalLOB1Disc3Retention</f>
        <v>283.14749999999998</v>
      </c>
      <c r="H143" s="8" t="s">
        <v>4024</v>
      </c>
      <c r="I143" s="131" t="b">
        <f t="shared" si="2"/>
        <v>0</v>
      </c>
      <c r="J143" s="63">
        <v>21</v>
      </c>
      <c r="K143" s="381">
        <f>cbalR2LOB1NumProdClinician15*cbalR2LOB1BaseProdClinician15</f>
        <v>232.78237971546903</v>
      </c>
      <c r="L143" s="381">
        <f>obalR2LOB1AvgProdClinician15*cbalR2LOB1Disc3Retention</f>
        <v>566.61414896549536</v>
      </c>
      <c r="M143" s="381">
        <f>obalR2LOB1AvgProdClinician15*cbalR2LOB1Disc3Retention</f>
        <v>265.50461820778116</v>
      </c>
      <c r="N143" s="8" t="s">
        <v>5673</v>
      </c>
      <c r="O143" s="131" t="b">
        <f t="shared" si="3"/>
        <v>0</v>
      </c>
    </row>
    <row r="144" spans="1:15">
      <c r="A144" s="76" t="s">
        <v>4001</v>
      </c>
      <c r="D144" s="63">
        <v>16</v>
      </c>
      <c r="E144" s="381">
        <f>cbalLOB1NumProdClinician16*cbalLOB1BaseProdClinician16</f>
        <v>74.385000000000005</v>
      </c>
      <c r="F144" s="381">
        <f>obalLOB1AvgProdClinician16*cbalLOB1Disc4Retention</f>
        <v>146.13374999999999</v>
      </c>
      <c r="G144" s="381">
        <f>obalLOB1AvgProdClinician16*cbalLOB1Disc4Retention</f>
        <v>84.944249999999997</v>
      </c>
      <c r="H144" s="8" t="s">
        <v>4025</v>
      </c>
      <c r="I144" s="131" t="b">
        <f t="shared" si="2"/>
        <v>0</v>
      </c>
      <c r="J144" s="63">
        <v>22</v>
      </c>
      <c r="K144" s="381">
        <f>cbalR2LOB1NumProdClinician16*cbalR2LOB1BaseProdClinician16</f>
        <v>61.369900106805467</v>
      </c>
      <c r="L144" s="381">
        <f>obalR2LOB1AvgProdClinician16*cbalR2LOB1Disc4Retention</f>
        <v>145.2856792219219</v>
      </c>
      <c r="M144" s="381">
        <f>obalR2LOB1AvgProdClinician16*cbalR2LOB1Disc4Retention</f>
        <v>79.65138546233436</v>
      </c>
      <c r="N144" s="8" t="s">
        <v>5674</v>
      </c>
      <c r="O144" s="131" t="b">
        <f t="shared" si="3"/>
        <v>0</v>
      </c>
    </row>
    <row r="145" spans="1:15">
      <c r="A145" s="76" t="s">
        <v>1497</v>
      </c>
      <c r="D145" s="8">
        <v>11</v>
      </c>
      <c r="E145" s="508">
        <f>VLOOKUP(calcLOB1Clinician11LookupValue,dataTableCC1Staff,5,FALSE)*paramLOB1Meetings*paramLOB1ClinicianRecruitment</f>
        <v>0</v>
      </c>
      <c r="F145" s="508">
        <f>VLOOKUP(calcLOB1Clinician11LookupValue,dataTableCC1Staff,5,FALSE)*paramLOB1Meetings*paramLOB1ClinicianRecruitment</f>
        <v>0</v>
      </c>
      <c r="G145" s="508">
        <f>VLOOKUP(calcLOB1Clinician11LookupValue,dataTableCC1Staff,5,FALSE)*paramLOB1Meetings*paramLOB1ClinicianRecruitment</f>
        <v>0</v>
      </c>
      <c r="H145" s="8" t="s">
        <v>3982</v>
      </c>
      <c r="I145" s="131" t="b">
        <f t="shared" si="2"/>
        <v>1</v>
      </c>
      <c r="J145" s="8">
        <v>11</v>
      </c>
      <c r="K145" s="508">
        <f>VLOOKUP(calcR2LOB1Clinician11LookupValue,dataTableCC1Staff,5,FALSE)*paramR2LOB1Meetings*paramR2LOB1ClinicianRecruitment</f>
        <v>0</v>
      </c>
      <c r="L145" s="508">
        <f>VLOOKUP(calcR2LOB1Clinician11LookupValue,dataTableCC1Staff,5,FALSE)*paramR2LOB1Meetings*paramR2LOB1ClinicianRecruitment</f>
        <v>0</v>
      </c>
      <c r="M145" s="508">
        <f>VLOOKUP(calcR2LOB1Clinician11LookupValue,dataTableCC1Staff,5,FALSE)*paramR2LOB1Meetings*paramR2LOB1ClinicianRecruitment</f>
        <v>0</v>
      </c>
      <c r="N145" s="8" t="s">
        <v>5675</v>
      </c>
      <c r="O145" s="131" t="b">
        <f t="shared" si="3"/>
        <v>1</v>
      </c>
    </row>
    <row r="146" spans="1:15">
      <c r="A146" s="76" t="s">
        <v>1498</v>
      </c>
      <c r="D146" s="63">
        <v>12</v>
      </c>
      <c r="E146" s="508">
        <f>VLOOKUP(calcLOB1Clinician12LookupValue,dataTableCC1Staff,5,FALSE)*paramLOB1Meetings*paramLOB1ClinicianRecruitment</f>
        <v>0</v>
      </c>
      <c r="F146" s="508">
        <f>VLOOKUP(calcLOB1Clinician12LookupValue,dataTableCC1Staff,5,FALSE)*paramLOB1Meetings*paramLOB1ClinicianRecruitment</f>
        <v>0</v>
      </c>
      <c r="G146" s="508">
        <f>VLOOKUP(calcLOB1Clinician12LookupValue,dataTableCC1Staff,5,FALSE)*paramLOB1Meetings*paramLOB1ClinicianRecruitment</f>
        <v>0</v>
      </c>
      <c r="H146" s="8" t="s">
        <v>3983</v>
      </c>
      <c r="I146" s="131" t="b">
        <f t="shared" si="2"/>
        <v>1</v>
      </c>
      <c r="J146" s="63">
        <v>12</v>
      </c>
      <c r="K146" s="508">
        <f>VLOOKUP(calcR2LOB1Clinician12LookupValue,dataTableCC1Staff,5,FALSE)*paramR2LOB1Meetings*paramR2LOB1ClinicianRecruitment</f>
        <v>0</v>
      </c>
      <c r="L146" s="508">
        <f>VLOOKUP(calcR2LOB1Clinician12LookupValue,dataTableCC1Staff,5,FALSE)*paramR2LOB1Meetings*paramR2LOB1ClinicianRecruitment</f>
        <v>0</v>
      </c>
      <c r="M146" s="508">
        <f>VLOOKUP(calcR2LOB1Clinician12LookupValue,dataTableCC1Staff,5,FALSE)*paramR2LOB1Meetings*paramR2LOB1ClinicianRecruitment</f>
        <v>0</v>
      </c>
      <c r="N146" s="8" t="s">
        <v>5676</v>
      </c>
      <c r="O146" s="131" t="b">
        <f t="shared" si="3"/>
        <v>1</v>
      </c>
    </row>
    <row r="147" spans="1:15">
      <c r="A147" s="76"/>
      <c r="I147" s="131" t="b">
        <f t="shared" si="2"/>
        <v>1</v>
      </c>
      <c r="K147" s="159"/>
      <c r="L147" s="159"/>
      <c r="M147" s="159"/>
      <c r="O147" s="131" t="b">
        <f t="shared" si="3"/>
        <v>1</v>
      </c>
    </row>
    <row r="148" spans="1:15">
      <c r="A148" s="76" t="s">
        <v>3785</v>
      </c>
      <c r="I148" s="131" t="b">
        <f t="shared" si="2"/>
        <v>1</v>
      </c>
      <c r="K148" s="159"/>
      <c r="L148" s="159"/>
      <c r="M148" s="159"/>
      <c r="O148" s="131" t="b">
        <f t="shared" si="3"/>
        <v>1</v>
      </c>
    </row>
    <row r="149" spans="1:15">
      <c r="A149" s="76" t="s">
        <v>595</v>
      </c>
      <c r="D149" s="63">
        <v>1</v>
      </c>
      <c r="E149" s="531">
        <f>obalLOB1MileagePVisitClinician1*paramLOB1Clinician1Mileage</f>
        <v>6.5</v>
      </c>
      <c r="F149" s="531">
        <f>obalLOB1MileagePVisitClinician1*paramLOB1Clinician1Mileage</f>
        <v>6.5</v>
      </c>
      <c r="G149" s="531">
        <f>obalLOB1MileagePVisitClinician1*paramLOB1Clinician1Mileage</f>
        <v>6.5</v>
      </c>
      <c r="H149" s="8" t="s">
        <v>3798</v>
      </c>
      <c r="I149" s="131" t="b">
        <f t="shared" si="2"/>
        <v>1</v>
      </c>
      <c r="J149" s="63">
        <v>1</v>
      </c>
      <c r="K149" s="531">
        <f>obalR2LOB1MileagePVisitClinician1*paramR2LOB1Clinician1Mileage</f>
        <v>6.5</v>
      </c>
      <c r="L149" s="531">
        <f>obalR2LOB1MileagePVisitClinician1*paramR2LOB1Clinician1Mileage</f>
        <v>6.5</v>
      </c>
      <c r="M149" s="531">
        <f>obalR2LOB1MileagePVisitClinician1*paramR2LOB1Clinician1Mileage</f>
        <v>6.5</v>
      </c>
      <c r="N149" s="8" t="s">
        <v>5677</v>
      </c>
      <c r="O149" s="131" t="b">
        <f t="shared" si="3"/>
        <v>1</v>
      </c>
    </row>
    <row r="150" spans="1:15">
      <c r="A150" s="76" t="s">
        <v>596</v>
      </c>
      <c r="D150" s="63">
        <v>2</v>
      </c>
      <c r="E150" s="531">
        <f>obalLOB1MileagePVisitClinician2*paramLOB1Clinician2Mileage</f>
        <v>5.3</v>
      </c>
      <c r="F150" s="531">
        <f>obalLOB1MileagePVisitClinician2*paramLOB1Clinician2Mileage</f>
        <v>5.3</v>
      </c>
      <c r="G150" s="531">
        <f>obalLOB1MileagePVisitClinician2*paramLOB1Clinician2Mileage</f>
        <v>5.3</v>
      </c>
      <c r="H150" s="8" t="s">
        <v>3799</v>
      </c>
      <c r="I150" s="131" t="b">
        <f t="shared" si="2"/>
        <v>1</v>
      </c>
      <c r="J150" s="63">
        <v>2</v>
      </c>
      <c r="K150" s="531">
        <f>obalR2LOB1MileagePVisitClinician2*paramR2LOB1Clinician2Mileage</f>
        <v>5.3</v>
      </c>
      <c r="L150" s="531">
        <f>obalR2LOB1MileagePVisitClinician2*paramR2LOB1Clinician2Mileage</f>
        <v>5.3</v>
      </c>
      <c r="M150" s="531">
        <f>obalR2LOB1MileagePVisitClinician2*paramR2LOB1Clinician2Mileage</f>
        <v>5.3</v>
      </c>
      <c r="N150" s="8" t="s">
        <v>5678</v>
      </c>
      <c r="O150" s="131" t="b">
        <f t="shared" si="3"/>
        <v>1</v>
      </c>
    </row>
    <row r="151" spans="1:15">
      <c r="A151" s="76" t="s">
        <v>597</v>
      </c>
      <c r="D151" s="63">
        <v>3</v>
      </c>
      <c r="E151" s="531">
        <f>obalLOB1MileagePVisitClinician3*paramLOB1Clinician3Mileage</f>
        <v>4.5999999999999996</v>
      </c>
      <c r="F151" s="531">
        <f>obalLOB1MileagePVisitClinician3*paramLOB1Clinician3Mileage</f>
        <v>4.5999999999999996</v>
      </c>
      <c r="G151" s="531">
        <f>obalLOB1MileagePVisitClinician3*paramLOB1Clinician3Mileage</f>
        <v>4.5999999999999996</v>
      </c>
      <c r="H151" s="8" t="s">
        <v>3800</v>
      </c>
      <c r="I151" s="131" t="b">
        <f t="shared" si="2"/>
        <v>1</v>
      </c>
      <c r="J151" s="63">
        <v>3</v>
      </c>
      <c r="K151" s="531">
        <f>obalR2LOB1MileagePVisitClinician3*paramR2LOB1Clinician3Mileage</f>
        <v>4.5999999999999996</v>
      </c>
      <c r="L151" s="531">
        <f>obalR2LOB1MileagePVisitClinician3*paramR2LOB1Clinician3Mileage</f>
        <v>4.5999999999999996</v>
      </c>
      <c r="M151" s="531">
        <f>obalR2LOB1MileagePVisitClinician3*paramR2LOB1Clinician3Mileage</f>
        <v>4.5999999999999996</v>
      </c>
      <c r="N151" s="8" t="s">
        <v>5679</v>
      </c>
      <c r="O151" s="131" t="b">
        <f t="shared" si="3"/>
        <v>1</v>
      </c>
    </row>
    <row r="152" spans="1:15">
      <c r="A152" s="76" t="s">
        <v>598</v>
      </c>
      <c r="D152" s="8">
        <v>4</v>
      </c>
      <c r="E152" s="531">
        <f>obalLOB1MileagePVisitClinician4*paramLOB1Clinician4Mileage</f>
        <v>3.1</v>
      </c>
      <c r="F152" s="531">
        <f>obalLOB1MileagePVisitClinician4*paramLOB1Clinician4Mileage</f>
        <v>3.1</v>
      </c>
      <c r="G152" s="531">
        <f>obalLOB1MileagePVisitClinician4*paramLOB1Clinician4Mileage</f>
        <v>3.1</v>
      </c>
      <c r="H152" s="8" t="s">
        <v>3801</v>
      </c>
      <c r="I152" s="131" t="b">
        <f t="shared" si="2"/>
        <v>1</v>
      </c>
      <c r="J152" s="8">
        <v>4</v>
      </c>
      <c r="K152" s="531">
        <f>obalR2LOB1MileagePVisitClinician4*paramR2LOB1Clinician4Mileage</f>
        <v>3.1</v>
      </c>
      <c r="L152" s="531">
        <f>obalR2LOB1MileagePVisitClinician4*paramR2LOB1Clinician4Mileage</f>
        <v>3.1</v>
      </c>
      <c r="M152" s="531">
        <f>obalR2LOB1MileagePVisitClinician4*paramR2LOB1Clinician4Mileage</f>
        <v>3.1</v>
      </c>
      <c r="N152" s="8" t="s">
        <v>5680</v>
      </c>
      <c r="O152" s="131" t="b">
        <f t="shared" si="3"/>
        <v>1</v>
      </c>
    </row>
    <row r="153" spans="1:15">
      <c r="A153" s="76" t="s">
        <v>599</v>
      </c>
      <c r="D153" s="8">
        <v>5</v>
      </c>
      <c r="E153" s="531">
        <f>obalLOB1MileagePVisitClinician5*paramLOB1Clinician5Mileage</f>
        <v>3</v>
      </c>
      <c r="F153" s="531">
        <f>obalLOB1MileagePVisitClinician5*paramLOB1Clinician5Mileage</f>
        <v>3</v>
      </c>
      <c r="G153" s="531">
        <f>obalLOB1MileagePVisitClinician5*paramLOB1Clinician5Mileage</f>
        <v>3</v>
      </c>
      <c r="H153" s="8" t="s">
        <v>3802</v>
      </c>
      <c r="I153" s="131" t="b">
        <f t="shared" ref="I153:I216" si="8">MAX(E153:G153)=MIN(E153:G153)</f>
        <v>1</v>
      </c>
      <c r="J153" s="8">
        <v>5</v>
      </c>
      <c r="K153" s="531">
        <f>obalR2LOB1MileagePVisitClinician5*paramR2LOB1Clinician5Mileage</f>
        <v>3</v>
      </c>
      <c r="L153" s="531">
        <f>obalR2LOB1MileagePVisitClinician5*paramR2LOB1Clinician5Mileage</f>
        <v>3</v>
      </c>
      <c r="M153" s="531">
        <f>obalR2LOB1MileagePVisitClinician5*paramR2LOB1Clinician5Mileage</f>
        <v>3</v>
      </c>
      <c r="N153" s="8" t="s">
        <v>5681</v>
      </c>
      <c r="O153" s="131" t="b">
        <f t="shared" ref="O153:O216" si="9">MAX(K153:M153)=MIN(K153:M153)</f>
        <v>1</v>
      </c>
    </row>
    <row r="154" spans="1:15">
      <c r="A154" s="76" t="s">
        <v>600</v>
      </c>
      <c r="D154" s="8">
        <v>6</v>
      </c>
      <c r="E154" s="531">
        <f>obalLOB1MileagePVisitClinician6*paramLOB1Clinician6Mileage</f>
        <v>5.7</v>
      </c>
      <c r="F154" s="531">
        <f>obalLOB1MileagePVisitClinician6*paramLOB1Clinician6Mileage</f>
        <v>5.7</v>
      </c>
      <c r="G154" s="531">
        <f>obalLOB1MileagePVisitClinician6*paramLOB1Clinician6Mileage</f>
        <v>5.7</v>
      </c>
      <c r="H154" s="8" t="s">
        <v>3803</v>
      </c>
      <c r="I154" s="131" t="b">
        <f t="shared" si="8"/>
        <v>1</v>
      </c>
      <c r="J154" s="8">
        <v>6</v>
      </c>
      <c r="K154" s="531">
        <f>obalR2LOB1MileagePVisitClinician6*paramR2LOB1Clinician6Mileage</f>
        <v>5.7</v>
      </c>
      <c r="L154" s="531">
        <f>obalR2LOB1MileagePVisitClinician6*paramR2LOB1Clinician6Mileage</f>
        <v>5.7</v>
      </c>
      <c r="M154" s="531">
        <f>obalR2LOB1MileagePVisitClinician6*paramR2LOB1Clinician6Mileage</f>
        <v>5.7</v>
      </c>
      <c r="N154" s="8" t="s">
        <v>5682</v>
      </c>
      <c r="O154" s="131" t="b">
        <f t="shared" si="9"/>
        <v>1</v>
      </c>
    </row>
    <row r="155" spans="1:15">
      <c r="A155" s="76" t="s">
        <v>601</v>
      </c>
      <c r="D155" s="63">
        <v>7</v>
      </c>
      <c r="E155" s="531">
        <f>obalLOB1MileagePVisitClinician7*paramLOB1Clinician7Mileage</f>
        <v>3.6</v>
      </c>
      <c r="F155" s="531">
        <f>obalLOB1MileagePVisitClinician7*paramLOB1Clinician7Mileage</f>
        <v>3.6</v>
      </c>
      <c r="G155" s="531">
        <f>obalLOB1MileagePVisitClinician7*paramLOB1Clinician7Mileage</f>
        <v>3.6</v>
      </c>
      <c r="H155" s="8" t="s">
        <v>3804</v>
      </c>
      <c r="I155" s="131" t="b">
        <f t="shared" si="8"/>
        <v>1</v>
      </c>
      <c r="J155" s="63">
        <v>7</v>
      </c>
      <c r="K155" s="531">
        <f>obalR2LOB1MileagePVisitClinician7*paramR2LOB1Clinician7Mileage</f>
        <v>3.6</v>
      </c>
      <c r="L155" s="531">
        <f>obalR2LOB1MileagePVisitClinician7*paramR2LOB1Clinician7Mileage</f>
        <v>3.6</v>
      </c>
      <c r="M155" s="531">
        <f>obalR2LOB1MileagePVisitClinician7*paramR2LOB1Clinician7Mileage</f>
        <v>3.6</v>
      </c>
      <c r="N155" s="8" t="s">
        <v>5683</v>
      </c>
      <c r="O155" s="131" t="b">
        <f t="shared" si="9"/>
        <v>1</v>
      </c>
    </row>
    <row r="156" spans="1:15">
      <c r="A156" s="76" t="s">
        <v>602</v>
      </c>
      <c r="D156" s="63">
        <v>8</v>
      </c>
      <c r="E156" s="531">
        <f>obalLOB1MileagePVisitClinician8*paramLOB1Clinician8Mileage</f>
        <v>6.2</v>
      </c>
      <c r="F156" s="531">
        <f>obalLOB1MileagePVisitClinician8*paramLOB1Clinician8Mileage</f>
        <v>6.2</v>
      </c>
      <c r="G156" s="531">
        <f>obalLOB1MileagePVisitClinician8*paramLOB1Clinician8Mileage</f>
        <v>6.2</v>
      </c>
      <c r="H156" s="8" t="s">
        <v>3805</v>
      </c>
      <c r="I156" s="131" t="b">
        <f t="shared" si="8"/>
        <v>1</v>
      </c>
      <c r="J156" s="63">
        <v>8</v>
      </c>
      <c r="K156" s="531">
        <f>obalR2LOB1MileagePVisitClinician8*paramR2LOB1Clinician8Mileage</f>
        <v>6.2</v>
      </c>
      <c r="L156" s="531">
        <f>obalR2LOB1MileagePVisitClinician8*paramR2LOB1Clinician8Mileage</f>
        <v>6.2</v>
      </c>
      <c r="M156" s="531">
        <f>obalR2LOB1MileagePVisitClinician8*paramR2LOB1Clinician8Mileage</f>
        <v>6.2</v>
      </c>
      <c r="N156" s="8" t="s">
        <v>5684</v>
      </c>
      <c r="O156" s="131" t="b">
        <f t="shared" si="9"/>
        <v>1</v>
      </c>
    </row>
    <row r="157" spans="1:15">
      <c r="A157" s="76" t="s">
        <v>603</v>
      </c>
      <c r="D157" s="63">
        <v>9</v>
      </c>
      <c r="E157" s="531">
        <f>obalLOB1MileagePVisitClinician9*paramLOB1Clinician9Mileage</f>
        <v>3.2</v>
      </c>
      <c r="F157" s="531">
        <f>obalLOB1MileagePVisitClinician9*paramLOB1Clinician9Mileage</f>
        <v>3.2</v>
      </c>
      <c r="G157" s="531">
        <f>obalLOB1MileagePVisitClinician9*paramLOB1Clinician9Mileage</f>
        <v>3.2</v>
      </c>
      <c r="H157" s="8" t="s">
        <v>3806</v>
      </c>
      <c r="I157" s="131" t="b">
        <f t="shared" si="8"/>
        <v>1</v>
      </c>
      <c r="J157" s="63">
        <v>9</v>
      </c>
      <c r="K157" s="531">
        <f>obalR2LOB1MileagePVisitClinician9*paramR2LOB1Clinician9Mileage</f>
        <v>3.2</v>
      </c>
      <c r="L157" s="531">
        <f>obalR2LOB1MileagePVisitClinician9*paramR2LOB1Clinician9Mileage</f>
        <v>3.2</v>
      </c>
      <c r="M157" s="531">
        <f>obalR2LOB1MileagePVisitClinician9*paramR2LOB1Clinician9Mileage</f>
        <v>3.2</v>
      </c>
      <c r="N157" s="8" t="s">
        <v>5685</v>
      </c>
      <c r="O157" s="131" t="b">
        <f t="shared" si="9"/>
        <v>1</v>
      </c>
    </row>
    <row r="158" spans="1:15">
      <c r="A158" s="76" t="s">
        <v>604</v>
      </c>
      <c r="D158" s="8">
        <v>10</v>
      </c>
      <c r="E158" s="531">
        <f>obalLOB1MileagePVisitClinician10*paramLOB1Clinician10Mileage</f>
        <v>3.1</v>
      </c>
      <c r="F158" s="531">
        <f>obalLOB1MileagePVisitClinician10*paramLOB1Clinician10Mileage</f>
        <v>3.1</v>
      </c>
      <c r="G158" s="531">
        <f>obalLOB1MileagePVisitClinician10*paramLOB1Clinician10Mileage</f>
        <v>3.1</v>
      </c>
      <c r="H158" s="8" t="s">
        <v>3807</v>
      </c>
      <c r="I158" s="131" t="b">
        <f t="shared" si="8"/>
        <v>1</v>
      </c>
      <c r="J158" s="8">
        <v>10</v>
      </c>
      <c r="K158" s="531">
        <f>obalR2LOB1MileagePVisitClinician10*paramR2LOB1Clinician10Mileage</f>
        <v>3.1</v>
      </c>
      <c r="L158" s="531">
        <f>obalR2LOB1MileagePVisitClinician10*paramR2LOB1Clinician10Mileage</f>
        <v>3.1</v>
      </c>
      <c r="M158" s="531">
        <f>obalR2LOB1MileagePVisitClinician10*paramR2LOB1Clinician10Mileage</f>
        <v>3.1</v>
      </c>
      <c r="N158" s="8" t="s">
        <v>5686</v>
      </c>
      <c r="O158" s="131" t="b">
        <f t="shared" si="9"/>
        <v>1</v>
      </c>
    </row>
    <row r="159" spans="1:15">
      <c r="A159" s="76" t="s">
        <v>1497</v>
      </c>
      <c r="D159" s="8">
        <v>11</v>
      </c>
      <c r="E159" s="531">
        <f>obalLOB1MileagePVisitClinician11*paramLOB1Clinician11Mileage</f>
        <v>4.3</v>
      </c>
      <c r="F159" s="531">
        <f>obalLOB1MileagePVisitClinician11*paramLOB1Clinician11Mileage</f>
        <v>4.3</v>
      </c>
      <c r="G159" s="531">
        <f>obalLOB1MileagePVisitClinician11*paramLOB1Clinician11Mileage</f>
        <v>4.3</v>
      </c>
      <c r="H159" s="8" t="s">
        <v>3808</v>
      </c>
      <c r="I159" s="131" t="b">
        <f t="shared" si="8"/>
        <v>1</v>
      </c>
      <c r="J159" s="8">
        <v>11</v>
      </c>
      <c r="K159" s="531">
        <f>obalR2LOB1MileagePVisitClinician11*paramR2LOB1Clinician11Mileage</f>
        <v>4.3</v>
      </c>
      <c r="L159" s="531">
        <f>obalR2LOB1MileagePVisitClinician11*paramR2LOB1Clinician11Mileage</f>
        <v>4.3</v>
      </c>
      <c r="M159" s="531">
        <f>obalR2LOB1MileagePVisitClinician11*paramR2LOB1Clinician11Mileage</f>
        <v>4.3</v>
      </c>
      <c r="N159" s="8" t="s">
        <v>5687</v>
      </c>
      <c r="O159" s="131" t="b">
        <f t="shared" si="9"/>
        <v>1</v>
      </c>
    </row>
    <row r="160" spans="1:15">
      <c r="A160" s="76" t="s">
        <v>1498</v>
      </c>
      <c r="D160" s="63">
        <v>12</v>
      </c>
      <c r="E160" s="531">
        <f>obalLOB1MileagePVisitClinician12*paramLOB1Clinician12Mileage</f>
        <v>4.3</v>
      </c>
      <c r="F160" s="531">
        <f>obalLOB1MileagePVisitClinician12*paramLOB1Clinician12Mileage</f>
        <v>4.3</v>
      </c>
      <c r="G160" s="531">
        <f>obalLOB1MileagePVisitClinician12*paramLOB1Clinician12Mileage</f>
        <v>4.3</v>
      </c>
      <c r="H160" s="8" t="s">
        <v>3809</v>
      </c>
      <c r="I160" s="131" t="b">
        <f t="shared" si="8"/>
        <v>1</v>
      </c>
      <c r="J160" s="63">
        <v>12</v>
      </c>
      <c r="K160" s="531">
        <f>obalR2LOB1MileagePVisitClinician12*paramR2LOB1Clinician12Mileage</f>
        <v>4.3</v>
      </c>
      <c r="L160" s="531">
        <f>obalR2LOB1MileagePVisitClinician12*paramR2LOB1Clinician12Mileage</f>
        <v>4.3</v>
      </c>
      <c r="M160" s="531">
        <f>obalR2LOB1MileagePVisitClinician12*paramR2LOB1Clinician12Mileage</f>
        <v>4.3</v>
      </c>
      <c r="N160" s="8" t="s">
        <v>5688</v>
      </c>
      <c r="O160" s="131" t="b">
        <f t="shared" si="9"/>
        <v>1</v>
      </c>
    </row>
    <row r="161" spans="1:15">
      <c r="A161" s="76"/>
      <c r="I161" s="131" t="b">
        <f t="shared" si="8"/>
        <v>1</v>
      </c>
      <c r="K161" s="159"/>
      <c r="L161" s="159"/>
      <c r="M161" s="159"/>
      <c r="O161" s="131" t="b">
        <f t="shared" si="9"/>
        <v>1</v>
      </c>
    </row>
    <row r="162" spans="1:15">
      <c r="A162" s="76" t="s">
        <v>2008</v>
      </c>
      <c r="I162" s="131" t="b">
        <f t="shared" si="8"/>
        <v>1</v>
      </c>
      <c r="K162" s="159"/>
      <c r="L162" s="159"/>
      <c r="M162" s="159"/>
      <c r="O162" s="131" t="b">
        <f t="shared" si="9"/>
        <v>1</v>
      </c>
    </row>
    <row r="163" spans="1:15">
      <c r="A163" s="76" t="s">
        <v>595</v>
      </c>
      <c r="D163" s="63">
        <v>1</v>
      </c>
      <c r="E163" s="531">
        <f>cbalLOB1AvgProdClinician1*cbalLOB1MileagePVisitClinician1</f>
        <v>175.5</v>
      </c>
      <c r="F163" s="531">
        <f>cbalLOB1AvgProdClinician1*cbalLOB1MileagePVisitClinician1</f>
        <v>175.5</v>
      </c>
      <c r="G163" s="531">
        <f>cbalLOB1AvgProdClinician1*cbalLOB1MileagePVisitClinician1</f>
        <v>175.5</v>
      </c>
      <c r="H163" s="8" t="s">
        <v>2021</v>
      </c>
      <c r="I163" s="131" t="b">
        <f t="shared" si="8"/>
        <v>1</v>
      </c>
      <c r="J163" s="63">
        <v>1</v>
      </c>
      <c r="K163" s="531">
        <f>cbalR2LOB1AvgProdClinician1*cbalR2LOB1MileagePVisitClinician1</f>
        <v>175.5</v>
      </c>
      <c r="L163" s="531">
        <f>cbalR2LOB1AvgProdClinician1*cbalR2LOB1MileagePVisitClinician1</f>
        <v>175.5</v>
      </c>
      <c r="M163" s="531">
        <f>cbalR2LOB1AvgProdClinician1*cbalR2LOB1MileagePVisitClinician1</f>
        <v>175.5</v>
      </c>
      <c r="N163" s="8" t="s">
        <v>5689</v>
      </c>
      <c r="O163" s="131" t="b">
        <f t="shared" si="9"/>
        <v>1</v>
      </c>
    </row>
    <row r="164" spans="1:15">
      <c r="A164" s="76" t="s">
        <v>596</v>
      </c>
      <c r="D164" s="63">
        <v>2</v>
      </c>
      <c r="E164" s="531">
        <f>cbalLOB1AvgProdClinician2*cbalLOB1MileagePVisitClinician2</f>
        <v>127.19999999999999</v>
      </c>
      <c r="F164" s="531">
        <f>cbalLOB1AvgProdClinician2*cbalLOB1MileagePVisitClinician2</f>
        <v>127.19999999999999</v>
      </c>
      <c r="G164" s="531">
        <f>cbalLOB1AvgProdClinician2*cbalLOB1MileagePVisitClinician2</f>
        <v>127.19999999999999</v>
      </c>
      <c r="H164" s="8" t="s">
        <v>2022</v>
      </c>
      <c r="I164" s="131" t="b">
        <f t="shared" si="8"/>
        <v>1</v>
      </c>
      <c r="J164" s="63">
        <v>2</v>
      </c>
      <c r="K164" s="531">
        <f>cbalR2LOB1AvgProdClinician2*cbalR2LOB1MileagePVisitClinician2</f>
        <v>127.19999999999999</v>
      </c>
      <c r="L164" s="531">
        <f>cbalR2LOB1AvgProdClinician2*cbalR2LOB1MileagePVisitClinician2</f>
        <v>127.19999999999999</v>
      </c>
      <c r="M164" s="531">
        <f>cbalR2LOB1AvgProdClinician2*cbalR2LOB1MileagePVisitClinician2</f>
        <v>127.19999999999999</v>
      </c>
      <c r="N164" s="8" t="s">
        <v>5690</v>
      </c>
      <c r="O164" s="131" t="b">
        <f t="shared" si="9"/>
        <v>1</v>
      </c>
    </row>
    <row r="165" spans="1:15">
      <c r="A165" s="76" t="s">
        <v>597</v>
      </c>
      <c r="D165" s="63">
        <v>3</v>
      </c>
      <c r="E165" s="531">
        <f>cbalLOB1AvgProdClinician3*cbalLOB1MileagePVisitClinician3</f>
        <v>57.621052631578948</v>
      </c>
      <c r="F165" s="531">
        <f>cbalLOB1AvgProdClinician3*cbalLOB1MileagePVisitClinician3</f>
        <v>57.621052631578948</v>
      </c>
      <c r="G165" s="531">
        <f>cbalLOB1AvgProdClinician3*cbalLOB1MileagePVisitClinician3</f>
        <v>57.621052631578948</v>
      </c>
      <c r="H165" s="8" t="s">
        <v>2023</v>
      </c>
      <c r="I165" s="131" t="b">
        <f t="shared" si="8"/>
        <v>1</v>
      </c>
      <c r="J165" s="63">
        <v>3</v>
      </c>
      <c r="K165" s="531">
        <f>cbalR2LOB1AvgProdClinician3*cbalR2LOB1MileagePVisitClinician3</f>
        <v>57.621052631578948</v>
      </c>
      <c r="L165" s="531">
        <f>cbalR2LOB1AvgProdClinician3*cbalR2LOB1MileagePVisitClinician3</f>
        <v>57.621052631578948</v>
      </c>
      <c r="M165" s="531">
        <f>cbalR2LOB1AvgProdClinician3*cbalR2LOB1MileagePVisitClinician3</f>
        <v>57.621052631578948</v>
      </c>
      <c r="N165" s="8" t="s">
        <v>5691</v>
      </c>
      <c r="O165" s="131" t="b">
        <f t="shared" si="9"/>
        <v>1</v>
      </c>
    </row>
    <row r="166" spans="1:15">
      <c r="A166" s="76" t="s">
        <v>598</v>
      </c>
      <c r="D166" s="8">
        <v>4</v>
      </c>
      <c r="E166" s="531">
        <f>cbalLOB1AvgProdClinician4*cbalLOB1MileagePVisitClinician4</f>
        <v>102.3</v>
      </c>
      <c r="F166" s="531">
        <f>cbalLOB1AvgProdClinician4*cbalLOB1MileagePVisitClinician4</f>
        <v>102.3</v>
      </c>
      <c r="G166" s="531">
        <f>cbalLOB1AvgProdClinician4*cbalLOB1MileagePVisitClinician4</f>
        <v>102.3</v>
      </c>
      <c r="H166" s="8" t="s">
        <v>2024</v>
      </c>
      <c r="I166" s="131" t="b">
        <f t="shared" si="8"/>
        <v>1</v>
      </c>
      <c r="J166" s="8">
        <v>4</v>
      </c>
      <c r="K166" s="531">
        <f>cbalR2LOB1AvgProdClinician4*cbalR2LOB1MileagePVisitClinician4</f>
        <v>102.3</v>
      </c>
      <c r="L166" s="531">
        <f>cbalR2LOB1AvgProdClinician4*cbalR2LOB1MileagePVisitClinician4</f>
        <v>102.3</v>
      </c>
      <c r="M166" s="531">
        <f>cbalR2LOB1AvgProdClinician4*cbalR2LOB1MileagePVisitClinician4</f>
        <v>102.3</v>
      </c>
      <c r="N166" s="8" t="s">
        <v>5692</v>
      </c>
      <c r="O166" s="131" t="b">
        <f t="shared" si="9"/>
        <v>1</v>
      </c>
    </row>
    <row r="167" spans="1:15">
      <c r="A167" s="76" t="s">
        <v>599</v>
      </c>
      <c r="D167" s="8">
        <v>5</v>
      </c>
      <c r="E167" s="531">
        <f>cbalLOB1AvgProdClinician5*cbalLOB1MileagePVisitClinician5</f>
        <v>52.577319587628871</v>
      </c>
      <c r="F167" s="531">
        <f>cbalLOB1AvgProdClinician5*cbalLOB1MileagePVisitClinician5</f>
        <v>52.577319587628871</v>
      </c>
      <c r="G167" s="531">
        <f>cbalLOB1AvgProdClinician5*cbalLOB1MileagePVisitClinician5</f>
        <v>52.577319587628871</v>
      </c>
      <c r="H167" s="8" t="s">
        <v>2025</v>
      </c>
      <c r="I167" s="131" t="b">
        <f t="shared" si="8"/>
        <v>1</v>
      </c>
      <c r="J167" s="8">
        <v>5</v>
      </c>
      <c r="K167" s="531">
        <f>cbalR2LOB1AvgProdClinician5*cbalR2LOB1MileagePVisitClinician5</f>
        <v>52.577319587628871</v>
      </c>
      <c r="L167" s="531">
        <f>cbalR2LOB1AvgProdClinician5*cbalR2LOB1MileagePVisitClinician5</f>
        <v>52.577319587628871</v>
      </c>
      <c r="M167" s="531">
        <f>cbalR2LOB1AvgProdClinician5*cbalR2LOB1MileagePVisitClinician5</f>
        <v>52.577319587628871</v>
      </c>
      <c r="N167" s="8" t="s">
        <v>5693</v>
      </c>
      <c r="O167" s="131" t="b">
        <f t="shared" si="9"/>
        <v>1</v>
      </c>
    </row>
    <row r="168" spans="1:15">
      <c r="A168" s="76" t="s">
        <v>600</v>
      </c>
      <c r="D168" s="8">
        <v>6</v>
      </c>
      <c r="E168" s="531">
        <f>cbalLOB1AvgProdClinician6*cbalLOB1MileagePVisitClinician6</f>
        <v>171</v>
      </c>
      <c r="F168" s="531">
        <f>cbalLOB1AvgProdClinician6*cbalLOB1MileagePVisitClinician6</f>
        <v>171</v>
      </c>
      <c r="G168" s="531">
        <f>cbalLOB1AvgProdClinician6*cbalLOB1MileagePVisitClinician6</f>
        <v>171</v>
      </c>
      <c r="H168" s="8" t="s">
        <v>2026</v>
      </c>
      <c r="I168" s="131" t="b">
        <f t="shared" si="8"/>
        <v>1</v>
      </c>
      <c r="J168" s="8">
        <v>6</v>
      </c>
      <c r="K168" s="531">
        <f>cbalR2LOB1AvgProdClinician6*cbalR2LOB1MileagePVisitClinician6</f>
        <v>171</v>
      </c>
      <c r="L168" s="531">
        <f>cbalR2LOB1AvgProdClinician6*cbalR2LOB1MileagePVisitClinician6</f>
        <v>171</v>
      </c>
      <c r="M168" s="531">
        <f>cbalR2LOB1AvgProdClinician6*cbalR2LOB1MileagePVisitClinician6</f>
        <v>171</v>
      </c>
      <c r="N168" s="8" t="s">
        <v>5694</v>
      </c>
      <c r="O168" s="131" t="b">
        <f t="shared" si="9"/>
        <v>1</v>
      </c>
    </row>
    <row r="169" spans="1:15">
      <c r="A169" s="76" t="s">
        <v>601</v>
      </c>
      <c r="D169" s="63">
        <v>7</v>
      </c>
      <c r="E169" s="531">
        <f>cbalLOB1AvgProdClinician7*cbalLOB1MileagePVisitClinician7</f>
        <v>100.8</v>
      </c>
      <c r="F169" s="531">
        <f>cbalLOB1AvgProdClinician7*cbalLOB1MileagePVisitClinician7</f>
        <v>100.8</v>
      </c>
      <c r="G169" s="531">
        <f>cbalLOB1AvgProdClinician7*cbalLOB1MileagePVisitClinician7</f>
        <v>100.8</v>
      </c>
      <c r="H169" s="8" t="s">
        <v>2027</v>
      </c>
      <c r="I169" s="131" t="b">
        <f t="shared" si="8"/>
        <v>1</v>
      </c>
      <c r="J169" s="63">
        <v>7</v>
      </c>
      <c r="K169" s="531">
        <f>cbalR2LOB1AvgProdClinician7*cbalR2LOB1MileagePVisitClinician7</f>
        <v>100.8</v>
      </c>
      <c r="L169" s="531">
        <f>cbalR2LOB1AvgProdClinician7*cbalR2LOB1MileagePVisitClinician7</f>
        <v>100.8</v>
      </c>
      <c r="M169" s="531">
        <f>cbalR2LOB1AvgProdClinician7*cbalR2LOB1MileagePVisitClinician7</f>
        <v>100.8</v>
      </c>
      <c r="N169" s="8" t="s">
        <v>5695</v>
      </c>
      <c r="O169" s="131" t="b">
        <f t="shared" si="9"/>
        <v>1</v>
      </c>
    </row>
    <row r="170" spans="1:15">
      <c r="A170" s="76" t="s">
        <v>602</v>
      </c>
      <c r="D170" s="63">
        <v>8</v>
      </c>
      <c r="E170" s="531">
        <f>cbalLOB1AvgProdClinician8*cbalLOB1MileagePVisitClinician8</f>
        <v>179.8</v>
      </c>
      <c r="F170" s="531">
        <f>cbalLOB1AvgProdClinician8*cbalLOB1MileagePVisitClinician8</f>
        <v>179.8</v>
      </c>
      <c r="G170" s="531">
        <f>cbalLOB1AvgProdClinician8*cbalLOB1MileagePVisitClinician8</f>
        <v>179.8</v>
      </c>
      <c r="H170" s="8" t="s">
        <v>2028</v>
      </c>
      <c r="I170" s="131" t="b">
        <f t="shared" si="8"/>
        <v>1</v>
      </c>
      <c r="J170" s="63">
        <v>8</v>
      </c>
      <c r="K170" s="531">
        <f>cbalR2LOB1AvgProdClinician8*cbalR2LOB1MileagePVisitClinician8</f>
        <v>179.8</v>
      </c>
      <c r="L170" s="531">
        <f>cbalR2LOB1AvgProdClinician8*cbalR2LOB1MileagePVisitClinician8</f>
        <v>179.8</v>
      </c>
      <c r="M170" s="531">
        <f>cbalR2LOB1AvgProdClinician8*cbalR2LOB1MileagePVisitClinician8</f>
        <v>179.8</v>
      </c>
      <c r="N170" s="8" t="s">
        <v>5696</v>
      </c>
      <c r="O170" s="131" t="b">
        <f t="shared" si="9"/>
        <v>1</v>
      </c>
    </row>
    <row r="171" spans="1:15">
      <c r="A171" s="76" t="s">
        <v>603</v>
      </c>
      <c r="D171" s="63">
        <v>9</v>
      </c>
      <c r="E171" s="531">
        <f>cbalLOB1AvgProdClinician9*cbalLOB1MileagePVisitClinician9</f>
        <v>50.474226804123717</v>
      </c>
      <c r="F171" s="531">
        <f>cbalLOB1AvgProdClinician9*cbalLOB1MileagePVisitClinician9</f>
        <v>50.474226804123717</v>
      </c>
      <c r="G171" s="531">
        <f>cbalLOB1AvgProdClinician9*cbalLOB1MileagePVisitClinician9</f>
        <v>50.474226804123717</v>
      </c>
      <c r="H171" s="8" t="s">
        <v>2029</v>
      </c>
      <c r="I171" s="131" t="b">
        <f t="shared" si="8"/>
        <v>1</v>
      </c>
      <c r="J171" s="63">
        <v>9</v>
      </c>
      <c r="K171" s="531">
        <f>cbalR2LOB1AvgProdClinician9*cbalR2LOB1MileagePVisitClinician9</f>
        <v>50.474226804123717</v>
      </c>
      <c r="L171" s="531">
        <f>cbalR2LOB1AvgProdClinician9*cbalR2LOB1MileagePVisitClinician9</f>
        <v>50.474226804123717</v>
      </c>
      <c r="M171" s="531">
        <f>cbalR2LOB1AvgProdClinician9*cbalR2LOB1MileagePVisitClinician9</f>
        <v>50.474226804123717</v>
      </c>
      <c r="N171" s="8" t="s">
        <v>5697</v>
      </c>
      <c r="O171" s="131" t="b">
        <f t="shared" si="9"/>
        <v>1</v>
      </c>
    </row>
    <row r="172" spans="1:15">
      <c r="A172" s="76" t="s">
        <v>604</v>
      </c>
      <c r="D172" s="8">
        <v>10</v>
      </c>
      <c r="E172" s="531">
        <f>cbalLOB1AvgProdClinician10*cbalLOB1MileagePVisitClinician10</f>
        <v>77.663157894736855</v>
      </c>
      <c r="F172" s="531">
        <f>cbalLOB1AvgProdClinician10*cbalLOB1MileagePVisitClinician10</f>
        <v>77.663157894736855</v>
      </c>
      <c r="G172" s="531">
        <f>cbalLOB1AvgProdClinician10*cbalLOB1MileagePVisitClinician10</f>
        <v>77.663157894736855</v>
      </c>
      <c r="H172" s="8" t="s">
        <v>2030</v>
      </c>
      <c r="I172" s="131" t="b">
        <f t="shared" si="8"/>
        <v>1</v>
      </c>
      <c r="J172" s="8">
        <v>10</v>
      </c>
      <c r="K172" s="531">
        <f>cbalR2LOB1AvgProdClinician10*cbalR2LOB1MileagePVisitClinician10</f>
        <v>77.663157894736855</v>
      </c>
      <c r="L172" s="531">
        <f>cbalR2LOB1AvgProdClinician10*cbalR2LOB1MileagePVisitClinician10</f>
        <v>77.663157894736855</v>
      </c>
      <c r="M172" s="531">
        <f>cbalR2LOB1AvgProdClinician10*cbalR2LOB1MileagePVisitClinician10</f>
        <v>77.663157894736855</v>
      </c>
      <c r="N172" s="8" t="s">
        <v>5698</v>
      </c>
      <c r="O172" s="131" t="b">
        <f t="shared" si="9"/>
        <v>1</v>
      </c>
    </row>
    <row r="173" spans="1:15">
      <c r="A173" s="76" t="s">
        <v>1497</v>
      </c>
      <c r="D173" s="8">
        <v>11</v>
      </c>
      <c r="E173" s="531">
        <f>cbalLOB1AvgProdClinician11*cbalLOB1MileagePVisitClinician11</f>
        <v>0</v>
      </c>
      <c r="F173" s="531">
        <f>cbalLOB1AvgProdClinician11*cbalLOB1MileagePVisitClinician11</f>
        <v>0</v>
      </c>
      <c r="G173" s="531">
        <f>cbalLOB1AvgProdClinician11*cbalLOB1MileagePVisitClinician11</f>
        <v>0</v>
      </c>
      <c r="H173" s="8" t="s">
        <v>2031</v>
      </c>
      <c r="I173" s="131" t="b">
        <f t="shared" si="8"/>
        <v>1</v>
      </c>
      <c r="J173" s="8">
        <v>11</v>
      </c>
      <c r="K173" s="531">
        <f>cbalR2LOB1AvgProdClinician11*cbalR2LOB1MileagePVisitClinician11</f>
        <v>0</v>
      </c>
      <c r="L173" s="531">
        <f>cbalR2LOB1AvgProdClinician11*cbalR2LOB1MileagePVisitClinician11</f>
        <v>0</v>
      </c>
      <c r="M173" s="531">
        <f>cbalR2LOB1AvgProdClinician11*cbalR2LOB1MileagePVisitClinician11</f>
        <v>0</v>
      </c>
      <c r="N173" s="8" t="s">
        <v>5699</v>
      </c>
      <c r="O173" s="131" t="b">
        <f t="shared" si="9"/>
        <v>1</v>
      </c>
    </row>
    <row r="174" spans="1:15">
      <c r="A174" s="76" t="s">
        <v>1498</v>
      </c>
      <c r="D174" s="63">
        <v>12</v>
      </c>
      <c r="E174" s="531">
        <f>cbalLOB1AvgProdClinician12*cbalLOB1MileagePVisitClinician12</f>
        <v>0</v>
      </c>
      <c r="F174" s="531">
        <f>cbalLOB1AvgProdClinician12*cbalLOB1MileagePVisitClinician12</f>
        <v>0</v>
      </c>
      <c r="G174" s="531">
        <f>cbalLOB1AvgProdClinician12*cbalLOB1MileagePVisitClinician12</f>
        <v>0</v>
      </c>
      <c r="H174" s="8" t="s">
        <v>2032</v>
      </c>
      <c r="I174" s="131" t="b">
        <f t="shared" si="8"/>
        <v>1</v>
      </c>
      <c r="J174" s="63">
        <v>12</v>
      </c>
      <c r="K174" s="531">
        <f>cbalR2LOB1AvgProdClinician12*cbalR2LOB1MileagePVisitClinician12</f>
        <v>0</v>
      </c>
      <c r="L174" s="531">
        <f>cbalR2LOB1AvgProdClinician12*cbalR2LOB1MileagePVisitClinician12</f>
        <v>0</v>
      </c>
      <c r="M174" s="531">
        <f>cbalR2LOB1AvgProdClinician12*cbalR2LOB1MileagePVisitClinician12</f>
        <v>0</v>
      </c>
      <c r="N174" s="8" t="s">
        <v>5700</v>
      </c>
      <c r="O174" s="131" t="b">
        <f t="shared" si="9"/>
        <v>1</v>
      </c>
    </row>
    <row r="175" spans="1:15">
      <c r="A175" s="76"/>
      <c r="I175" s="131" t="b">
        <f t="shared" si="8"/>
        <v>1</v>
      </c>
      <c r="K175" s="159"/>
      <c r="L175" s="159"/>
      <c r="M175" s="159"/>
      <c r="O175" s="131" t="b">
        <f t="shared" si="9"/>
        <v>1</v>
      </c>
    </row>
    <row r="176" spans="1:15">
      <c r="A176" s="132" t="s">
        <v>1602</v>
      </c>
      <c r="I176" s="131" t="b">
        <f t="shared" si="8"/>
        <v>1</v>
      </c>
      <c r="K176" s="159"/>
      <c r="L176" s="159"/>
      <c r="M176" s="159"/>
      <c r="O176" s="131" t="b">
        <f t="shared" si="9"/>
        <v>1</v>
      </c>
    </row>
    <row r="177" spans="1:15">
      <c r="A177" s="76" t="s">
        <v>595</v>
      </c>
      <c r="B177" s="63" t="s">
        <v>550</v>
      </c>
      <c r="C177" s="63">
        <v>31</v>
      </c>
      <c r="D177" s="63">
        <v>1</v>
      </c>
      <c r="E177" s="416">
        <f>obalLOB1AvgMissPercClinician1+IF(calcLOB1Clinician1GrossProd&gt;$C177,10%,0)</f>
        <v>0.15</v>
      </c>
      <c r="F177" s="396">
        <f>obalLOB1AvgMissPercClinician1</f>
        <v>0.15</v>
      </c>
      <c r="G177" s="396">
        <f>obalLOB1AvgMissPercClinician1</f>
        <v>0.15</v>
      </c>
      <c r="H177" s="8" t="s">
        <v>1603</v>
      </c>
      <c r="I177" s="131" t="b">
        <f t="shared" si="8"/>
        <v>1</v>
      </c>
      <c r="J177" s="63">
        <v>1</v>
      </c>
      <c r="K177" s="416">
        <f>obalR2LOB1AvgMissPercClinician1+IF(calcR2LOB1Clinician1GrossProd&gt;$C177,10%,0)</f>
        <v>0.15</v>
      </c>
      <c r="L177" s="396">
        <f>obalR2LOB1AvgMissPercClinician1</f>
        <v>0.15</v>
      </c>
      <c r="M177" s="396">
        <f>obalR2LOB1AvgMissPercClinician1</f>
        <v>0.15</v>
      </c>
      <c r="N177" s="8" t="s">
        <v>5701</v>
      </c>
      <c r="O177" s="131" t="b">
        <f t="shared" si="9"/>
        <v>1</v>
      </c>
    </row>
    <row r="178" spans="1:15">
      <c r="A178" s="76" t="s">
        <v>596</v>
      </c>
      <c r="B178" s="63" t="s">
        <v>550</v>
      </c>
      <c r="C178" s="63">
        <v>32</v>
      </c>
      <c r="D178" s="63">
        <v>2</v>
      </c>
      <c r="E178" s="416">
        <f>obalLOB1AvgMissPercClinician2+IF(calcLOB1Clinician2GrossProd&gt;$C178,10%,0)</f>
        <v>0.1</v>
      </c>
      <c r="F178" s="396">
        <f>obalLOB1AvgMissPercClinician2</f>
        <v>0.1</v>
      </c>
      <c r="G178" s="396">
        <f>obalLOB1AvgMissPercClinician2</f>
        <v>0.1</v>
      </c>
      <c r="H178" s="8" t="s">
        <v>1604</v>
      </c>
      <c r="I178" s="131" t="b">
        <f t="shared" si="8"/>
        <v>1</v>
      </c>
      <c r="J178" s="63">
        <v>2</v>
      </c>
      <c r="K178" s="416">
        <f>obalR2LOB1AvgMissPercClinician2+IF(calcR2LOB1Clinician2GrossProd&gt;$C178,10%,0)</f>
        <v>0.1</v>
      </c>
      <c r="L178" s="396">
        <f>obalR2LOB1AvgMissPercClinician2</f>
        <v>0.1</v>
      </c>
      <c r="M178" s="396">
        <f>obalR2LOB1AvgMissPercClinician2</f>
        <v>0.1</v>
      </c>
      <c r="N178" s="8" t="s">
        <v>5702</v>
      </c>
      <c r="O178" s="131" t="b">
        <f t="shared" si="9"/>
        <v>1</v>
      </c>
    </row>
    <row r="179" spans="1:15">
      <c r="A179" s="76" t="s">
        <v>597</v>
      </c>
      <c r="B179" s="63" t="s">
        <v>550</v>
      </c>
      <c r="C179" s="63">
        <v>20</v>
      </c>
      <c r="D179" s="63">
        <v>3</v>
      </c>
      <c r="E179" s="416">
        <f>obalLOB1AvgMissPercClinician3+IF(calcLOB1Clinician3GrossProd&gt;$C179,10%,0)</f>
        <v>0.05</v>
      </c>
      <c r="F179" s="396">
        <f>obalLOB1AvgMissPercClinician3</f>
        <v>0.05</v>
      </c>
      <c r="G179" s="396">
        <f>obalLOB1AvgMissPercClinician3</f>
        <v>0.05</v>
      </c>
      <c r="H179" s="8" t="s">
        <v>1605</v>
      </c>
      <c r="I179" s="131" t="b">
        <f t="shared" si="8"/>
        <v>1</v>
      </c>
      <c r="J179" s="63">
        <v>3</v>
      </c>
      <c r="K179" s="416">
        <f>obalR2LOB1AvgMissPercClinician3+IF(calcR2LOB1Clinician3GrossProd&gt;$C179,10%,0)</f>
        <v>0.05</v>
      </c>
      <c r="L179" s="396">
        <f>obalR2LOB1AvgMissPercClinician3</f>
        <v>0.05</v>
      </c>
      <c r="M179" s="396">
        <f>obalR2LOB1AvgMissPercClinician3</f>
        <v>0.05</v>
      </c>
      <c r="N179" s="8" t="s">
        <v>5703</v>
      </c>
      <c r="O179" s="131" t="b">
        <f t="shared" si="9"/>
        <v>1</v>
      </c>
    </row>
    <row r="180" spans="1:15">
      <c r="A180" s="76" t="s">
        <v>598</v>
      </c>
      <c r="B180" s="63" t="s">
        <v>554</v>
      </c>
      <c r="C180" s="8">
        <v>34</v>
      </c>
      <c r="D180" s="8">
        <v>4</v>
      </c>
      <c r="E180" s="416">
        <f>obalLOB1AvgMissPercClinician4+IF(calcLOB1Clinician4GrossProd&gt;$C180,10%,0)</f>
        <v>0.01</v>
      </c>
      <c r="F180" s="396">
        <f>obalLOB1AvgMissPercClinician4</f>
        <v>0.01</v>
      </c>
      <c r="G180" s="396">
        <f>obalLOB1AvgMissPercClinician4</f>
        <v>0.01</v>
      </c>
      <c r="H180" s="8" t="s">
        <v>1606</v>
      </c>
      <c r="I180" s="131" t="b">
        <f t="shared" si="8"/>
        <v>1</v>
      </c>
      <c r="J180" s="8">
        <v>4</v>
      </c>
      <c r="K180" s="416">
        <f>obalR2LOB1AvgMissPercClinician4+IF(calcR2LOB1Clinician4GrossProd&gt;$C180,10%,0)</f>
        <v>0.01</v>
      </c>
      <c r="L180" s="396">
        <f>obalR2LOB1AvgMissPercClinician4</f>
        <v>0.01</v>
      </c>
      <c r="M180" s="396">
        <f>obalR2LOB1AvgMissPercClinician4</f>
        <v>0.01</v>
      </c>
      <c r="N180" s="8" t="s">
        <v>5704</v>
      </c>
      <c r="O180" s="131" t="b">
        <f t="shared" si="9"/>
        <v>1</v>
      </c>
    </row>
    <row r="181" spans="1:15">
      <c r="A181" s="76" t="s">
        <v>599</v>
      </c>
      <c r="B181" s="63" t="s">
        <v>554</v>
      </c>
      <c r="C181" s="8">
        <v>34</v>
      </c>
      <c r="D181" s="8">
        <v>5</v>
      </c>
      <c r="E181" s="416">
        <f>obalLOB1AvgMissPercClinician5+IF(calcLOB1Clinician5GrossProd&gt;$C181,10%,0)</f>
        <v>0.03</v>
      </c>
      <c r="F181" s="396">
        <f>obalLOB1AvgMissPercClinician5</f>
        <v>0.03</v>
      </c>
      <c r="G181" s="396">
        <f>obalLOB1AvgMissPercClinician5</f>
        <v>0.03</v>
      </c>
      <c r="H181" s="8" t="s">
        <v>1607</v>
      </c>
      <c r="I181" s="131" t="b">
        <f t="shared" si="8"/>
        <v>1</v>
      </c>
      <c r="J181" s="8">
        <v>5</v>
      </c>
      <c r="K181" s="416">
        <f>obalR2LOB1AvgMissPercClinician5+IF(calcR2LOB1Clinician5GrossProd&gt;$C181,10%,0)</f>
        <v>0.03</v>
      </c>
      <c r="L181" s="396">
        <f>obalR2LOB1AvgMissPercClinician5</f>
        <v>0.03</v>
      </c>
      <c r="M181" s="396">
        <f>obalR2LOB1AvgMissPercClinician5</f>
        <v>0.03</v>
      </c>
      <c r="N181" s="8" t="s">
        <v>5705</v>
      </c>
      <c r="O181" s="131" t="b">
        <f t="shared" si="9"/>
        <v>1</v>
      </c>
    </row>
    <row r="182" spans="1:15">
      <c r="A182" s="76" t="s">
        <v>600</v>
      </c>
      <c r="B182" s="63" t="s">
        <v>556</v>
      </c>
      <c r="C182" s="8">
        <v>31</v>
      </c>
      <c r="D182" s="8">
        <v>6</v>
      </c>
      <c r="E182" s="416">
        <f>obalLOB1AvgMissPercClinician6+IF(calcLOB1Clinician6GrossProd&gt;$C182,10%,0)</f>
        <v>0.13</v>
      </c>
      <c r="F182" s="396">
        <f>obalLOB1AvgMissPercClinician6</f>
        <v>0.13</v>
      </c>
      <c r="G182" s="396">
        <f>obalLOB1AvgMissPercClinician6</f>
        <v>0.13</v>
      </c>
      <c r="H182" s="8" t="s">
        <v>1608</v>
      </c>
      <c r="I182" s="131" t="b">
        <f t="shared" si="8"/>
        <v>1</v>
      </c>
      <c r="J182" s="8">
        <v>6</v>
      </c>
      <c r="K182" s="416">
        <f>obalR2LOB1AvgMissPercClinician6+IF(calcR2LOB1Clinician6GrossProd&gt;$C182,10%,0)</f>
        <v>0.13</v>
      </c>
      <c r="L182" s="396">
        <f>obalR2LOB1AvgMissPercClinician6</f>
        <v>0.13</v>
      </c>
      <c r="M182" s="396">
        <f>obalR2LOB1AvgMissPercClinician6</f>
        <v>0.13</v>
      </c>
      <c r="N182" s="8" t="s">
        <v>5706</v>
      </c>
      <c r="O182" s="131" t="b">
        <f t="shared" si="9"/>
        <v>1</v>
      </c>
    </row>
    <row r="183" spans="1:15">
      <c r="A183" s="76" t="s">
        <v>601</v>
      </c>
      <c r="B183" s="63" t="s">
        <v>556</v>
      </c>
      <c r="C183" s="8">
        <v>34</v>
      </c>
      <c r="D183" s="63">
        <v>7</v>
      </c>
      <c r="E183" s="416">
        <f>obalLOB1AvgMissPercClinician7+IF(calcLOB1Clinician7GrossProd&gt;$C183,10%,0)</f>
        <v>0.06</v>
      </c>
      <c r="F183" s="396">
        <f>obalLOB1AvgMissPercClinician7</f>
        <v>0.06</v>
      </c>
      <c r="G183" s="396">
        <f>obalLOB1AvgMissPercClinician7</f>
        <v>0.06</v>
      </c>
      <c r="H183" s="8" t="s">
        <v>1609</v>
      </c>
      <c r="I183" s="131" t="b">
        <f t="shared" si="8"/>
        <v>1</v>
      </c>
      <c r="J183" s="63">
        <v>7</v>
      </c>
      <c r="K183" s="416">
        <f>obalR2LOB1AvgMissPercClinician7+IF(calcR2LOB1Clinician7GrossProd&gt;$C183,10%,0)</f>
        <v>0.06</v>
      </c>
      <c r="L183" s="396">
        <f>obalR2LOB1AvgMissPercClinician7</f>
        <v>0.06</v>
      </c>
      <c r="M183" s="396">
        <f>obalR2LOB1AvgMissPercClinician7</f>
        <v>0.06</v>
      </c>
      <c r="N183" s="8" t="s">
        <v>5707</v>
      </c>
      <c r="O183" s="131" t="b">
        <f t="shared" si="9"/>
        <v>1</v>
      </c>
    </row>
    <row r="184" spans="1:15">
      <c r="A184" s="76" t="s">
        <v>602</v>
      </c>
      <c r="B184" s="63" t="s">
        <v>556</v>
      </c>
      <c r="C184" s="8">
        <v>31</v>
      </c>
      <c r="D184" s="63">
        <v>8</v>
      </c>
      <c r="E184" s="416">
        <f>obalLOB1AvgMissPercClinician8+IF(calcLOB1Clinician8GrossProd&gt;$C184,10%,0)</f>
        <v>0.14000000000000001</v>
      </c>
      <c r="F184" s="396">
        <f>obalLOB1AvgMissPercClinician8</f>
        <v>0.14000000000000001</v>
      </c>
      <c r="G184" s="396">
        <f>obalLOB1AvgMissPercClinician8</f>
        <v>0.14000000000000001</v>
      </c>
      <c r="H184" s="8" t="s">
        <v>1610</v>
      </c>
      <c r="I184" s="131" t="b">
        <f t="shared" si="8"/>
        <v>1</v>
      </c>
      <c r="J184" s="63">
        <v>8</v>
      </c>
      <c r="K184" s="416">
        <f>obalR2LOB1AvgMissPercClinician8+IF(calcR2LOB1Clinician8GrossProd&gt;$C184,10%,0)</f>
        <v>0.14000000000000001</v>
      </c>
      <c r="L184" s="396">
        <f>obalR2LOB1AvgMissPercClinician8</f>
        <v>0.14000000000000001</v>
      </c>
      <c r="M184" s="396">
        <f>obalR2LOB1AvgMissPercClinician8</f>
        <v>0.14000000000000001</v>
      </c>
      <c r="N184" s="8" t="s">
        <v>5708</v>
      </c>
      <c r="O184" s="131" t="b">
        <f t="shared" si="9"/>
        <v>1</v>
      </c>
    </row>
    <row r="185" spans="1:15">
      <c r="A185" s="76" t="s">
        <v>603</v>
      </c>
      <c r="B185" s="63" t="s">
        <v>556</v>
      </c>
      <c r="C185" s="8">
        <v>20</v>
      </c>
      <c r="D185" s="63">
        <v>9</v>
      </c>
      <c r="E185" s="416">
        <f>obalLOB1AvgMissPercClinician9+IF(calcLOB1Clinician9GrossProd&gt;$C185,10%,0)</f>
        <v>0.03</v>
      </c>
      <c r="F185" s="396">
        <f>obalLOB1AvgMissPercClinician9</f>
        <v>0.03</v>
      </c>
      <c r="G185" s="396">
        <f>obalLOB1AvgMissPercClinician9</f>
        <v>0.03</v>
      </c>
      <c r="H185" s="8" t="s">
        <v>1611</v>
      </c>
      <c r="I185" s="131" t="b">
        <f t="shared" si="8"/>
        <v>1</v>
      </c>
      <c r="J185" s="63">
        <v>9</v>
      </c>
      <c r="K185" s="416">
        <f>obalR2LOB1AvgMissPercClinician9+IF(calcR2LOB1Clinician9GrossProd&gt;$C185,10%,0)</f>
        <v>0.03</v>
      </c>
      <c r="L185" s="396">
        <f>obalR2LOB1AvgMissPercClinician9</f>
        <v>0.03</v>
      </c>
      <c r="M185" s="396">
        <f>obalR2LOB1AvgMissPercClinician9</f>
        <v>0.03</v>
      </c>
      <c r="N185" s="8" t="s">
        <v>5709</v>
      </c>
      <c r="O185" s="131" t="b">
        <f t="shared" si="9"/>
        <v>1</v>
      </c>
    </row>
    <row r="186" spans="1:15">
      <c r="A186" s="76" t="s">
        <v>604</v>
      </c>
      <c r="B186" s="63" t="s">
        <v>555</v>
      </c>
      <c r="C186" s="8">
        <v>34</v>
      </c>
      <c r="D186" s="8">
        <v>10</v>
      </c>
      <c r="E186" s="416">
        <f>obalLOB1AvgMissPercClinician10+IF(calcLOB1Clinician10GrossProd&gt;$C186,10%,0)</f>
        <v>0.05</v>
      </c>
      <c r="F186" s="396">
        <f>obalLOB1AvgMissPercClinician10</f>
        <v>0.05</v>
      </c>
      <c r="G186" s="396">
        <f>obalLOB1AvgMissPercClinician10</f>
        <v>0.05</v>
      </c>
      <c r="H186" s="8" t="s">
        <v>1612</v>
      </c>
      <c r="I186" s="131" t="b">
        <f t="shared" si="8"/>
        <v>1</v>
      </c>
      <c r="J186" s="8">
        <v>10</v>
      </c>
      <c r="K186" s="416">
        <f>obalR2LOB1AvgMissPercClinician10+IF(calcR2LOB1Clinician10GrossProd&gt;$C186,10%,0)</f>
        <v>0.05</v>
      </c>
      <c r="L186" s="396">
        <f>obalR2LOB1AvgMissPercClinician10</f>
        <v>0.05</v>
      </c>
      <c r="M186" s="396">
        <f>obalR2LOB1AvgMissPercClinician10</f>
        <v>0.05</v>
      </c>
      <c r="N186" s="8" t="s">
        <v>5710</v>
      </c>
      <c r="O186" s="131" t="b">
        <f t="shared" si="9"/>
        <v>1</v>
      </c>
    </row>
    <row r="187" spans="1:15">
      <c r="A187" s="76" t="s">
        <v>1497</v>
      </c>
      <c r="B187" s="63">
        <v>0</v>
      </c>
      <c r="D187" s="8">
        <v>11</v>
      </c>
      <c r="E187" s="762">
        <f>VLOOKUP(calcLOB1Clinician11LookupValue,dataTableCC1Staff,7,FALSE)</f>
        <v>0</v>
      </c>
      <c r="F187" s="569">
        <f>VLOOKUP(calcLOB1Clinician11LookupValue,dataTableCC1Staff,7,FALSE)</f>
        <v>0</v>
      </c>
      <c r="G187" s="569">
        <f>VLOOKUP(calcLOB1Clinician11LookupValue,dataTableCC1Staff,7,FALSE)</f>
        <v>0</v>
      </c>
      <c r="H187" s="8" t="s">
        <v>1613</v>
      </c>
      <c r="I187" s="131" t="b">
        <f t="shared" si="8"/>
        <v>1</v>
      </c>
      <c r="J187" s="8">
        <v>11</v>
      </c>
      <c r="K187" s="569">
        <f>VLOOKUP(calcR2LOB1Clinician11LookupValue,dataTableCC1Staff,7,FALSE)</f>
        <v>0</v>
      </c>
      <c r="L187" s="569">
        <f>VLOOKUP(calcR2LOB1Clinician11LookupValue,dataTableCC1Staff,7,FALSE)</f>
        <v>0</v>
      </c>
      <c r="M187" s="569">
        <f>VLOOKUP(calcR2LOB1Clinician11LookupValue,dataTableCC1Staff,7,FALSE)</f>
        <v>0</v>
      </c>
      <c r="N187" s="8" t="s">
        <v>5711</v>
      </c>
      <c r="O187" s="131" t="b">
        <f t="shared" si="9"/>
        <v>1</v>
      </c>
    </row>
    <row r="188" spans="1:15">
      <c r="A188" s="76" t="s">
        <v>1498</v>
      </c>
      <c r="B188" s="63">
        <v>0</v>
      </c>
      <c r="D188" s="63">
        <v>12</v>
      </c>
      <c r="E188" s="762">
        <f>VLOOKUP(calcLOB1Clinician12LookupValue,dataTableCC1Staff,7,FALSE)</f>
        <v>0</v>
      </c>
      <c r="F188" s="569">
        <f>VLOOKUP(calcLOB1Clinician12LookupValue,dataTableCC1Staff,7,FALSE)</f>
        <v>0</v>
      </c>
      <c r="G188" s="569">
        <f>VLOOKUP(calcLOB1Clinician12LookupValue,dataTableCC1Staff,7,FALSE)</f>
        <v>0</v>
      </c>
      <c r="H188" s="8" t="s">
        <v>1614</v>
      </c>
      <c r="I188" s="131" t="b">
        <f t="shared" si="8"/>
        <v>1</v>
      </c>
      <c r="J188" s="63">
        <v>12</v>
      </c>
      <c r="K188" s="569">
        <f>VLOOKUP(calcR2LOB1Clinician12LookupValue,dataTableCC1Staff,7,FALSE)</f>
        <v>0</v>
      </c>
      <c r="L188" s="569">
        <f>VLOOKUP(calcR2LOB1Clinician12LookupValue,dataTableCC1Staff,7,FALSE)</f>
        <v>0</v>
      </c>
      <c r="M188" s="569">
        <f>VLOOKUP(calcR2LOB1Clinician12LookupValue,dataTableCC1Staff,7,FALSE)</f>
        <v>0</v>
      </c>
      <c r="N188" s="8" t="s">
        <v>5712</v>
      </c>
      <c r="O188" s="131" t="b">
        <f t="shared" si="9"/>
        <v>1</v>
      </c>
    </row>
    <row r="189" spans="1:15">
      <c r="A189" s="76" t="s">
        <v>3998</v>
      </c>
      <c r="B189" s="63" t="s">
        <v>550</v>
      </c>
      <c r="D189" s="63">
        <v>19</v>
      </c>
      <c r="E189" s="763">
        <f>obalLOB1AvgMissPercClinician13</f>
        <v>0.05</v>
      </c>
      <c r="F189" s="570">
        <f>obalLOB1AvgMissPercClinician13</f>
        <v>0.05</v>
      </c>
      <c r="G189" s="570">
        <f>obalLOB1AvgMissPercClinician13</f>
        <v>0.05</v>
      </c>
      <c r="H189" s="8" t="s">
        <v>4030</v>
      </c>
      <c r="I189" s="131" t="b">
        <f t="shared" si="8"/>
        <v>1</v>
      </c>
      <c r="J189" s="63">
        <v>19</v>
      </c>
      <c r="K189" s="570">
        <f>obalR2LOB1AvgMissPercClinician13</f>
        <v>0.05</v>
      </c>
      <c r="L189" s="570">
        <f>obalR2LOB1AvgMissPercClinician13</f>
        <v>0.05</v>
      </c>
      <c r="M189" s="570">
        <f>obalR2LOB1AvgMissPercClinician13</f>
        <v>0.05</v>
      </c>
      <c r="N189" s="8" t="s">
        <v>5713</v>
      </c>
      <c r="O189" s="131" t="b">
        <f t="shared" si="9"/>
        <v>1</v>
      </c>
    </row>
    <row r="190" spans="1:15">
      <c r="A190" s="76" t="s">
        <v>3999</v>
      </c>
      <c r="B190" s="63" t="s">
        <v>554</v>
      </c>
      <c r="D190" s="63">
        <v>20</v>
      </c>
      <c r="E190" s="763">
        <f>obalLOB1AvgMissPercClinician14</f>
        <v>0.05</v>
      </c>
      <c r="F190" s="570">
        <f>obalLOB1AvgMissPercClinician14</f>
        <v>0.05</v>
      </c>
      <c r="G190" s="570">
        <f>obalLOB1AvgMissPercClinician14</f>
        <v>0.05</v>
      </c>
      <c r="H190" s="8" t="s">
        <v>4031</v>
      </c>
      <c r="I190" s="131" t="b">
        <f t="shared" si="8"/>
        <v>1</v>
      </c>
      <c r="J190" s="63">
        <v>20</v>
      </c>
      <c r="K190" s="570">
        <f>obalR2LOB1AvgMissPercClinician14</f>
        <v>0.05</v>
      </c>
      <c r="L190" s="570">
        <f>obalR2LOB1AvgMissPercClinician14</f>
        <v>0.05</v>
      </c>
      <c r="M190" s="570">
        <f>obalR2LOB1AvgMissPercClinician14</f>
        <v>0.05</v>
      </c>
      <c r="N190" s="8" t="s">
        <v>5714</v>
      </c>
      <c r="O190" s="131" t="b">
        <f t="shared" si="9"/>
        <v>1</v>
      </c>
    </row>
    <row r="191" spans="1:15">
      <c r="A191" s="76" t="s">
        <v>4000</v>
      </c>
      <c r="B191" s="63" t="s">
        <v>556</v>
      </c>
      <c r="D191" s="63">
        <v>21</v>
      </c>
      <c r="E191" s="763">
        <f>obalLOB1AvgMissPercClinician15</f>
        <v>0.05</v>
      </c>
      <c r="F191" s="570">
        <f>obalLOB1AvgMissPercClinician15</f>
        <v>0.05</v>
      </c>
      <c r="G191" s="570">
        <f>obalLOB1AvgMissPercClinician15</f>
        <v>0.05</v>
      </c>
      <c r="H191" s="8" t="s">
        <v>4032</v>
      </c>
      <c r="I191" s="131" t="b">
        <f t="shared" si="8"/>
        <v>1</v>
      </c>
      <c r="J191" s="63">
        <v>21</v>
      </c>
      <c r="K191" s="570">
        <f>obalR2LOB1AvgMissPercClinician15</f>
        <v>0.05</v>
      </c>
      <c r="L191" s="570">
        <f>obalR2LOB1AvgMissPercClinician15</f>
        <v>0.05</v>
      </c>
      <c r="M191" s="570">
        <f>obalR2LOB1AvgMissPercClinician15</f>
        <v>0.05</v>
      </c>
      <c r="N191" s="8" t="s">
        <v>5715</v>
      </c>
      <c r="O191" s="131" t="b">
        <f t="shared" si="9"/>
        <v>1</v>
      </c>
    </row>
    <row r="192" spans="1:15">
      <c r="A192" s="76" t="s">
        <v>4001</v>
      </c>
      <c r="B192" s="63" t="s">
        <v>555</v>
      </c>
      <c r="D192" s="63">
        <v>22</v>
      </c>
      <c r="E192" s="763">
        <f>obalLOB1AvgMissPercClinician16</f>
        <v>0.05</v>
      </c>
      <c r="F192" s="570">
        <f>obalLOB1AvgMissPercClinician16</f>
        <v>0.05</v>
      </c>
      <c r="G192" s="570">
        <f>obalLOB1AvgMissPercClinician16</f>
        <v>0.05</v>
      </c>
      <c r="H192" s="8" t="s">
        <v>4033</v>
      </c>
      <c r="I192" s="131" t="b">
        <f t="shared" si="8"/>
        <v>1</v>
      </c>
      <c r="J192" s="63">
        <v>22</v>
      </c>
      <c r="K192" s="570">
        <f>obalR2LOB1AvgMissPercClinician16</f>
        <v>0.05</v>
      </c>
      <c r="L192" s="570">
        <f>obalR2LOB1AvgMissPercClinician16</f>
        <v>0.05</v>
      </c>
      <c r="M192" s="570">
        <f>obalR2LOB1AvgMissPercClinician16</f>
        <v>0.05</v>
      </c>
      <c r="N192" s="8" t="s">
        <v>5716</v>
      </c>
      <c r="O192" s="131" t="b">
        <f t="shared" si="9"/>
        <v>1</v>
      </c>
    </row>
    <row r="193" spans="1:15">
      <c r="A193" s="76" t="s">
        <v>5091</v>
      </c>
      <c r="E193" s="763">
        <f>calcLOB1ClinicianAvgMissPerc</f>
        <v>7.5000000000000011E-2</v>
      </c>
      <c r="F193" s="570">
        <f>calcLOB1ClinicianAvgMissPerc</f>
        <v>7.5000000000000011E-2</v>
      </c>
      <c r="G193" s="570">
        <f>calcLOB1ClinicianAvgMissPerc</f>
        <v>7.5000000000000011E-2</v>
      </c>
      <c r="H193" s="642" t="s">
        <v>5093</v>
      </c>
      <c r="I193" s="131" t="b">
        <f t="shared" si="8"/>
        <v>1</v>
      </c>
      <c r="K193" s="570">
        <f>calcR2LOB1ClinicianAvgMissPerc</f>
        <v>7.5000000000000011E-2</v>
      </c>
      <c r="L193" s="570">
        <f>calcR2LOB1ClinicianAvgMissPerc</f>
        <v>7.5000000000000011E-2</v>
      </c>
      <c r="M193" s="570">
        <f>calcR2LOB1ClinicianAvgMissPerc</f>
        <v>7.5000000000000011E-2</v>
      </c>
      <c r="N193" s="642" t="s">
        <v>5717</v>
      </c>
      <c r="O193" s="131" t="b">
        <f t="shared" si="9"/>
        <v>1</v>
      </c>
    </row>
    <row r="194" spans="1:15">
      <c r="A194" s="76"/>
      <c r="I194" s="131" t="b">
        <f t="shared" si="8"/>
        <v>1</v>
      </c>
      <c r="K194" s="159"/>
      <c r="L194" s="159"/>
      <c r="M194" s="159"/>
      <c r="O194" s="131" t="b">
        <f t="shared" si="9"/>
        <v>1</v>
      </c>
    </row>
    <row r="195" spans="1:15">
      <c r="A195" s="132" t="s">
        <v>2033</v>
      </c>
      <c r="I195" s="131" t="b">
        <f t="shared" si="8"/>
        <v>1</v>
      </c>
      <c r="K195" s="159"/>
      <c r="L195" s="159"/>
      <c r="M195" s="159"/>
      <c r="O195" s="131" t="b">
        <f t="shared" si="9"/>
        <v>1</v>
      </c>
    </row>
    <row r="196" spans="1:15">
      <c r="A196" s="76" t="s">
        <v>595</v>
      </c>
      <c r="D196" s="63">
        <v>1</v>
      </c>
      <c r="E196" s="8">
        <f>obalLOB1AdminTimeClinician1*paramLOB1ClnAdminTime*paramLOB1Clinician1Admin</f>
        <v>3</v>
      </c>
      <c r="F196" s="8">
        <f>obalLOB1AdminTimeClinician1*paramLOB1ClnAdminTime*paramLOB1Clinician1Admin</f>
        <v>3</v>
      </c>
      <c r="G196" s="8">
        <f>obalLOB1AdminTimeClinician1*paramLOB1ClnAdminTime*paramLOB1Clinician1Admin</f>
        <v>3</v>
      </c>
      <c r="H196" s="8" t="s">
        <v>2046</v>
      </c>
      <c r="I196" s="131" t="b">
        <f t="shared" si="8"/>
        <v>1</v>
      </c>
      <c r="J196" s="63">
        <v>1</v>
      </c>
      <c r="K196" s="8">
        <f>obalR2LOB1AdminTimeClinician1*paramR2LOB1ClnAdminTime*paramR2LOB1Clinician1Admin</f>
        <v>3</v>
      </c>
      <c r="L196" s="8">
        <f>obalR2LOB1AdminTimeClinician1*paramR2LOB1ClnAdminTime*paramR2LOB1Clinician1Admin</f>
        <v>3</v>
      </c>
      <c r="M196" s="8">
        <f>obalR2LOB1AdminTimeClinician1*paramR2LOB1ClnAdminTime*paramR2LOB1Clinician1Admin</f>
        <v>3</v>
      </c>
      <c r="N196" s="8" t="s">
        <v>5718</v>
      </c>
      <c r="O196" s="131" t="b">
        <f t="shared" si="9"/>
        <v>1</v>
      </c>
    </row>
    <row r="197" spans="1:15">
      <c r="A197" s="76" t="s">
        <v>596</v>
      </c>
      <c r="D197" s="63">
        <v>2</v>
      </c>
      <c r="E197" s="8">
        <f>obalLOB1AdminTimeClinician2*paramLOB1ClnAdminTime*paramLOB1Clinician2Admin</f>
        <v>2</v>
      </c>
      <c r="F197" s="8">
        <f>obalLOB1AdminTimeClinician2*paramLOB1ClnAdminTime*paramLOB1Clinician2Admin</f>
        <v>2</v>
      </c>
      <c r="G197" s="8">
        <f>obalLOB1AdminTimeClinician2*paramLOB1ClnAdminTime*paramLOB1Clinician2Admin</f>
        <v>2</v>
      </c>
      <c r="H197" s="8" t="s">
        <v>2047</v>
      </c>
      <c r="I197" s="131" t="b">
        <f t="shared" si="8"/>
        <v>1</v>
      </c>
      <c r="J197" s="63">
        <v>2</v>
      </c>
      <c r="K197" s="8">
        <f>obalR2LOB1AdminTimeClinician2*paramR2LOB1ClnAdminTime*paramR2LOB1Clinician2Admin</f>
        <v>2</v>
      </c>
      <c r="L197" s="8">
        <f>obalR2LOB1AdminTimeClinician2*paramR2LOB1ClnAdminTime*paramR2LOB1Clinician2Admin</f>
        <v>2</v>
      </c>
      <c r="M197" s="8">
        <f>obalR2LOB1AdminTimeClinician2*paramR2LOB1ClnAdminTime*paramR2LOB1Clinician2Admin</f>
        <v>2</v>
      </c>
      <c r="N197" s="8" t="s">
        <v>5719</v>
      </c>
      <c r="O197" s="131" t="b">
        <f t="shared" si="9"/>
        <v>1</v>
      </c>
    </row>
    <row r="198" spans="1:15">
      <c r="A198" s="76" t="s">
        <v>597</v>
      </c>
      <c r="D198" s="63">
        <v>3</v>
      </c>
      <c r="E198" s="8">
        <f>obalLOB1AdminTimeClinician3*paramLOB1ClnAdminTime*paramLOB1Clinician3Admin</f>
        <v>4</v>
      </c>
      <c r="F198" s="8">
        <f>obalLOB1AdminTimeClinician3*paramLOB1ClnAdminTime*paramLOB1Clinician3Admin</f>
        <v>4</v>
      </c>
      <c r="G198" s="8">
        <f>obalLOB1AdminTimeClinician3*paramLOB1ClnAdminTime*paramLOB1Clinician3Admin</f>
        <v>4</v>
      </c>
      <c r="H198" s="8" t="s">
        <v>2048</v>
      </c>
      <c r="I198" s="131" t="b">
        <f t="shared" si="8"/>
        <v>1</v>
      </c>
      <c r="J198" s="63">
        <v>3</v>
      </c>
      <c r="K198" s="8">
        <f>obalR2LOB1AdminTimeClinician3*paramR2LOB1ClnAdminTime*paramR2LOB1Clinician3Admin</f>
        <v>4</v>
      </c>
      <c r="L198" s="8">
        <f>obalR2LOB1AdminTimeClinician3*paramR2LOB1ClnAdminTime*paramR2LOB1Clinician3Admin</f>
        <v>4</v>
      </c>
      <c r="M198" s="8">
        <f>obalR2LOB1AdminTimeClinician3*paramR2LOB1ClnAdminTime*paramR2LOB1Clinician3Admin</f>
        <v>4</v>
      </c>
      <c r="N198" s="8" t="s">
        <v>5720</v>
      </c>
      <c r="O198" s="131" t="b">
        <f t="shared" si="9"/>
        <v>1</v>
      </c>
    </row>
    <row r="199" spans="1:15">
      <c r="A199" s="76" t="s">
        <v>598</v>
      </c>
      <c r="D199" s="8">
        <v>4</v>
      </c>
      <c r="E199" s="8">
        <f>obalLOB1AdminTimeClinician4*paramLOB1ClnAdminTime*paramLOB1Clinician4Admin</f>
        <v>2</v>
      </c>
      <c r="F199" s="8">
        <f>obalLOB1AdminTimeClinician4*paramLOB1ClnAdminTime*paramLOB1Clinician4Admin</f>
        <v>2</v>
      </c>
      <c r="G199" s="8">
        <f>obalLOB1AdminTimeClinician4*paramLOB1ClnAdminTime*paramLOB1Clinician4Admin</f>
        <v>2</v>
      </c>
      <c r="H199" s="8" t="s">
        <v>2049</v>
      </c>
      <c r="I199" s="131" t="b">
        <f t="shared" si="8"/>
        <v>1</v>
      </c>
      <c r="J199" s="8">
        <v>4</v>
      </c>
      <c r="K199" s="8">
        <f>obalR2LOB1AdminTimeClinician4*paramR2LOB1ClnAdminTime*paramR2LOB1Clinician4Admin</f>
        <v>2</v>
      </c>
      <c r="L199" s="8">
        <f>obalR2LOB1AdminTimeClinician4*paramR2LOB1ClnAdminTime*paramR2LOB1Clinician4Admin</f>
        <v>2</v>
      </c>
      <c r="M199" s="8">
        <f>obalR2LOB1AdminTimeClinician4*paramR2LOB1ClnAdminTime*paramR2LOB1Clinician4Admin</f>
        <v>2</v>
      </c>
      <c r="N199" s="8" t="s">
        <v>5721</v>
      </c>
      <c r="O199" s="131" t="b">
        <f t="shared" si="9"/>
        <v>1</v>
      </c>
    </row>
    <row r="200" spans="1:15">
      <c r="A200" s="76" t="s">
        <v>599</v>
      </c>
      <c r="D200" s="8">
        <v>5</v>
      </c>
      <c r="E200" s="8">
        <f>obalLOB1AdminTimeClinician5*paramLOB1ClnAdminTime*paramLOB1Clinician5Admin</f>
        <v>1</v>
      </c>
      <c r="F200" s="8">
        <f>obalLOB1AdminTimeClinician5*paramLOB1ClnAdminTime*paramLOB1Clinician5Admin</f>
        <v>1</v>
      </c>
      <c r="G200" s="8">
        <f>obalLOB1AdminTimeClinician5*paramLOB1ClnAdminTime*paramLOB1Clinician5Admin</f>
        <v>1</v>
      </c>
      <c r="H200" s="8" t="s">
        <v>2050</v>
      </c>
      <c r="I200" s="131" t="b">
        <f t="shared" si="8"/>
        <v>1</v>
      </c>
      <c r="J200" s="8">
        <v>5</v>
      </c>
      <c r="K200" s="8">
        <f>obalR2LOB1AdminTimeClinician5*paramR2LOB1ClnAdminTime*paramR2LOB1Clinician5Admin</f>
        <v>1</v>
      </c>
      <c r="L200" s="8">
        <f>obalR2LOB1AdminTimeClinician5*paramR2LOB1ClnAdminTime*paramR2LOB1Clinician5Admin</f>
        <v>1</v>
      </c>
      <c r="M200" s="8">
        <f>obalR2LOB1AdminTimeClinician5*paramR2LOB1ClnAdminTime*paramR2LOB1Clinician5Admin</f>
        <v>1</v>
      </c>
      <c r="N200" s="8" t="s">
        <v>5722</v>
      </c>
      <c r="O200" s="131" t="b">
        <f t="shared" si="9"/>
        <v>1</v>
      </c>
    </row>
    <row r="201" spans="1:15">
      <c r="A201" s="76" t="s">
        <v>600</v>
      </c>
      <c r="D201" s="8">
        <v>6</v>
      </c>
      <c r="E201" s="8">
        <f>obalLOB1AdminTimeClinician6*paramLOB1ClnAdminTime*paramLOB1Clinician6Admin</f>
        <v>3</v>
      </c>
      <c r="F201" s="8">
        <f>obalLOB1AdminTimeClinician6*paramLOB1ClnAdminTime*paramLOB1Clinician6Admin</f>
        <v>3</v>
      </c>
      <c r="G201" s="8">
        <f>obalLOB1AdminTimeClinician6*paramLOB1ClnAdminTime*paramLOB1Clinician6Admin</f>
        <v>3</v>
      </c>
      <c r="H201" s="8" t="s">
        <v>2051</v>
      </c>
      <c r="I201" s="131" t="b">
        <f t="shared" si="8"/>
        <v>1</v>
      </c>
      <c r="J201" s="8">
        <v>6</v>
      </c>
      <c r="K201" s="8">
        <f>obalR2LOB1AdminTimeClinician6*paramR2LOB1ClnAdminTime*paramR2LOB1Clinician6Admin</f>
        <v>3</v>
      </c>
      <c r="L201" s="8">
        <f>obalR2LOB1AdminTimeClinician6*paramR2LOB1ClnAdminTime*paramR2LOB1Clinician6Admin</f>
        <v>3</v>
      </c>
      <c r="M201" s="8">
        <f>obalR2LOB1AdminTimeClinician6*paramR2LOB1ClnAdminTime*paramR2LOB1Clinician6Admin</f>
        <v>3</v>
      </c>
      <c r="N201" s="8" t="s">
        <v>5723</v>
      </c>
      <c r="O201" s="131" t="b">
        <f t="shared" si="9"/>
        <v>1</v>
      </c>
    </row>
    <row r="202" spans="1:15">
      <c r="A202" s="76" t="s">
        <v>601</v>
      </c>
      <c r="D202" s="63">
        <v>7</v>
      </c>
      <c r="E202" s="8">
        <f>obalLOB1AdminTimeClinician7*paramLOB1ClnAdminTime*paramLOB1Clinician7Admin</f>
        <v>4</v>
      </c>
      <c r="F202" s="8">
        <f>obalLOB1AdminTimeClinician7*paramLOB1ClnAdminTime*paramLOB1Clinician7Admin</f>
        <v>4</v>
      </c>
      <c r="G202" s="8">
        <f>obalLOB1AdminTimeClinician7*paramLOB1ClnAdminTime*paramLOB1Clinician7Admin</f>
        <v>4</v>
      </c>
      <c r="H202" s="8" t="s">
        <v>2052</v>
      </c>
      <c r="I202" s="131" t="b">
        <f t="shared" si="8"/>
        <v>1</v>
      </c>
      <c r="J202" s="63">
        <v>7</v>
      </c>
      <c r="K202" s="8">
        <f>obalR2LOB1AdminTimeClinician7*paramR2LOB1ClnAdminTime*paramR2LOB1Clinician7Admin</f>
        <v>4</v>
      </c>
      <c r="L202" s="8">
        <f>obalR2LOB1AdminTimeClinician7*paramR2LOB1ClnAdminTime*paramR2LOB1Clinician7Admin</f>
        <v>4</v>
      </c>
      <c r="M202" s="8">
        <f>obalR2LOB1AdminTimeClinician7*paramR2LOB1ClnAdminTime*paramR2LOB1Clinician7Admin</f>
        <v>4</v>
      </c>
      <c r="N202" s="8" t="s">
        <v>5724</v>
      </c>
      <c r="O202" s="131" t="b">
        <f t="shared" si="9"/>
        <v>1</v>
      </c>
    </row>
    <row r="203" spans="1:15">
      <c r="A203" s="76" t="s">
        <v>602</v>
      </c>
      <c r="D203" s="63">
        <v>8</v>
      </c>
      <c r="E203" s="8">
        <f>obalLOB1AdminTimeClinician8*paramLOB1ClnAdminTime*paramLOB1Clinician8Admin</f>
        <v>2</v>
      </c>
      <c r="F203" s="8">
        <f>obalLOB1AdminTimeClinician8*paramLOB1ClnAdminTime*paramLOB1Clinician8Admin</f>
        <v>2</v>
      </c>
      <c r="G203" s="8">
        <f>obalLOB1AdminTimeClinician8*paramLOB1ClnAdminTime*paramLOB1Clinician8Admin</f>
        <v>2</v>
      </c>
      <c r="H203" s="8" t="s">
        <v>2053</v>
      </c>
      <c r="I203" s="131" t="b">
        <f t="shared" si="8"/>
        <v>1</v>
      </c>
      <c r="J203" s="63">
        <v>8</v>
      </c>
      <c r="K203" s="8">
        <f>obalR2LOB1AdminTimeClinician8*paramR2LOB1ClnAdminTime*paramR2LOB1Clinician8Admin</f>
        <v>2</v>
      </c>
      <c r="L203" s="8">
        <f>obalR2LOB1AdminTimeClinician8*paramR2LOB1ClnAdminTime*paramR2LOB1Clinician8Admin</f>
        <v>2</v>
      </c>
      <c r="M203" s="8">
        <f>obalR2LOB1AdminTimeClinician8*paramR2LOB1ClnAdminTime*paramR2LOB1Clinician8Admin</f>
        <v>2</v>
      </c>
      <c r="N203" s="8" t="s">
        <v>5725</v>
      </c>
      <c r="O203" s="131" t="b">
        <f t="shared" si="9"/>
        <v>1</v>
      </c>
    </row>
    <row r="204" spans="1:15">
      <c r="A204" s="76" t="s">
        <v>603</v>
      </c>
      <c r="D204" s="63">
        <v>9</v>
      </c>
      <c r="E204" s="8">
        <f>obalLOB1AdminTimeClinician9*paramLOB1ClnAdminTime*paramLOB1Clinician9Admin</f>
        <v>1</v>
      </c>
      <c r="F204" s="8">
        <f>obalLOB1AdminTimeClinician9*paramLOB1ClnAdminTime*paramLOB1Clinician9Admin</f>
        <v>1</v>
      </c>
      <c r="G204" s="8">
        <f>obalLOB1AdminTimeClinician9*paramLOB1ClnAdminTime*paramLOB1Clinician9Admin</f>
        <v>1</v>
      </c>
      <c r="H204" s="8" t="s">
        <v>2054</v>
      </c>
      <c r="I204" s="131" t="b">
        <f t="shared" si="8"/>
        <v>1</v>
      </c>
      <c r="J204" s="63">
        <v>9</v>
      </c>
      <c r="K204" s="8">
        <f>obalR2LOB1AdminTimeClinician9*paramR2LOB1ClnAdminTime*paramR2LOB1Clinician9Admin</f>
        <v>1</v>
      </c>
      <c r="L204" s="8">
        <f>obalR2LOB1AdminTimeClinician9*paramR2LOB1ClnAdminTime*paramR2LOB1Clinician9Admin</f>
        <v>1</v>
      </c>
      <c r="M204" s="8">
        <f>obalR2LOB1AdminTimeClinician9*paramR2LOB1ClnAdminTime*paramR2LOB1Clinician9Admin</f>
        <v>1</v>
      </c>
      <c r="N204" s="8" t="s">
        <v>5726</v>
      </c>
      <c r="O204" s="131" t="b">
        <f t="shared" si="9"/>
        <v>1</v>
      </c>
    </row>
    <row r="205" spans="1:15">
      <c r="A205" s="76" t="s">
        <v>604</v>
      </c>
      <c r="D205" s="8">
        <v>10</v>
      </c>
      <c r="E205" s="8">
        <f>obalLOB1AdminTimeClinician10*paramLOB1ClnAdminTime*paramLOB1Clinician10Admin</f>
        <v>2</v>
      </c>
      <c r="F205" s="8">
        <f>obalLOB1AdminTimeClinician10*paramLOB1ClnAdminTime*paramLOB1Clinician10Admin</f>
        <v>2</v>
      </c>
      <c r="G205" s="8">
        <f>obalLOB1AdminTimeClinician10*paramLOB1ClnAdminTime*paramLOB1Clinician10Admin</f>
        <v>2</v>
      </c>
      <c r="H205" s="8" t="s">
        <v>2055</v>
      </c>
      <c r="I205" s="131" t="b">
        <f t="shared" si="8"/>
        <v>1</v>
      </c>
      <c r="J205" s="8">
        <v>10</v>
      </c>
      <c r="K205" s="8">
        <f>obalR2LOB1AdminTimeClinician10*paramR2LOB1ClnAdminTime*paramR2LOB1Clinician10Admin</f>
        <v>2</v>
      </c>
      <c r="L205" s="8">
        <f>obalR2LOB1AdminTimeClinician10*paramR2LOB1ClnAdminTime*paramR2LOB1Clinician10Admin</f>
        <v>2</v>
      </c>
      <c r="M205" s="8">
        <f>obalR2LOB1AdminTimeClinician10*paramR2LOB1ClnAdminTime*paramR2LOB1Clinician10Admin</f>
        <v>2</v>
      </c>
      <c r="N205" s="8" t="s">
        <v>5727</v>
      </c>
      <c r="O205" s="131" t="b">
        <f t="shared" si="9"/>
        <v>1</v>
      </c>
    </row>
    <row r="206" spans="1:15">
      <c r="A206" s="76" t="s">
        <v>1497</v>
      </c>
      <c r="D206" s="8">
        <v>11</v>
      </c>
      <c r="E206" s="387">
        <f>VLOOKUP(calcLOB1Clinician11LookupValue,dataTableCC1Staff,8,FALSE)*paramLOB1ClnAdminTime*paramLOB1Clinician11Admin</f>
        <v>0</v>
      </c>
      <c r="F206" s="387">
        <f>VLOOKUP(calcLOB1Clinician11LookupValue,dataTableCC1Staff,8,FALSE)*paramLOB1ClnAdminTime*paramLOB1Clinician11Admin</f>
        <v>0</v>
      </c>
      <c r="G206" s="387">
        <f>VLOOKUP(calcLOB1Clinician11LookupValue,dataTableCC1Staff,8,FALSE)*paramLOB1ClnAdminTime*paramLOB1Clinician11Admin</f>
        <v>0</v>
      </c>
      <c r="H206" s="8" t="s">
        <v>2056</v>
      </c>
      <c r="I206" s="131" t="b">
        <f t="shared" si="8"/>
        <v>1</v>
      </c>
      <c r="J206" s="8">
        <v>11</v>
      </c>
      <c r="K206" s="387">
        <f>VLOOKUP(calcR2LOB1Clinician11LookupValue,dataTableCC1Staff,8,FALSE)*paramR2LOB1ClnAdminTime*paramR2LOB1Clinician11Admin</f>
        <v>0</v>
      </c>
      <c r="L206" s="387">
        <f>VLOOKUP(calcR2LOB1Clinician11LookupValue,dataTableCC1Staff,8,FALSE)*paramR2LOB1ClnAdminTime*paramR2LOB1Clinician11Admin</f>
        <v>0</v>
      </c>
      <c r="M206" s="387">
        <f>VLOOKUP(calcR2LOB1Clinician11LookupValue,dataTableCC1Staff,8,FALSE)*paramR2LOB1ClnAdminTime*paramR2LOB1Clinician11Admin</f>
        <v>0</v>
      </c>
      <c r="N206" s="8" t="s">
        <v>5728</v>
      </c>
      <c r="O206" s="131" t="b">
        <f t="shared" si="9"/>
        <v>1</v>
      </c>
    </row>
    <row r="207" spans="1:15">
      <c r="A207" s="76" t="s">
        <v>1498</v>
      </c>
      <c r="D207" s="63">
        <v>12</v>
      </c>
      <c r="E207" s="387">
        <f>VLOOKUP(calcLOB1Clinician12LookupValue,dataTableCC1Staff,8,FALSE)*paramLOB1ClnAdminTime*paramLOB1Clinician12Admin</f>
        <v>0</v>
      </c>
      <c r="F207" s="387">
        <f>VLOOKUP(calcLOB1Clinician12LookupValue,dataTableCC1Staff,8,FALSE)*paramLOB1ClnAdminTime*paramLOB1Clinician12Admin</f>
        <v>0</v>
      </c>
      <c r="G207" s="387">
        <f>VLOOKUP(calcLOB1Clinician12LookupValue,dataTableCC1Staff,8,FALSE)*paramLOB1ClnAdminTime*paramLOB1Clinician12Admin</f>
        <v>0</v>
      </c>
      <c r="H207" s="8" t="s">
        <v>2057</v>
      </c>
      <c r="I207" s="131" t="b">
        <f t="shared" si="8"/>
        <v>1</v>
      </c>
      <c r="J207" s="63">
        <v>12</v>
      </c>
      <c r="K207" s="387">
        <f>VLOOKUP(calcR2LOB1Clinician12LookupValue,dataTableCC1Staff,8,FALSE)*paramR2LOB1ClnAdminTime*paramR2LOB1Clinician12Admin</f>
        <v>0</v>
      </c>
      <c r="L207" s="387">
        <f>VLOOKUP(calcR2LOB1Clinician12LookupValue,dataTableCC1Staff,8,FALSE)*paramR2LOB1ClnAdminTime*paramR2LOB1Clinician12Admin</f>
        <v>0</v>
      </c>
      <c r="M207" s="387">
        <f>VLOOKUP(calcR2LOB1Clinician12LookupValue,dataTableCC1Staff,8,FALSE)*paramR2LOB1ClnAdminTime*paramR2LOB1Clinician12Admin</f>
        <v>0</v>
      </c>
      <c r="N207" s="8" t="s">
        <v>5729</v>
      </c>
      <c r="O207" s="131" t="b">
        <f t="shared" si="9"/>
        <v>1</v>
      </c>
    </row>
    <row r="208" spans="1:15">
      <c r="A208" s="76"/>
      <c r="I208" s="131" t="b">
        <f t="shared" si="8"/>
        <v>1</v>
      </c>
      <c r="K208" s="159"/>
      <c r="L208" s="159"/>
      <c r="M208" s="159"/>
      <c r="O208" s="131" t="b">
        <f t="shared" si="9"/>
        <v>1</v>
      </c>
    </row>
    <row r="209" spans="1:15">
      <c r="A209" s="132" t="s">
        <v>2991</v>
      </c>
      <c r="I209" s="131" t="b">
        <f t="shared" si="8"/>
        <v>1</v>
      </c>
      <c r="K209" s="159"/>
      <c r="L209" s="159"/>
      <c r="M209" s="159"/>
      <c r="O209" s="131" t="b">
        <f t="shared" si="9"/>
        <v>1</v>
      </c>
    </row>
    <row r="210" spans="1:15">
      <c r="A210" s="76" t="s">
        <v>595</v>
      </c>
      <c r="D210" s="63">
        <v>1</v>
      </c>
      <c r="E210" s="381">
        <f>calcLOB1Clinician1MissVisits</f>
        <v>4.05</v>
      </c>
      <c r="F210" s="381">
        <f>calcLOB1Clinician1MissVisits</f>
        <v>4.05</v>
      </c>
      <c r="G210" s="381">
        <f>calcLOB1Clinician1MissVisits</f>
        <v>4.05</v>
      </c>
      <c r="H210" s="8" t="s">
        <v>3004</v>
      </c>
      <c r="I210" s="131" t="b">
        <f t="shared" si="8"/>
        <v>1</v>
      </c>
      <c r="J210" s="63">
        <v>1</v>
      </c>
      <c r="K210" s="381">
        <f>calcR2LOB1Clinician1MissVisits</f>
        <v>4.05</v>
      </c>
      <c r="L210" s="381">
        <f>calcR2LOB1Clinician1MissVisits</f>
        <v>4.05</v>
      </c>
      <c r="M210" s="381">
        <f>calcR2LOB1Clinician1MissVisits</f>
        <v>4.05</v>
      </c>
      <c r="N210" s="8" t="s">
        <v>5730</v>
      </c>
      <c r="O210" s="131" t="b">
        <f t="shared" si="9"/>
        <v>1</v>
      </c>
    </row>
    <row r="211" spans="1:15">
      <c r="A211" s="76" t="s">
        <v>596</v>
      </c>
      <c r="D211" s="63">
        <v>2</v>
      </c>
      <c r="E211" s="381">
        <f>calcLOB1Clinician2MissVisits</f>
        <v>2.4000000000000004</v>
      </c>
      <c r="F211" s="381">
        <f>calcLOB1Clinician2MissVisits</f>
        <v>2.4000000000000004</v>
      </c>
      <c r="G211" s="381">
        <f>calcLOB1Clinician2MissVisits</f>
        <v>2.4000000000000004</v>
      </c>
      <c r="H211" s="8" t="s">
        <v>3005</v>
      </c>
      <c r="I211" s="131" t="b">
        <f t="shared" si="8"/>
        <v>1</v>
      </c>
      <c r="J211" s="63">
        <v>2</v>
      </c>
      <c r="K211" s="381">
        <f>calcR2LOB1Clinician2MissVisits</f>
        <v>2.4000000000000004</v>
      </c>
      <c r="L211" s="381">
        <f>calcR2LOB1Clinician2MissVisits</f>
        <v>2.4000000000000004</v>
      </c>
      <c r="M211" s="381">
        <f>calcR2LOB1Clinician2MissVisits</f>
        <v>2.4000000000000004</v>
      </c>
      <c r="N211" s="8" t="s">
        <v>5731</v>
      </c>
      <c r="O211" s="131" t="b">
        <f t="shared" si="9"/>
        <v>1</v>
      </c>
    </row>
    <row r="212" spans="1:15">
      <c r="A212" s="76" t="s">
        <v>597</v>
      </c>
      <c r="D212" s="63">
        <v>3</v>
      </c>
      <c r="E212" s="381">
        <f>calcLOB1Clinician3MissVisits</f>
        <v>0.62631578947368427</v>
      </c>
      <c r="F212" s="381">
        <f>calcLOB1Clinician3MissVisits</f>
        <v>0.62631578947368427</v>
      </c>
      <c r="G212" s="381">
        <f>calcLOB1Clinician3MissVisits</f>
        <v>0.62631578947368427</v>
      </c>
      <c r="H212" s="8" t="s">
        <v>3006</v>
      </c>
      <c r="I212" s="131" t="b">
        <f t="shared" si="8"/>
        <v>1</v>
      </c>
      <c r="J212" s="63">
        <v>3</v>
      </c>
      <c r="K212" s="381">
        <f>calcR2LOB1Clinician3MissVisits</f>
        <v>0.62631578947368427</v>
      </c>
      <c r="L212" s="381">
        <f>calcR2LOB1Clinician3MissVisits</f>
        <v>0.62631578947368427</v>
      </c>
      <c r="M212" s="381">
        <f>calcR2LOB1Clinician3MissVisits</f>
        <v>0.62631578947368427</v>
      </c>
      <c r="N212" s="8" t="s">
        <v>5732</v>
      </c>
      <c r="O212" s="131" t="b">
        <f t="shared" si="9"/>
        <v>1</v>
      </c>
    </row>
    <row r="213" spans="1:15">
      <c r="A213" s="76" t="s">
        <v>598</v>
      </c>
      <c r="D213" s="8">
        <v>4</v>
      </c>
      <c r="E213" s="381">
        <f>calcLOB1Clinician4MissVisits</f>
        <v>0.33</v>
      </c>
      <c r="F213" s="381">
        <f>calcLOB1Clinician4MissVisits</f>
        <v>0.33</v>
      </c>
      <c r="G213" s="381">
        <f>calcLOB1Clinician4MissVisits</f>
        <v>0.33</v>
      </c>
      <c r="H213" s="8" t="s">
        <v>3007</v>
      </c>
      <c r="I213" s="131" t="b">
        <f t="shared" si="8"/>
        <v>1</v>
      </c>
      <c r="J213" s="8">
        <v>4</v>
      </c>
      <c r="K213" s="381">
        <f>calcR2LOB1Clinician4MissVisits</f>
        <v>0.33</v>
      </c>
      <c r="L213" s="381">
        <f>calcR2LOB1Clinician4MissVisits</f>
        <v>0.33</v>
      </c>
      <c r="M213" s="381">
        <f>calcR2LOB1Clinician4MissVisits</f>
        <v>0.33</v>
      </c>
      <c r="N213" s="8" t="s">
        <v>5733</v>
      </c>
      <c r="O213" s="131" t="b">
        <f t="shared" si="9"/>
        <v>1</v>
      </c>
    </row>
    <row r="214" spans="1:15">
      <c r="A214" s="76" t="s">
        <v>599</v>
      </c>
      <c r="D214" s="8">
        <v>5</v>
      </c>
      <c r="E214" s="381">
        <f>calcLOB1Clinician5MissVisits</f>
        <v>0.52577319587628868</v>
      </c>
      <c r="F214" s="381">
        <f>calcLOB1Clinician5MissVisits</f>
        <v>0.52577319587628868</v>
      </c>
      <c r="G214" s="381">
        <f>calcLOB1Clinician5MissVisits</f>
        <v>0.52577319587628868</v>
      </c>
      <c r="H214" s="8" t="s">
        <v>3008</v>
      </c>
      <c r="I214" s="131" t="b">
        <f t="shared" si="8"/>
        <v>1</v>
      </c>
      <c r="J214" s="8">
        <v>5</v>
      </c>
      <c r="K214" s="381">
        <f>calcR2LOB1Clinician5MissVisits</f>
        <v>0.52577319587628868</v>
      </c>
      <c r="L214" s="381">
        <f>calcR2LOB1Clinician5MissVisits</f>
        <v>0.52577319587628868</v>
      </c>
      <c r="M214" s="381">
        <f>calcR2LOB1Clinician5MissVisits</f>
        <v>0.52577319587628868</v>
      </c>
      <c r="N214" s="8" t="s">
        <v>5734</v>
      </c>
      <c r="O214" s="131" t="b">
        <f t="shared" si="9"/>
        <v>1</v>
      </c>
    </row>
    <row r="215" spans="1:15">
      <c r="A215" s="76" t="s">
        <v>600</v>
      </c>
      <c r="D215" s="8">
        <v>6</v>
      </c>
      <c r="E215" s="381">
        <f>calcLOB1Clinician6MissVisits</f>
        <v>3.9000000000000004</v>
      </c>
      <c r="F215" s="381">
        <f>calcLOB1Clinician6MissVisits</f>
        <v>3.9000000000000004</v>
      </c>
      <c r="G215" s="381">
        <f>calcLOB1Clinician6MissVisits</f>
        <v>3.9000000000000004</v>
      </c>
      <c r="H215" s="8" t="s">
        <v>3009</v>
      </c>
      <c r="I215" s="131" t="b">
        <f t="shared" si="8"/>
        <v>1</v>
      </c>
      <c r="J215" s="8">
        <v>6</v>
      </c>
      <c r="K215" s="381">
        <f>calcR2LOB1Clinician6MissVisits</f>
        <v>3.9000000000000004</v>
      </c>
      <c r="L215" s="381">
        <f>calcR2LOB1Clinician6MissVisits</f>
        <v>3.9000000000000004</v>
      </c>
      <c r="M215" s="381">
        <f>calcR2LOB1Clinician6MissVisits</f>
        <v>3.9000000000000004</v>
      </c>
      <c r="N215" s="8" t="s">
        <v>5735</v>
      </c>
      <c r="O215" s="131" t="b">
        <f t="shared" si="9"/>
        <v>1</v>
      </c>
    </row>
    <row r="216" spans="1:15">
      <c r="A216" s="76" t="s">
        <v>601</v>
      </c>
      <c r="D216" s="63">
        <v>7</v>
      </c>
      <c r="E216" s="381">
        <f>calcLOB1Clinician7MissVisits</f>
        <v>1.68</v>
      </c>
      <c r="F216" s="381">
        <f>calcLOB1Clinician7MissVisits</f>
        <v>1.68</v>
      </c>
      <c r="G216" s="381">
        <f>calcLOB1Clinician7MissVisits</f>
        <v>1.68</v>
      </c>
      <c r="H216" s="8" t="s">
        <v>3010</v>
      </c>
      <c r="I216" s="131" t="b">
        <f t="shared" si="8"/>
        <v>1</v>
      </c>
      <c r="J216" s="63">
        <v>7</v>
      </c>
      <c r="K216" s="381">
        <f>calcR2LOB1Clinician7MissVisits</f>
        <v>1.68</v>
      </c>
      <c r="L216" s="381">
        <f>calcR2LOB1Clinician7MissVisits</f>
        <v>1.68</v>
      </c>
      <c r="M216" s="381">
        <f>calcR2LOB1Clinician7MissVisits</f>
        <v>1.68</v>
      </c>
      <c r="N216" s="8" t="s">
        <v>5736</v>
      </c>
      <c r="O216" s="131" t="b">
        <f t="shared" si="9"/>
        <v>1</v>
      </c>
    </row>
    <row r="217" spans="1:15">
      <c r="A217" s="76" t="s">
        <v>602</v>
      </c>
      <c r="D217" s="63">
        <v>8</v>
      </c>
      <c r="E217" s="381">
        <f>calcLOB1Clinician8MissVisits</f>
        <v>4.0600000000000005</v>
      </c>
      <c r="F217" s="381">
        <f>calcLOB1Clinician8MissVisits</f>
        <v>4.0600000000000005</v>
      </c>
      <c r="G217" s="381">
        <f>calcLOB1Clinician8MissVisits</f>
        <v>4.0600000000000005</v>
      </c>
      <c r="H217" s="8" t="s">
        <v>3011</v>
      </c>
      <c r="I217" s="131" t="b">
        <f t="shared" ref="I217:I281" si="10">MAX(E217:G217)=MIN(E217:G217)</f>
        <v>1</v>
      </c>
      <c r="J217" s="63">
        <v>8</v>
      </c>
      <c r="K217" s="381">
        <f>calcR2LOB1Clinician8MissVisits</f>
        <v>4.0600000000000005</v>
      </c>
      <c r="L217" s="381">
        <f>calcR2LOB1Clinician8MissVisits</f>
        <v>4.0600000000000005</v>
      </c>
      <c r="M217" s="381">
        <f>calcR2LOB1Clinician8MissVisits</f>
        <v>4.0600000000000005</v>
      </c>
      <c r="N217" s="8" t="s">
        <v>5737</v>
      </c>
      <c r="O217" s="131" t="b">
        <f t="shared" ref="O217:O281" si="11">MAX(K217:M217)=MIN(K217:M217)</f>
        <v>1</v>
      </c>
    </row>
    <row r="218" spans="1:15">
      <c r="A218" s="76" t="s">
        <v>603</v>
      </c>
      <c r="D218" s="63">
        <v>9</v>
      </c>
      <c r="E218" s="381">
        <f>calcLOB1Clinician9MissVisits</f>
        <v>0.47319587628865978</v>
      </c>
      <c r="F218" s="381">
        <f>calcLOB1Clinician9MissVisits</f>
        <v>0.47319587628865978</v>
      </c>
      <c r="G218" s="381">
        <f>calcLOB1Clinician9MissVisits</f>
        <v>0.47319587628865978</v>
      </c>
      <c r="H218" s="8" t="s">
        <v>3012</v>
      </c>
      <c r="I218" s="131" t="b">
        <f t="shared" si="10"/>
        <v>1</v>
      </c>
      <c r="J218" s="63">
        <v>9</v>
      </c>
      <c r="K218" s="381">
        <f>calcR2LOB1Clinician9MissVisits</f>
        <v>0.47319587628865978</v>
      </c>
      <c r="L218" s="381">
        <f>calcR2LOB1Clinician9MissVisits</f>
        <v>0.47319587628865978</v>
      </c>
      <c r="M218" s="381">
        <f>calcR2LOB1Clinician9MissVisits</f>
        <v>0.47319587628865978</v>
      </c>
      <c r="N218" s="8" t="s">
        <v>5738</v>
      </c>
      <c r="O218" s="131" t="b">
        <f t="shared" si="11"/>
        <v>1</v>
      </c>
    </row>
    <row r="219" spans="1:15">
      <c r="A219" s="76" t="s">
        <v>604</v>
      </c>
      <c r="D219" s="8">
        <v>10</v>
      </c>
      <c r="E219" s="381">
        <f>calcLOB1Clinician10MissVisits</f>
        <v>1.2526315789473685</v>
      </c>
      <c r="F219" s="381">
        <f>calcLOB1Clinician10MissVisits</f>
        <v>1.2526315789473685</v>
      </c>
      <c r="G219" s="381">
        <f>calcLOB1Clinician10MissVisits</f>
        <v>1.2526315789473685</v>
      </c>
      <c r="H219" s="8" t="s">
        <v>3013</v>
      </c>
      <c r="I219" s="131" t="b">
        <f t="shared" si="10"/>
        <v>1</v>
      </c>
      <c r="J219" s="8">
        <v>10</v>
      </c>
      <c r="K219" s="381">
        <f>calcR2LOB1Clinician10MissVisits</f>
        <v>1.2526315789473685</v>
      </c>
      <c r="L219" s="381">
        <f>calcR2LOB1Clinician10MissVisits</f>
        <v>1.2526315789473685</v>
      </c>
      <c r="M219" s="381">
        <f>calcR2LOB1Clinician10MissVisits</f>
        <v>1.2526315789473685</v>
      </c>
      <c r="N219" s="8" t="s">
        <v>5739</v>
      </c>
      <c r="O219" s="131" t="b">
        <f t="shared" si="11"/>
        <v>1</v>
      </c>
    </row>
    <row r="220" spans="1:15">
      <c r="A220" s="76" t="s">
        <v>1497</v>
      </c>
      <c r="D220" s="8">
        <v>11</v>
      </c>
      <c r="E220" s="508">
        <f>calcLOB1Clinician11MissVisits</f>
        <v>0</v>
      </c>
      <c r="F220" s="508">
        <f>calcLOB1Clinician11MissVisits</f>
        <v>0</v>
      </c>
      <c r="G220" s="508">
        <f>calcLOB1Clinician11MissVisits</f>
        <v>0</v>
      </c>
      <c r="H220" s="8" t="s">
        <v>3014</v>
      </c>
      <c r="I220" s="131" t="b">
        <f t="shared" si="10"/>
        <v>1</v>
      </c>
      <c r="J220" s="8">
        <v>11</v>
      </c>
      <c r="K220" s="508">
        <f>calcR2LOB1Clinician11MissVisits</f>
        <v>0</v>
      </c>
      <c r="L220" s="508">
        <f>calcR2LOB1Clinician11MissVisits</f>
        <v>0</v>
      </c>
      <c r="M220" s="508">
        <f>calcR2LOB1Clinician11MissVisits</f>
        <v>0</v>
      </c>
      <c r="N220" s="8" t="s">
        <v>5740</v>
      </c>
      <c r="O220" s="131" t="b">
        <f t="shared" si="11"/>
        <v>1</v>
      </c>
    </row>
    <row r="221" spans="1:15">
      <c r="A221" s="76" t="s">
        <v>1498</v>
      </c>
      <c r="D221" s="63">
        <v>12</v>
      </c>
      <c r="E221" s="508">
        <f>calcLOB1Clinician12MissVisits</f>
        <v>0</v>
      </c>
      <c r="F221" s="508">
        <f>calcLOB1Clinician12MissVisits</f>
        <v>0</v>
      </c>
      <c r="G221" s="508">
        <f>calcLOB1Clinician12MissVisits</f>
        <v>0</v>
      </c>
      <c r="H221" s="8" t="s">
        <v>3015</v>
      </c>
      <c r="I221" s="131" t="b">
        <f t="shared" si="10"/>
        <v>1</v>
      </c>
      <c r="J221" s="63">
        <v>12</v>
      </c>
      <c r="K221" s="508">
        <f>calcR2LOB1Clinician12MissVisits</f>
        <v>0</v>
      </c>
      <c r="L221" s="508">
        <f>calcR2LOB1Clinician12MissVisits</f>
        <v>0</v>
      </c>
      <c r="M221" s="508">
        <f>calcR2LOB1Clinician12MissVisits</f>
        <v>0</v>
      </c>
      <c r="N221" s="8" t="s">
        <v>5741</v>
      </c>
      <c r="O221" s="131" t="b">
        <f t="shared" si="11"/>
        <v>1</v>
      </c>
    </row>
    <row r="222" spans="1:15">
      <c r="A222" s="76"/>
      <c r="I222" s="131" t="b">
        <f t="shared" si="10"/>
        <v>1</v>
      </c>
      <c r="K222" s="159"/>
      <c r="L222" s="159"/>
      <c r="M222" s="159"/>
      <c r="O222" s="131" t="b">
        <f t="shared" si="11"/>
        <v>1</v>
      </c>
    </row>
    <row r="223" spans="1:15" s="171" customFormat="1" ht="10.5">
      <c r="A223" s="442" t="str">
        <f>nmLOB2</f>
        <v>Pleasentville</v>
      </c>
      <c r="B223" s="131"/>
      <c r="C223" s="131"/>
      <c r="D223" s="131"/>
      <c r="E223" s="323"/>
      <c r="F223" s="323"/>
      <c r="G223" s="323"/>
      <c r="H223" s="131"/>
      <c r="I223" s="131" t="b">
        <f t="shared" si="10"/>
        <v>1</v>
      </c>
      <c r="K223" s="323"/>
      <c r="L223" s="323"/>
      <c r="M223" s="323"/>
      <c r="N223" s="131"/>
      <c r="O223" s="131" t="b">
        <f t="shared" si="11"/>
        <v>1</v>
      </c>
    </row>
    <row r="224" spans="1:15">
      <c r="A224" s="76" t="str">
        <f>nmSeg1</f>
        <v>Medicare</v>
      </c>
      <c r="E224" s="159">
        <f>obalLOB2Seg1Perc</f>
        <v>0.92</v>
      </c>
      <c r="F224" s="159">
        <f>obalLOB2Seg1Perc</f>
        <v>0.92</v>
      </c>
      <c r="G224" s="159">
        <f>obalLOB2Seg1Perc</f>
        <v>0.92</v>
      </c>
      <c r="H224" s="8" t="s">
        <v>2152</v>
      </c>
      <c r="I224" s="131" t="b">
        <f t="shared" si="10"/>
        <v>1</v>
      </c>
      <c r="K224" s="159">
        <f>obalR2LOB2Seg1Perc</f>
        <v>0.92</v>
      </c>
      <c r="L224" s="159">
        <f>obalR2LOB2Seg1Perc</f>
        <v>0.92</v>
      </c>
      <c r="M224" s="159">
        <f>obalR2LOB2Seg1Perc</f>
        <v>0.92</v>
      </c>
      <c r="N224" s="8" t="s">
        <v>5742</v>
      </c>
      <c r="O224" s="131" t="b">
        <f t="shared" si="11"/>
        <v>1</v>
      </c>
    </row>
    <row r="225" spans="1:15">
      <c r="A225" s="76" t="str">
        <f>nmSeg2</f>
        <v>PPS</v>
      </c>
      <c r="E225" s="159">
        <f>obalLOB2Seg2Perc</f>
        <v>0.05</v>
      </c>
      <c r="F225" s="159">
        <f>obalLOB2Seg2Perc</f>
        <v>0.05</v>
      </c>
      <c r="G225" s="159">
        <f>obalLOB2Seg2Perc</f>
        <v>0.05</v>
      </c>
      <c r="H225" s="8" t="s">
        <v>2153</v>
      </c>
      <c r="I225" s="131" t="b">
        <f t="shared" si="10"/>
        <v>1</v>
      </c>
      <c r="K225" s="159">
        <f>obalR2LOB2Seg2Perc</f>
        <v>0.05</v>
      </c>
      <c r="L225" s="159">
        <f>obalR2LOB2Seg2Perc</f>
        <v>0.05</v>
      </c>
      <c r="M225" s="159">
        <f>obalR2LOB2Seg2Perc</f>
        <v>0.05</v>
      </c>
      <c r="N225" s="8" t="s">
        <v>5743</v>
      </c>
      <c r="O225" s="131" t="b">
        <f t="shared" si="11"/>
        <v>1</v>
      </c>
    </row>
    <row r="226" spans="1:15">
      <c r="A226" s="76" t="str">
        <f>nmSeg3</f>
        <v>Other</v>
      </c>
      <c r="E226" s="159">
        <f>obalLOB2Seg3Perc</f>
        <v>0.03</v>
      </c>
      <c r="F226" s="159">
        <f>obalLOB2Seg3Perc</f>
        <v>0.03</v>
      </c>
      <c r="G226" s="159">
        <f>obalLOB2Seg3Perc</f>
        <v>0.03</v>
      </c>
      <c r="H226" s="8" t="s">
        <v>2154</v>
      </c>
      <c r="I226" s="131" t="b">
        <f t="shared" si="10"/>
        <v>1</v>
      </c>
      <c r="K226" s="159">
        <f>obalR2LOB2Seg3Perc</f>
        <v>0.03</v>
      </c>
      <c r="L226" s="159">
        <f>obalR2LOB2Seg3Perc</f>
        <v>0.03</v>
      </c>
      <c r="M226" s="159">
        <f>obalR2LOB2Seg3Perc</f>
        <v>0.03</v>
      </c>
      <c r="N226" s="8" t="s">
        <v>5744</v>
      </c>
      <c r="O226" s="131" t="b">
        <f t="shared" si="11"/>
        <v>1</v>
      </c>
    </row>
    <row r="227" spans="1:15">
      <c r="A227" s="76" t="str">
        <f>nmEmp1 &amp; " Visits Per Episode"</f>
        <v>Skilled Nursing Visits Per Episode</v>
      </c>
      <c r="E227" s="441">
        <f>obalLOB2Emp1VisitPEp*paramLOB2Emp1VisitsPEmp</f>
        <v>9.3000000000000007</v>
      </c>
      <c r="F227" s="441">
        <f>obalLOB2Emp1VisitPEp*paramLOB2Emp1VisitsPEmp</f>
        <v>9.3000000000000007</v>
      </c>
      <c r="G227" s="441">
        <f>obalLOB2Emp1VisitPEp*paramLOB2Emp1VisitsPEmp</f>
        <v>9.3000000000000007</v>
      </c>
      <c r="H227" s="8" t="s">
        <v>2155</v>
      </c>
      <c r="I227" s="131" t="b">
        <f t="shared" si="10"/>
        <v>1</v>
      </c>
      <c r="K227" s="441">
        <f>obalR2LOB2Emp1VisitPEp*paramR2LOB2Emp1VisitsPEmp</f>
        <v>9.3000000000000007</v>
      </c>
      <c r="L227" s="441">
        <f>obalR2LOB2Emp1VisitPEp*paramR2LOB2Emp1VisitsPEmp</f>
        <v>9.3000000000000007</v>
      </c>
      <c r="M227" s="441">
        <f>obalR2LOB2Emp1VisitPEp*paramR2LOB2Emp1VisitsPEmp</f>
        <v>9.3000000000000007</v>
      </c>
      <c r="N227" s="8" t="s">
        <v>5745</v>
      </c>
      <c r="O227" s="131" t="b">
        <f t="shared" si="11"/>
        <v>1</v>
      </c>
    </row>
    <row r="228" spans="1:15">
      <c r="A228" s="76" t="str">
        <f>nmEmp2 &amp; " Visits Per Episode"</f>
        <v>Occupational Therapy Visits Per Episode</v>
      </c>
      <c r="E228" s="441">
        <f>obalLOB2Emp2VisitPEp*paramLOB2Emp2VisitsPEmp</f>
        <v>1.2</v>
      </c>
      <c r="F228" s="441">
        <f>obalLOB2Emp2VisitPEp*paramLOB2Emp2VisitsPEmp</f>
        <v>1.2</v>
      </c>
      <c r="G228" s="441">
        <f>obalLOB2Emp2VisitPEp*paramLOB2Emp2VisitsPEmp</f>
        <v>1.2</v>
      </c>
      <c r="H228" s="8" t="s">
        <v>2156</v>
      </c>
      <c r="I228" s="131" t="b">
        <f t="shared" si="10"/>
        <v>1</v>
      </c>
      <c r="K228" s="441">
        <f>obalR2LOB2Emp2VisitPEp*paramR2LOB2Emp2VisitsPEmp</f>
        <v>1.2</v>
      </c>
      <c r="L228" s="441">
        <f>obalR2LOB2Emp2VisitPEp*paramR2LOB2Emp2VisitsPEmp</f>
        <v>1.2</v>
      </c>
      <c r="M228" s="441">
        <f>obalR2LOB2Emp2VisitPEp*paramR2LOB2Emp2VisitsPEmp</f>
        <v>1.2</v>
      </c>
      <c r="N228" s="8" t="s">
        <v>5746</v>
      </c>
      <c r="O228" s="131" t="b">
        <f t="shared" si="11"/>
        <v>1</v>
      </c>
    </row>
    <row r="229" spans="1:15">
      <c r="A229" s="76" t="str">
        <f>nmEmp3 &amp; " Visits Per Episode"</f>
        <v>Physical Therapy Visits Per Episode</v>
      </c>
      <c r="E229" s="441">
        <f>obalLOB2Emp3VisitPEp*paramLOB2Emp3VisitsPEmp</f>
        <v>4</v>
      </c>
      <c r="F229" s="441">
        <f>obalLOB2Emp3VisitPEp*paramLOB2Emp3VisitsPEmp</f>
        <v>4</v>
      </c>
      <c r="G229" s="441">
        <f>obalLOB2Emp3VisitPEp*paramLOB2Emp3VisitsPEmp</f>
        <v>4</v>
      </c>
      <c r="H229" s="8" t="s">
        <v>2157</v>
      </c>
      <c r="I229" s="131" t="b">
        <f t="shared" si="10"/>
        <v>1</v>
      </c>
      <c r="K229" s="441">
        <f>obalR2LOB2Emp3VisitPEp*paramR2LOB2Emp3VisitsPEmp</f>
        <v>4</v>
      </c>
      <c r="L229" s="441">
        <f>obalR2LOB2Emp3VisitPEp*paramR2LOB2Emp3VisitsPEmp</f>
        <v>4</v>
      </c>
      <c r="M229" s="441">
        <f>obalR2LOB2Emp3VisitPEp*paramR2LOB2Emp3VisitsPEmp</f>
        <v>4</v>
      </c>
      <c r="N229" s="8" t="s">
        <v>5747</v>
      </c>
      <c r="O229" s="131" t="b">
        <f t="shared" si="11"/>
        <v>1</v>
      </c>
    </row>
    <row r="230" spans="1:15">
      <c r="A230" s="76" t="str">
        <f>nmEmp1 &amp; " " &amp;  nmSeg1 &amp;  " Revenue Per Visit"</f>
        <v>Skilled Nursing Medicare Revenue Per Visit</v>
      </c>
      <c r="E230" s="441">
        <f>obalLOB2Emp1Seg1RevPVisit</f>
        <v>170</v>
      </c>
      <c r="F230" s="441">
        <f>obalLOB2Emp1Seg1RevPVisit</f>
        <v>170</v>
      </c>
      <c r="G230" s="441">
        <f>obalLOB2Emp1Seg1RevPVisit</f>
        <v>170</v>
      </c>
      <c r="H230" s="8" t="s">
        <v>2709</v>
      </c>
      <c r="I230" s="131" t="b">
        <f t="shared" si="10"/>
        <v>1</v>
      </c>
      <c r="K230" s="441">
        <f>obalR2LOB2Emp1Seg1RevPVisit</f>
        <v>170</v>
      </c>
      <c r="L230" s="441">
        <f>obalR2LOB2Emp1Seg1RevPVisit</f>
        <v>170</v>
      </c>
      <c r="M230" s="441">
        <f>obalR2LOB2Emp1Seg1RevPVisit</f>
        <v>170</v>
      </c>
      <c r="N230" s="8" t="s">
        <v>5748</v>
      </c>
      <c r="O230" s="131" t="b">
        <f t="shared" si="11"/>
        <v>1</v>
      </c>
    </row>
    <row r="231" spans="1:15">
      <c r="A231" s="76" t="str">
        <f>nmEmp1 &amp; " " &amp;  nmSeg2 &amp;  " Revenue Per Visit"</f>
        <v>Skilled Nursing PPS Revenue Per Visit</v>
      </c>
      <c r="E231" s="441">
        <f>obalLOB2Emp1Seg2RevPVisit</f>
        <v>150</v>
      </c>
      <c r="F231" s="441">
        <f>obalLOB2Emp1Seg2RevPVisit</f>
        <v>150</v>
      </c>
      <c r="G231" s="441">
        <f>obalLOB2Emp1Seg2RevPVisit</f>
        <v>150</v>
      </c>
      <c r="H231" s="8" t="s">
        <v>2710</v>
      </c>
      <c r="I231" s="131" t="b">
        <f t="shared" si="10"/>
        <v>1</v>
      </c>
      <c r="K231" s="441">
        <f>obalR2LOB2Emp1Seg2RevPVisit</f>
        <v>150</v>
      </c>
      <c r="L231" s="441">
        <f>obalR2LOB2Emp1Seg2RevPVisit</f>
        <v>150</v>
      </c>
      <c r="M231" s="441">
        <f>obalR2LOB2Emp1Seg2RevPVisit</f>
        <v>150</v>
      </c>
      <c r="N231" s="8" t="s">
        <v>5749</v>
      </c>
      <c r="O231" s="131" t="b">
        <f t="shared" si="11"/>
        <v>1</v>
      </c>
    </row>
    <row r="232" spans="1:15">
      <c r="A232" s="76" t="str">
        <f>nmEmp1 &amp; " " &amp;  nmSeg3 &amp;  " Revenue Per Visit"</f>
        <v>Skilled Nursing Other Revenue Per Visit</v>
      </c>
      <c r="E232" s="441">
        <f>obalLOB2Emp1Seg3RevPVisit</f>
        <v>95</v>
      </c>
      <c r="F232" s="441">
        <f>obalLOB2Emp1Seg3RevPVisit</f>
        <v>95</v>
      </c>
      <c r="G232" s="441">
        <f>obalLOB2Emp1Seg3RevPVisit</f>
        <v>95</v>
      </c>
      <c r="H232" s="8" t="s">
        <v>2711</v>
      </c>
      <c r="I232" s="131" t="b">
        <f t="shared" si="10"/>
        <v>1</v>
      </c>
      <c r="K232" s="441">
        <f>obalR2LOB2Emp1Seg3RevPVisit</f>
        <v>95</v>
      </c>
      <c r="L232" s="441">
        <f>obalR2LOB2Emp1Seg3RevPVisit</f>
        <v>95</v>
      </c>
      <c r="M232" s="441">
        <f>obalR2LOB2Emp1Seg3RevPVisit</f>
        <v>95</v>
      </c>
      <c r="N232" s="8" t="s">
        <v>5750</v>
      </c>
      <c r="O232" s="131" t="b">
        <f t="shared" si="11"/>
        <v>1</v>
      </c>
    </row>
    <row r="233" spans="1:15">
      <c r="A233" s="76" t="str">
        <f>nmEmp2 &amp; " " &amp;  nmSeg1 &amp;  " Revenue Per Visit"</f>
        <v>Occupational Therapy Medicare Revenue Per Visit</v>
      </c>
      <c r="E233" s="441">
        <f>obalLOB2Emp2Seg1RevPVisit</f>
        <v>168</v>
      </c>
      <c r="F233" s="441">
        <f>obalLOB2Emp2Seg1RevPVisit</f>
        <v>168</v>
      </c>
      <c r="G233" s="441">
        <f>obalLOB2Emp2Seg1RevPVisit</f>
        <v>168</v>
      </c>
      <c r="H233" s="8" t="s">
        <v>2712</v>
      </c>
      <c r="I233" s="131" t="b">
        <f t="shared" si="10"/>
        <v>1</v>
      </c>
      <c r="K233" s="441">
        <f>obalR2LOB2Emp2Seg1RevPVisit</f>
        <v>168</v>
      </c>
      <c r="L233" s="441">
        <f>obalR2LOB2Emp2Seg1RevPVisit</f>
        <v>168</v>
      </c>
      <c r="M233" s="441">
        <f>obalR2LOB2Emp2Seg1RevPVisit</f>
        <v>168</v>
      </c>
      <c r="N233" s="8" t="s">
        <v>5751</v>
      </c>
      <c r="O233" s="131" t="b">
        <f t="shared" si="11"/>
        <v>1</v>
      </c>
    </row>
    <row r="234" spans="1:15">
      <c r="A234" s="76" t="str">
        <f>nmEmp2 &amp; " " &amp;  nmSeg2 &amp;  " Revenue Per Visit"</f>
        <v>Occupational Therapy PPS Revenue Per Visit</v>
      </c>
      <c r="E234" s="441">
        <f>obalLOB2Emp2Seg2RevPVisit</f>
        <v>152</v>
      </c>
      <c r="F234" s="441">
        <f>obalLOB2Emp2Seg2RevPVisit</f>
        <v>152</v>
      </c>
      <c r="G234" s="441">
        <f>obalLOB2Emp2Seg2RevPVisit</f>
        <v>152</v>
      </c>
      <c r="H234" s="8" t="s">
        <v>2713</v>
      </c>
      <c r="I234" s="131" t="b">
        <f t="shared" si="10"/>
        <v>1</v>
      </c>
      <c r="K234" s="441">
        <f>obalR2LOB2Emp2Seg2RevPVisit</f>
        <v>152</v>
      </c>
      <c r="L234" s="441">
        <f>obalR2LOB2Emp2Seg2RevPVisit</f>
        <v>152</v>
      </c>
      <c r="M234" s="441">
        <f>obalR2LOB2Emp2Seg2RevPVisit</f>
        <v>152</v>
      </c>
      <c r="N234" s="8" t="s">
        <v>5752</v>
      </c>
      <c r="O234" s="131" t="b">
        <f t="shared" si="11"/>
        <v>1</v>
      </c>
    </row>
    <row r="235" spans="1:15">
      <c r="A235" s="76" t="str">
        <f>nmEmp2 &amp; " " &amp;  nmSeg3 &amp;  " Revenue Per Visit"</f>
        <v>Occupational Therapy Other Revenue Per Visit</v>
      </c>
      <c r="E235" s="441">
        <f>obalLOB2Emp2Seg3RevPVisit</f>
        <v>95</v>
      </c>
      <c r="F235" s="441">
        <f>obalLOB2Emp2Seg3RevPVisit</f>
        <v>95</v>
      </c>
      <c r="G235" s="441">
        <f>obalLOB2Emp2Seg3RevPVisit</f>
        <v>95</v>
      </c>
      <c r="H235" s="8" t="s">
        <v>2714</v>
      </c>
      <c r="I235" s="131" t="b">
        <f t="shared" si="10"/>
        <v>1</v>
      </c>
      <c r="K235" s="441">
        <f>obalR2LOB2Emp2Seg3RevPVisit</f>
        <v>95</v>
      </c>
      <c r="L235" s="441">
        <f>obalR2LOB2Emp2Seg3RevPVisit</f>
        <v>95</v>
      </c>
      <c r="M235" s="441">
        <f>obalR2LOB2Emp2Seg3RevPVisit</f>
        <v>95</v>
      </c>
      <c r="N235" s="8" t="s">
        <v>5753</v>
      </c>
      <c r="O235" s="131" t="b">
        <f t="shared" si="11"/>
        <v>1</v>
      </c>
    </row>
    <row r="236" spans="1:15">
      <c r="A236" s="76" t="str">
        <f>nmEmp3 &amp; " " &amp;  nmSeg1 &amp;  " Revenue Per Visit"</f>
        <v>Physical Therapy Medicare Revenue Per Visit</v>
      </c>
      <c r="E236" s="441">
        <f>obalLOB2Emp3Seg1RevPVisit</f>
        <v>170</v>
      </c>
      <c r="F236" s="441">
        <f>obalLOB2Emp3Seg1RevPVisit</f>
        <v>170</v>
      </c>
      <c r="G236" s="441">
        <f>obalLOB2Emp3Seg1RevPVisit</f>
        <v>170</v>
      </c>
      <c r="H236" s="8" t="s">
        <v>2715</v>
      </c>
      <c r="I236" s="131" t="b">
        <f t="shared" si="10"/>
        <v>1</v>
      </c>
      <c r="K236" s="441">
        <f>obalR2LOB2Emp3Seg1RevPVisit</f>
        <v>170</v>
      </c>
      <c r="L236" s="441">
        <f>obalR2LOB2Emp3Seg1RevPVisit</f>
        <v>170</v>
      </c>
      <c r="M236" s="441">
        <f>obalR2LOB2Emp3Seg1RevPVisit</f>
        <v>170</v>
      </c>
      <c r="N236" s="8" t="s">
        <v>5754</v>
      </c>
      <c r="O236" s="131" t="b">
        <f t="shared" si="11"/>
        <v>1</v>
      </c>
    </row>
    <row r="237" spans="1:15">
      <c r="A237" s="76" t="str">
        <f>nmEmp3 &amp; " " &amp;  nmSeg2 &amp;  " Revenue Per Visit"</f>
        <v>Physical Therapy PPS Revenue Per Visit</v>
      </c>
      <c r="E237" s="441">
        <f>obalLOB2Emp3Seg2RevPVisit</f>
        <v>155</v>
      </c>
      <c r="F237" s="441">
        <f>obalLOB2Emp3Seg2RevPVisit</f>
        <v>155</v>
      </c>
      <c r="G237" s="441">
        <f>obalLOB2Emp3Seg2RevPVisit</f>
        <v>155</v>
      </c>
      <c r="H237" s="8" t="s">
        <v>2716</v>
      </c>
      <c r="I237" s="131" t="b">
        <f t="shared" si="10"/>
        <v>1</v>
      </c>
      <c r="K237" s="441">
        <f>obalR2LOB2Emp3Seg2RevPVisit</f>
        <v>155</v>
      </c>
      <c r="L237" s="441">
        <f>obalR2LOB2Emp3Seg2RevPVisit</f>
        <v>155</v>
      </c>
      <c r="M237" s="441">
        <f>obalR2LOB2Emp3Seg2RevPVisit</f>
        <v>155</v>
      </c>
      <c r="N237" s="8" t="s">
        <v>5755</v>
      </c>
      <c r="O237" s="131" t="b">
        <f t="shared" si="11"/>
        <v>1</v>
      </c>
    </row>
    <row r="238" spans="1:15">
      <c r="A238" s="76" t="str">
        <f>nmEmp3 &amp; " " &amp;  nmSeg3 &amp;  " Revenue Per Visit"</f>
        <v>Physical Therapy Other Revenue Per Visit</v>
      </c>
      <c r="E238" s="441">
        <f>obalLOB2Emp3Seg3RevPVisit</f>
        <v>95</v>
      </c>
      <c r="F238" s="441">
        <f>obalLOB2Emp3Seg3RevPVisit</f>
        <v>95</v>
      </c>
      <c r="G238" s="441">
        <f>obalLOB2Emp3Seg3RevPVisit</f>
        <v>95</v>
      </c>
      <c r="H238" s="8" t="s">
        <v>2717</v>
      </c>
      <c r="I238" s="131" t="b">
        <f t="shared" si="10"/>
        <v>1</v>
      </c>
      <c r="K238" s="441">
        <f>obalR2LOB2Emp3Seg3RevPVisit</f>
        <v>95</v>
      </c>
      <c r="L238" s="441">
        <f>obalR2LOB2Emp3Seg3RevPVisit</f>
        <v>95</v>
      </c>
      <c r="M238" s="441">
        <f>obalR2LOB2Emp3Seg3RevPVisit</f>
        <v>95</v>
      </c>
      <c r="N238" s="8" t="s">
        <v>5756</v>
      </c>
      <c r="O238" s="131" t="b">
        <f t="shared" si="11"/>
        <v>1</v>
      </c>
    </row>
    <row r="239" spans="1:15">
      <c r="A239" s="76" t="str">
        <f>nmEmp1 &amp; " Cost Per Visit"</f>
        <v>Skilled Nursing Cost Per Visit</v>
      </c>
      <c r="E239" s="441">
        <f>obalLOB2Emp1CostPVisit</f>
        <v>82.649999999999991</v>
      </c>
      <c r="F239" s="441">
        <f>obalLOB2Emp1CostPVisit</f>
        <v>82.649999999999991</v>
      </c>
      <c r="G239" s="441">
        <f>obalLOB2Emp1CostPVisit</f>
        <v>82.649999999999991</v>
      </c>
      <c r="H239" s="8" t="s">
        <v>2718</v>
      </c>
      <c r="I239" s="131" t="b">
        <f t="shared" si="10"/>
        <v>1</v>
      </c>
      <c r="K239" s="441">
        <f>obalR2LOB2Emp1CostPVisit</f>
        <v>82.649999999999991</v>
      </c>
      <c r="L239" s="441">
        <f>obalR2LOB2Emp1CostPVisit</f>
        <v>82.649999999999991</v>
      </c>
      <c r="M239" s="441">
        <f>obalR2LOB2Emp1CostPVisit</f>
        <v>82.649999999999991</v>
      </c>
      <c r="N239" s="8" t="s">
        <v>5757</v>
      </c>
      <c r="O239" s="131" t="b">
        <f t="shared" si="11"/>
        <v>1</v>
      </c>
    </row>
    <row r="240" spans="1:15">
      <c r="A240" s="76" t="str">
        <f>nmEmp2  &amp; " Cost Per Visit"</f>
        <v>Occupational Therapy Cost Per Visit</v>
      </c>
      <c r="E240" s="441">
        <f>obalLOB2Emp2CostPVisit</f>
        <v>91.199999999999989</v>
      </c>
      <c r="F240" s="441">
        <f>obalLOB2Emp2CostPVisit</f>
        <v>91.199999999999989</v>
      </c>
      <c r="G240" s="441">
        <f>obalLOB2Emp2CostPVisit</f>
        <v>91.199999999999989</v>
      </c>
      <c r="H240" s="8" t="s">
        <v>2719</v>
      </c>
      <c r="I240" s="131" t="b">
        <f t="shared" si="10"/>
        <v>1</v>
      </c>
      <c r="K240" s="441">
        <f>obalR2LOB2Emp2CostPVisit</f>
        <v>91.199999999999989</v>
      </c>
      <c r="L240" s="441">
        <f>obalR2LOB2Emp2CostPVisit</f>
        <v>91.199999999999989</v>
      </c>
      <c r="M240" s="441">
        <f>obalR2LOB2Emp2CostPVisit</f>
        <v>91.199999999999989</v>
      </c>
      <c r="N240" s="8" t="s">
        <v>5758</v>
      </c>
      <c r="O240" s="131" t="b">
        <f t="shared" si="11"/>
        <v>1</v>
      </c>
    </row>
    <row r="241" spans="1:15">
      <c r="A241" s="76" t="str">
        <f>nmEmp3  &amp; " Cost Per Visit"</f>
        <v>Physical Therapy Cost Per Visit</v>
      </c>
      <c r="E241" s="441">
        <f>obalLOB2Emp3CostPVisit</f>
        <v>93.1</v>
      </c>
      <c r="F241" s="441">
        <f>obalLOB2Emp3CostPVisit</f>
        <v>93.1</v>
      </c>
      <c r="G241" s="441">
        <f>obalLOB2Emp3CostPVisit</f>
        <v>93.1</v>
      </c>
      <c r="H241" s="8" t="s">
        <v>2720</v>
      </c>
      <c r="I241" s="131" t="b">
        <f t="shared" si="10"/>
        <v>1</v>
      </c>
      <c r="K241" s="441">
        <f>obalR2LOB2Emp3CostPVisit</f>
        <v>93.1</v>
      </c>
      <c r="L241" s="441">
        <f>obalR2LOB2Emp3CostPVisit</f>
        <v>93.1</v>
      </c>
      <c r="M241" s="441">
        <f>obalR2LOB2Emp3CostPVisit</f>
        <v>93.1</v>
      </c>
      <c r="N241" s="8" t="s">
        <v>5759</v>
      </c>
      <c r="O241" s="131" t="b">
        <f t="shared" si="11"/>
        <v>1</v>
      </c>
    </row>
    <row r="242" spans="1:15">
      <c r="A242" s="76" t="str">
        <f>nmSeg1 &amp; " Recert Rate"</f>
        <v>Medicare Recert Rate</v>
      </c>
      <c r="E242" s="440">
        <v>0.3</v>
      </c>
      <c r="F242" s="440">
        <v>0.3</v>
      </c>
      <c r="G242" s="440">
        <v>0.3</v>
      </c>
      <c r="H242" s="8" t="s">
        <v>2158</v>
      </c>
      <c r="I242" s="131" t="b">
        <f t="shared" si="10"/>
        <v>1</v>
      </c>
      <c r="K242" s="440">
        <v>0.3</v>
      </c>
      <c r="L242" s="440">
        <v>0.3</v>
      </c>
      <c r="M242" s="440">
        <v>0.3</v>
      </c>
      <c r="N242" s="8" t="s">
        <v>5760</v>
      </c>
      <c r="O242" s="131" t="b">
        <f t="shared" si="11"/>
        <v>1</v>
      </c>
    </row>
    <row r="243" spans="1:15">
      <c r="A243" s="76" t="str">
        <f>nmSeg2 &amp; " Recert Rate"</f>
        <v>PPS Recert Rate</v>
      </c>
      <c r="E243" s="440">
        <v>0.3</v>
      </c>
      <c r="F243" s="440">
        <v>0.3</v>
      </c>
      <c r="G243" s="440">
        <v>0.3</v>
      </c>
      <c r="H243" s="8" t="s">
        <v>2159</v>
      </c>
      <c r="I243" s="131" t="b">
        <f t="shared" si="10"/>
        <v>1</v>
      </c>
      <c r="K243" s="440">
        <v>0.3</v>
      </c>
      <c r="L243" s="440">
        <v>0.3</v>
      </c>
      <c r="M243" s="440">
        <v>0.3</v>
      </c>
      <c r="N243" s="8" t="s">
        <v>5761</v>
      </c>
      <c r="O243" s="131" t="b">
        <f t="shared" si="11"/>
        <v>1</v>
      </c>
    </row>
    <row r="244" spans="1:15">
      <c r="A244" s="76" t="str">
        <f>nmSeg3 &amp; " Recert Rate"</f>
        <v>Other Recert Rate</v>
      </c>
      <c r="E244" s="440">
        <v>0.3</v>
      </c>
      <c r="F244" s="440">
        <v>0.3</v>
      </c>
      <c r="G244" s="440">
        <v>0.3</v>
      </c>
      <c r="H244" s="8" t="s">
        <v>2160</v>
      </c>
      <c r="I244" s="131" t="b">
        <f t="shared" si="10"/>
        <v>1</v>
      </c>
      <c r="K244" s="440">
        <v>0.3</v>
      </c>
      <c r="L244" s="440">
        <v>0.3</v>
      </c>
      <c r="M244" s="440">
        <v>0.3</v>
      </c>
      <c r="N244" s="8" t="s">
        <v>5762</v>
      </c>
      <c r="O244" s="131" t="b">
        <f t="shared" si="11"/>
        <v>1</v>
      </c>
    </row>
    <row r="245" spans="1:15">
      <c r="A245" s="76" t="s">
        <v>225</v>
      </c>
      <c r="E245" s="440">
        <f>mmLOB2MarketShare</f>
        <v>0.29602254380605181</v>
      </c>
      <c r="F245" s="440">
        <v>0.33300000000000002</v>
      </c>
      <c r="G245" s="440">
        <v>0.33300000000000002</v>
      </c>
      <c r="H245" s="8" t="s">
        <v>2161</v>
      </c>
      <c r="I245" s="131" t="b">
        <f t="shared" si="10"/>
        <v>0</v>
      </c>
      <c r="K245" s="440">
        <f>mmR2LOB2MarketShare</f>
        <v>0.28394595304068132</v>
      </c>
      <c r="L245" s="440">
        <v>0.33300000000000002</v>
      </c>
      <c r="M245" s="440">
        <v>0.33300000000000002</v>
      </c>
      <c r="N245" s="8" t="s">
        <v>5763</v>
      </c>
      <c r="O245" s="131" t="b">
        <f t="shared" si="11"/>
        <v>0</v>
      </c>
    </row>
    <row r="246" spans="1:15">
      <c r="A246" s="76" t="s">
        <v>2679</v>
      </c>
      <c r="E246" s="473">
        <f>obalLOB2FullEmpOverhead*paramLOB2Overhead</f>
        <v>89250</v>
      </c>
      <c r="F246" s="473">
        <f>obalLOB2FullEmpOverhead*paramLOB2Overhead</f>
        <v>73500</v>
      </c>
      <c r="G246" s="473">
        <f>obalLOB2FullEmpOverhead*paramLOB2Overhead</f>
        <v>78750</v>
      </c>
      <c r="H246" s="8" t="s">
        <v>2723</v>
      </c>
      <c r="I246" s="131" t="b">
        <f t="shared" si="10"/>
        <v>0</v>
      </c>
      <c r="K246" s="473">
        <f>obalR2LOB2FullEmpOverhead*paramR2LOB2Overhead</f>
        <v>111562.5</v>
      </c>
      <c r="L246" s="473">
        <f>obalR2LOB2FullEmpOverhead*paramR2LOB2Overhead</f>
        <v>77175</v>
      </c>
      <c r="M246" s="473">
        <f>obalR2LOB2FullEmpOverhead*paramR2LOB2Overhead</f>
        <v>82687.5</v>
      </c>
      <c r="N246" s="8" t="s">
        <v>5764</v>
      </c>
      <c r="O246" s="131" t="b">
        <f t="shared" si="11"/>
        <v>0</v>
      </c>
    </row>
    <row r="247" spans="1:15">
      <c r="A247" s="76" t="s">
        <v>2680</v>
      </c>
      <c r="E247" s="473">
        <f>obalLOB2PartEmpOverhead*paramLOB2Overhead</f>
        <v>47250</v>
      </c>
      <c r="F247" s="473">
        <f>obalLOB2PartEmpOverhead*paramLOB2Overhead</f>
        <v>42000</v>
      </c>
      <c r="G247" s="473">
        <f>obalLOB2PartEmpOverhead*paramLOB2Overhead</f>
        <v>42000</v>
      </c>
      <c r="H247" s="8" t="s">
        <v>2724</v>
      </c>
      <c r="I247" s="131" t="b">
        <f t="shared" si="10"/>
        <v>0</v>
      </c>
      <c r="K247" s="473">
        <f>obalR2LOB2PartEmpOverhead*paramR2LOB2Overhead</f>
        <v>59062.5</v>
      </c>
      <c r="L247" s="473">
        <f>obalR2LOB2PartEmpOverhead*paramR2LOB2Overhead</f>
        <v>44100</v>
      </c>
      <c r="M247" s="473">
        <f>obalR2LOB2PartEmpOverhead*paramR2LOB2Overhead</f>
        <v>44100</v>
      </c>
      <c r="N247" s="8" t="s">
        <v>5765</v>
      </c>
      <c r="O247" s="131" t="b">
        <f t="shared" si="11"/>
        <v>0</v>
      </c>
    </row>
    <row r="248" spans="1:15">
      <c r="A248" s="157" t="s">
        <v>347</v>
      </c>
      <c r="E248" s="473">
        <f>finPNLLOB2Rev</f>
        <v>5461878.0000000009</v>
      </c>
      <c r="F248" s="473">
        <f>finPNLLOB2Rev</f>
        <v>4171464.0000000005</v>
      </c>
      <c r="G248" s="473">
        <f>finPNLLOB2Rev</f>
        <v>8277204.0000000009</v>
      </c>
      <c r="H248" s="8" t="s">
        <v>2810</v>
      </c>
      <c r="I248" s="131" t="b">
        <f t="shared" si="10"/>
        <v>0</v>
      </c>
      <c r="K248" s="473">
        <f>finR2PNLLOB2Rev</f>
        <v>5682084.0000000009</v>
      </c>
      <c r="L248" s="473">
        <f>finR2PNLLOB2Rev</f>
        <v>4171464.0000000005</v>
      </c>
      <c r="M248" s="473">
        <f>finR2PNLLOB2Rev</f>
        <v>8277204.0000000009</v>
      </c>
      <c r="N248" s="8" t="s">
        <v>5766</v>
      </c>
      <c r="O248" s="131" t="b">
        <f t="shared" si="11"/>
        <v>0</v>
      </c>
    </row>
    <row r="249" spans="1:15">
      <c r="A249" s="332" t="s">
        <v>486</v>
      </c>
      <c r="E249" s="457">
        <f>cbalLOB2Rev/obalLOB2Rev-1</f>
        <v>2.4752971230853182E-2</v>
      </c>
      <c r="F249" s="457">
        <f>cbalLOB2Rev/obalLOB2Rev-1</f>
        <v>0</v>
      </c>
      <c r="G249" s="457">
        <f>cbalLOB2Rev/obalLOB2Rev-1</f>
        <v>0</v>
      </c>
      <c r="H249" s="8" t="s">
        <v>3319</v>
      </c>
      <c r="I249" s="131" t="b">
        <f t="shared" si="10"/>
        <v>0</v>
      </c>
      <c r="K249" s="457">
        <f>cbalR2LOB2Rev/obalR2LOB2Rev-1</f>
        <v>4.0316901988656673E-2</v>
      </c>
      <c r="L249" s="457">
        <f>cbalR2LOB2Rev/obalR2LOB2Rev-1</f>
        <v>0</v>
      </c>
      <c r="M249" s="457">
        <f>cbalR2LOB2Rev/obalR2LOB2Rev-1</f>
        <v>0</v>
      </c>
      <c r="N249" s="8" t="s">
        <v>5767</v>
      </c>
      <c r="O249" s="131" t="b">
        <f t="shared" si="11"/>
        <v>0</v>
      </c>
    </row>
    <row r="250" spans="1:15">
      <c r="A250" s="157" t="s">
        <v>488</v>
      </c>
      <c r="E250" s="507">
        <f>calcLOB2Stars</f>
        <v>0.6429999999999999</v>
      </c>
      <c r="F250" s="507">
        <f>calcLOB2Stars</f>
        <v>0.754</v>
      </c>
      <c r="G250" s="507">
        <f>calcLOB2Stars</f>
        <v>0.75369999999999993</v>
      </c>
      <c r="H250" s="8" t="s">
        <v>2811</v>
      </c>
      <c r="I250" s="131" t="b">
        <f t="shared" si="10"/>
        <v>0</v>
      </c>
      <c r="K250" s="507">
        <f>calcR2LOB2Stars</f>
        <v>0.64121040838303567</v>
      </c>
      <c r="L250" s="507">
        <f>calcR2LOB2Stars</f>
        <v>0.77300000000000002</v>
      </c>
      <c r="M250" s="507">
        <f>calcR2LOB2Stars</f>
        <v>0.74217663000649803</v>
      </c>
      <c r="N250" s="8" t="s">
        <v>5768</v>
      </c>
      <c r="O250" s="131" t="b">
        <f t="shared" si="11"/>
        <v>0</v>
      </c>
    </row>
    <row r="251" spans="1:15">
      <c r="A251" s="157" t="s">
        <v>489</v>
      </c>
      <c r="E251" s="506">
        <f>calcLOB2ESAT</f>
        <v>0.65</v>
      </c>
      <c r="F251" s="506">
        <f>calcLOB2ESAT</f>
        <v>0.71000000000000008</v>
      </c>
      <c r="G251" s="506">
        <f>calcLOB2ESAT</f>
        <v>0.70300000000000007</v>
      </c>
      <c r="H251" s="8" t="s">
        <v>2812</v>
      </c>
      <c r="I251" s="131" t="b">
        <f t="shared" si="10"/>
        <v>0</v>
      </c>
      <c r="K251" s="506">
        <f>calcR2LOB2ESAT</f>
        <v>0.64552602095758949</v>
      </c>
      <c r="L251" s="506">
        <f>calcR2LOB2ESAT</f>
        <v>0.77000000000000013</v>
      </c>
      <c r="M251" s="506">
        <f>calcR2LOB2ESAT</f>
        <v>0.70544157501624549</v>
      </c>
      <c r="N251" s="8" t="s">
        <v>5769</v>
      </c>
      <c r="O251" s="131" t="b">
        <f t="shared" si="11"/>
        <v>0</v>
      </c>
    </row>
    <row r="252" spans="1:15">
      <c r="A252" s="157" t="s">
        <v>490</v>
      </c>
      <c r="E252" s="506">
        <f>calcLOB2CSAT</f>
        <v>0.63729999999999987</v>
      </c>
      <c r="F252" s="506">
        <f>calcLOB2CSAT</f>
        <v>0.71339999999999992</v>
      </c>
      <c r="G252" s="506">
        <f>calcLOB2CSAT</f>
        <v>0.70877000000000001</v>
      </c>
      <c r="H252" s="8" t="s">
        <v>2813</v>
      </c>
      <c r="I252" s="131" t="b">
        <f t="shared" si="10"/>
        <v>0</v>
      </c>
      <c r="K252" s="506">
        <f>calcR2LOB2CSAT</f>
        <v>0.6357788471255803</v>
      </c>
      <c r="L252" s="506">
        <f>calcR2LOB2CSAT</f>
        <v>0.75329999999999997</v>
      </c>
      <c r="M252" s="506">
        <f>calcR2LOB2CSAT</f>
        <v>0.74585013550552337</v>
      </c>
      <c r="N252" s="8" t="s">
        <v>5770</v>
      </c>
      <c r="O252" s="131" t="b">
        <f t="shared" si="11"/>
        <v>0</v>
      </c>
    </row>
    <row r="253" spans="1:15">
      <c r="A253" s="332" t="s">
        <v>2984</v>
      </c>
      <c r="E253" s="506">
        <f>calcLOB2BDEngage</f>
        <v>0.8</v>
      </c>
      <c r="F253" s="506">
        <f>calcLOB2BDEngage</f>
        <v>0.8</v>
      </c>
      <c r="G253" s="506">
        <f>calcLOB2BDEngage</f>
        <v>0.79700000000000004</v>
      </c>
      <c r="H253" s="8" t="s">
        <v>3320</v>
      </c>
      <c r="I253" s="131" t="b">
        <f t="shared" si="10"/>
        <v>0</v>
      </c>
      <c r="K253" s="506">
        <f>calcR2LOB2BDEngage</f>
        <v>0.8</v>
      </c>
      <c r="L253" s="506">
        <f>calcR2LOB2BDEngage</f>
        <v>0.8</v>
      </c>
      <c r="M253" s="506">
        <f>calcR2LOB2BDEngage</f>
        <v>0.79400000000000004</v>
      </c>
      <c r="N253" s="8" t="s">
        <v>5771</v>
      </c>
      <c r="O253" s="131" t="b">
        <f t="shared" si="11"/>
        <v>0</v>
      </c>
    </row>
    <row r="254" spans="1:15">
      <c r="A254" s="157" t="s">
        <v>498</v>
      </c>
      <c r="E254" s="506">
        <f>calcLOB2DOOTotalPlanTime</f>
        <v>0.8</v>
      </c>
      <c r="F254" s="506">
        <f>calcLOB2DOOTotalPlanTime</f>
        <v>0.95000000000000007</v>
      </c>
      <c r="G254" s="506">
        <f>calcLOB2DOOTotalPlanTime</f>
        <v>1.03</v>
      </c>
      <c r="H254" s="8" t="s">
        <v>2814</v>
      </c>
      <c r="I254" s="131" t="b">
        <f t="shared" si="10"/>
        <v>0</v>
      </c>
      <c r="K254" s="506">
        <f>calcR2LOB2DOOTotalPlanTime</f>
        <v>0.748</v>
      </c>
      <c r="L254" s="506">
        <f>calcR2LOB2DOOTotalPlanTime</f>
        <v>0.95000000000000007</v>
      </c>
      <c r="M254" s="506">
        <f>calcR2LOB2DOOTotalPlanTime</f>
        <v>1.03</v>
      </c>
      <c r="N254" s="8" t="s">
        <v>5772</v>
      </c>
      <c r="O254" s="131" t="b">
        <f t="shared" si="11"/>
        <v>0</v>
      </c>
    </row>
    <row r="255" spans="1:15">
      <c r="A255" s="132" t="s">
        <v>4061</v>
      </c>
      <c r="E255" s="573">
        <f>obalLOB2AddFullTime</f>
        <v>12.25</v>
      </c>
      <c r="F255" s="573">
        <f>obalLOB2AddFullTime</f>
        <v>10</v>
      </c>
      <c r="G255" s="573">
        <f>obalLOB2AddFullTime</f>
        <v>16</v>
      </c>
      <c r="H255" s="8" t="s">
        <v>4129</v>
      </c>
      <c r="I255" s="131" t="b">
        <f t="shared" si="10"/>
        <v>0</v>
      </c>
      <c r="K255" s="573">
        <f>obalR2LOB2AddFullTime</f>
        <v>12.25</v>
      </c>
      <c r="L255" s="573">
        <f>obalR2LOB2AddFullTime</f>
        <v>10</v>
      </c>
      <c r="M255" s="573">
        <f>obalR2LOB2AddFullTime</f>
        <v>16</v>
      </c>
      <c r="N255" s="8" t="s">
        <v>5773</v>
      </c>
      <c r="O255" s="131" t="b">
        <f t="shared" si="11"/>
        <v>0</v>
      </c>
    </row>
    <row r="256" spans="1:15">
      <c r="A256" s="132" t="s">
        <v>4062</v>
      </c>
      <c r="E256" s="573">
        <f>obalLOB2AddPartTime</f>
        <v>5.25</v>
      </c>
      <c r="F256" s="573">
        <f>obalLOB2AddPartTime</f>
        <v>4</v>
      </c>
      <c r="G256" s="573">
        <f>obalLOB2AddPartTime</f>
        <v>8</v>
      </c>
      <c r="H256" s="8" t="s">
        <v>4130</v>
      </c>
      <c r="I256" s="131" t="b">
        <f t="shared" si="10"/>
        <v>0</v>
      </c>
      <c r="K256" s="573">
        <f>obalR2LOB2AddPartTime</f>
        <v>5.25</v>
      </c>
      <c r="L256" s="573">
        <f>obalR2LOB2AddPartTime</f>
        <v>4</v>
      </c>
      <c r="M256" s="573">
        <f>obalR2LOB2AddPartTime</f>
        <v>8</v>
      </c>
      <c r="N256" s="8" t="s">
        <v>5774</v>
      </c>
      <c r="O256" s="131" t="b">
        <f t="shared" si="11"/>
        <v>0</v>
      </c>
    </row>
    <row r="257" spans="1:15">
      <c r="A257" s="132" t="str">
        <f>nmDisc1 &amp; " Retention"</f>
        <v>RN Retention</v>
      </c>
      <c r="E257" s="506">
        <f>calcLOB2Disc1Retention</f>
        <v>0.95</v>
      </c>
      <c r="F257" s="506">
        <f>calcLOB2Disc1Retention</f>
        <v>1</v>
      </c>
      <c r="G257" s="506">
        <f>calcLOB2Disc1Retention</f>
        <v>1</v>
      </c>
      <c r="H257" s="8" t="s">
        <v>4613</v>
      </c>
      <c r="I257" s="131" t="b">
        <f t="shared" si="10"/>
        <v>0</v>
      </c>
      <c r="K257" s="506">
        <f>calcR2LOB2Disc1Retention</f>
        <v>0.94574971990970991</v>
      </c>
      <c r="L257" s="506">
        <f>calcR2LOB2Disc1Retention</f>
        <v>1</v>
      </c>
      <c r="M257" s="506">
        <f>calcR2LOB2Disc1Retention</f>
        <v>1</v>
      </c>
      <c r="N257" s="8" t="s">
        <v>5775</v>
      </c>
      <c r="O257" s="131" t="b">
        <f t="shared" si="11"/>
        <v>0</v>
      </c>
    </row>
    <row r="258" spans="1:15">
      <c r="A258" s="132" t="str">
        <f>nmDisc2 &amp; " Retention"</f>
        <v>LPN Retention</v>
      </c>
      <c r="E258" s="506">
        <f>calcLOB2Disc2Retention</f>
        <v>0.95</v>
      </c>
      <c r="F258" s="506">
        <f>calcLOB2Disc2Retention</f>
        <v>1</v>
      </c>
      <c r="G258" s="506">
        <f>calcLOB2Disc2Retention</f>
        <v>1</v>
      </c>
      <c r="H258" s="8" t="s">
        <v>4614</v>
      </c>
      <c r="I258" s="131" t="b">
        <f t="shared" si="10"/>
        <v>0</v>
      </c>
      <c r="K258" s="506">
        <f>calcR2LOB2Disc2Retention</f>
        <v>0.94574971990970991</v>
      </c>
      <c r="L258" s="506">
        <f>calcR2LOB2Disc2Retention</f>
        <v>1</v>
      </c>
      <c r="M258" s="506">
        <f>calcR2LOB2Disc2Retention</f>
        <v>1</v>
      </c>
      <c r="N258" s="8" t="s">
        <v>5776</v>
      </c>
      <c r="O258" s="131" t="b">
        <f t="shared" si="11"/>
        <v>0</v>
      </c>
    </row>
    <row r="259" spans="1:15">
      <c r="A259" s="132" t="str">
        <f>nmDisc3 &amp; " Retention"</f>
        <v>PT Retention</v>
      </c>
      <c r="E259" s="506">
        <f>calcLOB2Disc3Retention</f>
        <v>0.95</v>
      </c>
      <c r="F259" s="506">
        <f>calcLOB2Disc3Retention</f>
        <v>1</v>
      </c>
      <c r="G259" s="506">
        <f>calcLOB2Disc3Retention</f>
        <v>1</v>
      </c>
      <c r="H259" s="8" t="s">
        <v>4615</v>
      </c>
      <c r="I259" s="131" t="b">
        <f t="shared" si="10"/>
        <v>0</v>
      </c>
      <c r="K259" s="506">
        <f>calcR2LOB2Disc3Retention</f>
        <v>0.94574971990970991</v>
      </c>
      <c r="L259" s="506">
        <f>calcR2LOB2Disc3Retention</f>
        <v>1</v>
      </c>
      <c r="M259" s="506">
        <f>calcR2LOB2Disc3Retention</f>
        <v>1</v>
      </c>
      <c r="N259" s="8" t="s">
        <v>5777</v>
      </c>
      <c r="O259" s="131" t="b">
        <f t="shared" si="11"/>
        <v>0</v>
      </c>
    </row>
    <row r="260" spans="1:15">
      <c r="A260" s="132" t="str">
        <f>nmDisc4 &amp; " Retention"</f>
        <v>OT Retention</v>
      </c>
      <c r="E260" s="506">
        <f>calcLOB2Disc4Retention</f>
        <v>0.95</v>
      </c>
      <c r="F260" s="506">
        <f>calcLOB2Disc4Retention</f>
        <v>1</v>
      </c>
      <c r="G260" s="506">
        <f>calcLOB2Disc4Retention</f>
        <v>1</v>
      </c>
      <c r="H260" s="8" t="s">
        <v>4616</v>
      </c>
      <c r="I260" s="131" t="b">
        <f t="shared" si="10"/>
        <v>0</v>
      </c>
      <c r="K260" s="506">
        <f>calcR2LOB2Disc4Retention</f>
        <v>0.94574971990970991</v>
      </c>
      <c r="L260" s="506">
        <f>calcR2LOB2Disc4Retention</f>
        <v>1</v>
      </c>
      <c r="M260" s="506">
        <f>calcR2LOB2Disc4Retention</f>
        <v>1</v>
      </c>
      <c r="N260" s="8" t="s">
        <v>5778</v>
      </c>
      <c r="O260" s="131" t="b">
        <f t="shared" si="11"/>
        <v>0</v>
      </c>
    </row>
    <row r="261" spans="1:15">
      <c r="A261" s="132" t="s">
        <v>8370</v>
      </c>
      <c r="E261" s="506">
        <f>calcLOB2AvgUtilization</f>
        <v>1.0178959161696421</v>
      </c>
      <c r="F261" s="506">
        <f>calcLOB2AvgUtilization</f>
        <v>0.93991671420407119</v>
      </c>
      <c r="G261" s="506">
        <f>calcLOB2AvgUtilization</f>
        <v>1.2022336999350183</v>
      </c>
      <c r="H261" s="8" t="s">
        <v>8377</v>
      </c>
      <c r="I261" s="131" t="b">
        <f t="shared" si="10"/>
        <v>0</v>
      </c>
      <c r="K261" s="506">
        <f>calcR2LOB2AvgUtilization</f>
        <v>1.099903777870038</v>
      </c>
      <c r="L261" s="506">
        <f>calcR2LOB2AvgUtilization</f>
        <v>0.93991671420407119</v>
      </c>
      <c r="M261" s="506">
        <f>calcR2LOB2AvgUtilization</f>
        <v>1.2022336999350183</v>
      </c>
      <c r="N261" s="8" t="s">
        <v>8378</v>
      </c>
      <c r="O261" s="131" t="b">
        <f t="shared" si="11"/>
        <v>0</v>
      </c>
    </row>
    <row r="262" spans="1:15">
      <c r="A262" s="132"/>
      <c r="I262" s="131" t="b">
        <f t="shared" si="10"/>
        <v>1</v>
      </c>
      <c r="K262" s="159"/>
      <c r="L262" s="159"/>
      <c r="M262" s="159"/>
      <c r="O262" s="131" t="b">
        <f t="shared" si="11"/>
        <v>1</v>
      </c>
    </row>
    <row r="263" spans="1:15">
      <c r="A263" s="132" t="s">
        <v>498</v>
      </c>
      <c r="I263" s="131" t="b">
        <f t="shared" si="10"/>
        <v>1</v>
      </c>
      <c r="K263" s="159"/>
      <c r="L263" s="159"/>
      <c r="M263" s="159"/>
      <c r="O263" s="131" t="b">
        <f t="shared" si="11"/>
        <v>1</v>
      </c>
    </row>
    <row r="264" spans="1:15">
      <c r="A264" s="132" t="s">
        <v>561</v>
      </c>
      <c r="E264" s="457">
        <f>calcLOB2DOOPlanTime1</f>
        <v>0.8</v>
      </c>
      <c r="F264" s="457">
        <f>calcLOB2DOOPlanTime1</f>
        <v>0.9</v>
      </c>
      <c r="G264" s="457">
        <f>calcLOB2DOOPlanTime1</f>
        <v>0.95</v>
      </c>
      <c r="H264" s="63" t="s">
        <v>4617</v>
      </c>
      <c r="I264" s="131" t="b">
        <f t="shared" si="10"/>
        <v>0</v>
      </c>
      <c r="K264" s="457">
        <f>calcR2LOB2DOOPlanTime1</f>
        <v>0.748</v>
      </c>
      <c r="L264" s="457">
        <f>calcR2LOB2DOOPlanTime1</f>
        <v>0.9</v>
      </c>
      <c r="M264" s="457">
        <f>calcR2LOB2DOOPlanTime1</f>
        <v>0.95</v>
      </c>
      <c r="N264" s="63" t="s">
        <v>5779</v>
      </c>
      <c r="O264" s="131" t="b">
        <f t="shared" si="11"/>
        <v>0</v>
      </c>
    </row>
    <row r="265" spans="1:15">
      <c r="A265" s="132" t="s">
        <v>562</v>
      </c>
      <c r="E265" s="457">
        <f>calcLOB2DOOPlanTime2</f>
        <v>0</v>
      </c>
      <c r="F265" s="457">
        <f>calcLOB2DOOPlanTime2</f>
        <v>0</v>
      </c>
      <c r="G265" s="457">
        <f>calcLOB2DOOPlanTime2</f>
        <v>0</v>
      </c>
      <c r="H265" s="63" t="s">
        <v>4618</v>
      </c>
      <c r="I265" s="131" t="b">
        <f t="shared" si="10"/>
        <v>1</v>
      </c>
      <c r="K265" s="457">
        <f>calcR2LOB2DOOPlanTime2</f>
        <v>0</v>
      </c>
      <c r="L265" s="457">
        <f>calcR2LOB2DOOPlanTime2</f>
        <v>0</v>
      </c>
      <c r="M265" s="457">
        <f>calcR2LOB2DOOPlanTime2</f>
        <v>0</v>
      </c>
      <c r="N265" s="63" t="s">
        <v>5780</v>
      </c>
      <c r="O265" s="131" t="b">
        <f t="shared" si="11"/>
        <v>1</v>
      </c>
    </row>
    <row r="266" spans="1:15">
      <c r="A266" s="132" t="s">
        <v>563</v>
      </c>
      <c r="E266" s="457">
        <f>calcLOB2DOOPlanTime3</f>
        <v>0</v>
      </c>
      <c r="F266" s="457">
        <f>calcLOB2DOOPlanTime3</f>
        <v>0.05</v>
      </c>
      <c r="G266" s="457">
        <f>calcLOB2DOOPlanTime3</f>
        <v>0.08</v>
      </c>
      <c r="H266" s="63" t="s">
        <v>4619</v>
      </c>
      <c r="I266" s="131" t="b">
        <f t="shared" si="10"/>
        <v>0</v>
      </c>
      <c r="K266" s="457">
        <f>calcR2LOB2DOOPlanTime3</f>
        <v>0</v>
      </c>
      <c r="L266" s="457">
        <f>calcR2LOB2DOOPlanTime3</f>
        <v>0.05</v>
      </c>
      <c r="M266" s="457">
        <f>calcR2LOB2DOOPlanTime3</f>
        <v>0.08</v>
      </c>
      <c r="N266" s="63" t="s">
        <v>5781</v>
      </c>
      <c r="O266" s="131" t="b">
        <f t="shared" si="11"/>
        <v>0</v>
      </c>
    </row>
    <row r="267" spans="1:15">
      <c r="A267" s="132" t="s">
        <v>564</v>
      </c>
      <c r="E267" s="457">
        <f>calcLOB2DOOPlanTime4</f>
        <v>0</v>
      </c>
      <c r="F267" s="457">
        <f>calcLOB2DOOPlanTime4</f>
        <v>0</v>
      </c>
      <c r="G267" s="457">
        <f>calcLOB2DOOPlanTime4</f>
        <v>0</v>
      </c>
      <c r="H267" s="63" t="s">
        <v>4620</v>
      </c>
      <c r="I267" s="131" t="b">
        <f t="shared" si="10"/>
        <v>1</v>
      </c>
      <c r="K267" s="457">
        <f>calcR2LOB2DOOPlanTime4</f>
        <v>0</v>
      </c>
      <c r="L267" s="457">
        <f>calcR2LOB2DOOPlanTime4</f>
        <v>0</v>
      </c>
      <c r="M267" s="457">
        <f>calcR2LOB2DOOPlanTime4</f>
        <v>0</v>
      </c>
      <c r="N267" s="63" t="s">
        <v>5782</v>
      </c>
      <c r="O267" s="131" t="b">
        <f t="shared" si="11"/>
        <v>1</v>
      </c>
    </row>
    <row r="268" spans="1:15">
      <c r="A268" s="132" t="s">
        <v>565</v>
      </c>
      <c r="E268" s="457">
        <f>calcLOB2DOOPlanTime5</f>
        <v>0</v>
      </c>
      <c r="F268" s="457">
        <f>calcLOB2DOOPlanTime5</f>
        <v>0</v>
      </c>
      <c r="G268" s="457">
        <f>calcLOB2DOOPlanTime5</f>
        <v>0</v>
      </c>
      <c r="H268" s="63" t="s">
        <v>4621</v>
      </c>
      <c r="I268" s="131" t="b">
        <f t="shared" si="10"/>
        <v>1</v>
      </c>
      <c r="K268" s="457">
        <f>calcR2LOB2DOOPlanTime5</f>
        <v>0</v>
      </c>
      <c r="L268" s="457">
        <f>calcR2LOB2DOOPlanTime5</f>
        <v>0</v>
      </c>
      <c r="M268" s="457">
        <f>calcR2LOB2DOOPlanTime5</f>
        <v>0</v>
      </c>
      <c r="N268" s="63" t="s">
        <v>5783</v>
      </c>
      <c r="O268" s="131" t="b">
        <f t="shared" si="11"/>
        <v>1</v>
      </c>
    </row>
    <row r="269" spans="1:15">
      <c r="A269" s="132" t="s">
        <v>566</v>
      </c>
      <c r="E269" s="457">
        <f>calcLOB2DOOPlanTime6</f>
        <v>0</v>
      </c>
      <c r="F269" s="457">
        <f>calcLOB2DOOPlanTime6</f>
        <v>0</v>
      </c>
      <c r="G269" s="457">
        <f>calcLOB2DOOPlanTime6</f>
        <v>0</v>
      </c>
      <c r="H269" s="63" t="s">
        <v>4622</v>
      </c>
      <c r="I269" s="131" t="b">
        <f t="shared" si="10"/>
        <v>1</v>
      </c>
      <c r="K269" s="457">
        <f>calcR2LOB2DOOPlanTime6</f>
        <v>0</v>
      </c>
      <c r="L269" s="457">
        <f>calcR2LOB2DOOPlanTime6</f>
        <v>0</v>
      </c>
      <c r="M269" s="457">
        <f>calcR2LOB2DOOPlanTime6</f>
        <v>0</v>
      </c>
      <c r="N269" s="63" t="s">
        <v>5784</v>
      </c>
      <c r="O269" s="131" t="b">
        <f t="shared" si="11"/>
        <v>1</v>
      </c>
    </row>
    <row r="270" spans="1:15">
      <c r="A270" s="132" t="s">
        <v>13</v>
      </c>
      <c r="E270" s="457">
        <f>calcLOB2DOOTotalPlanTime</f>
        <v>0.8</v>
      </c>
      <c r="F270" s="457">
        <f>calcLOB2DOOTotalPlanTime</f>
        <v>0.95000000000000007</v>
      </c>
      <c r="G270" s="457">
        <f>calcLOB2DOOTotalPlanTime</f>
        <v>1.03</v>
      </c>
      <c r="H270" s="131" t="s">
        <v>4623</v>
      </c>
      <c r="I270" s="131" t="b">
        <f t="shared" si="10"/>
        <v>0</v>
      </c>
      <c r="K270" s="457">
        <f>calcR2LOB2DOOTotalPlanTime</f>
        <v>0.748</v>
      </c>
      <c r="L270" s="457">
        <f>calcR2LOB2DOOTotalPlanTime</f>
        <v>0.95000000000000007</v>
      </c>
      <c r="M270" s="457">
        <f>calcR2LOB2DOOTotalPlanTime</f>
        <v>1.03</v>
      </c>
      <c r="N270" s="131" t="s">
        <v>5785</v>
      </c>
      <c r="O270" s="131" t="b">
        <f t="shared" si="11"/>
        <v>0</v>
      </c>
    </row>
    <row r="271" spans="1:15">
      <c r="A271" s="132"/>
      <c r="I271" s="131" t="b">
        <f t="shared" si="10"/>
        <v>1</v>
      </c>
      <c r="K271" s="159"/>
      <c r="L271" s="159"/>
      <c r="M271" s="159"/>
      <c r="O271" s="131" t="b">
        <f t="shared" si="11"/>
        <v>1</v>
      </c>
    </row>
    <row r="272" spans="1:15">
      <c r="A272" s="76" t="s">
        <v>1496</v>
      </c>
      <c r="D272" s="8"/>
      <c r="E272" s="464"/>
      <c r="F272" s="464"/>
      <c r="G272" s="464"/>
      <c r="I272" s="131" t="b">
        <f t="shared" si="10"/>
        <v>1</v>
      </c>
      <c r="K272" s="464"/>
      <c r="L272" s="464"/>
      <c r="M272" s="464"/>
      <c r="O272" s="131" t="b">
        <f t="shared" si="11"/>
        <v>1</v>
      </c>
    </row>
    <row r="273" spans="1:15">
      <c r="A273" s="76" t="s">
        <v>595</v>
      </c>
      <c r="D273" s="63">
        <v>1</v>
      </c>
      <c r="E273" s="474" t="str">
        <f>obalLOB2DiscClinician1</f>
        <v>RN</v>
      </c>
      <c r="F273" s="474" t="str">
        <f>obalLOB2DiscClinician1</f>
        <v>RN</v>
      </c>
      <c r="G273" s="474" t="str">
        <f>obalLOB2DiscClinician1</f>
        <v>RN</v>
      </c>
      <c r="H273" s="8" t="s">
        <v>2162</v>
      </c>
      <c r="I273" s="131" t="b">
        <f t="shared" si="10"/>
        <v>1</v>
      </c>
      <c r="J273" s="63">
        <v>1</v>
      </c>
      <c r="K273" s="474" t="str">
        <f>obalR2LOB2DiscClinician1</f>
        <v>RN</v>
      </c>
      <c r="L273" s="474" t="str">
        <f>obalR2LOB2DiscClinician1</f>
        <v>RN</v>
      </c>
      <c r="M273" s="474" t="str">
        <f>obalR2LOB2DiscClinician1</f>
        <v>RN</v>
      </c>
      <c r="N273" s="8" t="s">
        <v>5786</v>
      </c>
      <c r="O273" s="131" t="b">
        <f t="shared" si="11"/>
        <v>1</v>
      </c>
    </row>
    <row r="274" spans="1:15">
      <c r="A274" s="76" t="s">
        <v>596</v>
      </c>
      <c r="D274" s="63">
        <v>2</v>
      </c>
      <c r="E274" s="474" t="str">
        <f>obalLOB2DiscClinician2</f>
        <v>RN</v>
      </c>
      <c r="F274" s="474" t="str">
        <f>obalLOB2DiscClinician2</f>
        <v>RN</v>
      </c>
      <c r="G274" s="474" t="str">
        <f>obalLOB2DiscClinician2</f>
        <v>RN</v>
      </c>
      <c r="H274" s="8" t="s">
        <v>2163</v>
      </c>
      <c r="I274" s="131" t="b">
        <f t="shared" si="10"/>
        <v>1</v>
      </c>
      <c r="J274" s="63">
        <v>2</v>
      </c>
      <c r="K274" s="474" t="str">
        <f>obalR2LOB2DiscClinician2</f>
        <v>RN</v>
      </c>
      <c r="L274" s="474" t="str">
        <f>obalR2LOB2DiscClinician2</f>
        <v>RN</v>
      </c>
      <c r="M274" s="474" t="str">
        <f>obalR2LOB2DiscClinician2</f>
        <v>RN</v>
      </c>
      <c r="N274" s="8" t="s">
        <v>5787</v>
      </c>
      <c r="O274" s="131" t="b">
        <f t="shared" si="11"/>
        <v>1</v>
      </c>
    </row>
    <row r="275" spans="1:15">
      <c r="A275" s="76" t="s">
        <v>597</v>
      </c>
      <c r="D275" s="63">
        <v>3</v>
      </c>
      <c r="E275" s="474" t="str">
        <f>obalLOB2DiscClinician3</f>
        <v>RN</v>
      </c>
      <c r="F275" s="474" t="str">
        <f>obalLOB2DiscClinician3</f>
        <v>RN</v>
      </c>
      <c r="G275" s="474" t="str">
        <f>obalLOB2DiscClinician3</f>
        <v>RN</v>
      </c>
      <c r="H275" s="8" t="s">
        <v>2164</v>
      </c>
      <c r="I275" s="131" t="b">
        <f t="shared" si="10"/>
        <v>1</v>
      </c>
      <c r="J275" s="63">
        <v>3</v>
      </c>
      <c r="K275" s="474" t="str">
        <f>obalR2LOB2DiscClinician3</f>
        <v>RN</v>
      </c>
      <c r="L275" s="474" t="str">
        <f>obalR2LOB2DiscClinician3</f>
        <v>RN</v>
      </c>
      <c r="M275" s="474" t="str">
        <f>obalR2LOB2DiscClinician3</f>
        <v>RN</v>
      </c>
      <c r="N275" s="8" t="s">
        <v>5788</v>
      </c>
      <c r="O275" s="131" t="b">
        <f t="shared" si="11"/>
        <v>1</v>
      </c>
    </row>
    <row r="276" spans="1:15">
      <c r="A276" s="76" t="s">
        <v>598</v>
      </c>
      <c r="D276" s="8">
        <v>4</v>
      </c>
      <c r="E276" s="474" t="str">
        <f>obalLOB2DiscClinician4</f>
        <v>RN</v>
      </c>
      <c r="F276" s="474" t="str">
        <f>obalLOB2DiscClinician4</f>
        <v>RN</v>
      </c>
      <c r="G276" s="474" t="str">
        <f>obalLOB2DiscClinician4</f>
        <v>RN</v>
      </c>
      <c r="H276" s="8" t="s">
        <v>2165</v>
      </c>
      <c r="I276" s="131" t="b">
        <f t="shared" si="10"/>
        <v>1</v>
      </c>
      <c r="J276" s="8">
        <v>4</v>
      </c>
      <c r="K276" s="474" t="str">
        <f>obalR2LOB2DiscClinician4</f>
        <v>RN</v>
      </c>
      <c r="L276" s="474" t="str">
        <f>obalR2LOB2DiscClinician4</f>
        <v>RN</v>
      </c>
      <c r="M276" s="474" t="str">
        <f>obalR2LOB2DiscClinician4</f>
        <v>RN</v>
      </c>
      <c r="N276" s="8" t="s">
        <v>5789</v>
      </c>
      <c r="O276" s="131" t="b">
        <f t="shared" si="11"/>
        <v>1</v>
      </c>
    </row>
    <row r="277" spans="1:15">
      <c r="A277" s="76" t="s">
        <v>599</v>
      </c>
      <c r="D277" s="8">
        <v>5</v>
      </c>
      <c r="E277" s="474" t="str">
        <f>obalLOB2DiscClinician5</f>
        <v>LPN</v>
      </c>
      <c r="F277" s="474" t="str">
        <f>obalLOB2DiscClinician5</f>
        <v>LPN</v>
      </c>
      <c r="G277" s="474" t="str">
        <f>obalLOB2DiscClinician5</f>
        <v>LPN</v>
      </c>
      <c r="H277" s="8" t="s">
        <v>2166</v>
      </c>
      <c r="I277" s="131" t="b">
        <f t="shared" si="10"/>
        <v>1</v>
      </c>
      <c r="J277" s="8">
        <v>5</v>
      </c>
      <c r="K277" s="474" t="str">
        <f>obalR2LOB2DiscClinician5</f>
        <v>LPN</v>
      </c>
      <c r="L277" s="474" t="str">
        <f>obalR2LOB2DiscClinician5</f>
        <v>LPN</v>
      </c>
      <c r="M277" s="474" t="str">
        <f>obalR2LOB2DiscClinician5</f>
        <v>LPN</v>
      </c>
      <c r="N277" s="8" t="s">
        <v>5790</v>
      </c>
      <c r="O277" s="131" t="b">
        <f t="shared" si="11"/>
        <v>1</v>
      </c>
    </row>
    <row r="278" spans="1:15">
      <c r="A278" s="76" t="s">
        <v>600</v>
      </c>
      <c r="D278" s="8">
        <v>6</v>
      </c>
      <c r="E278" s="474" t="str">
        <f>obalLOB2DiscClinician6</f>
        <v>LPN</v>
      </c>
      <c r="F278" s="474" t="str">
        <f>obalLOB2DiscClinician6</f>
        <v>LPN</v>
      </c>
      <c r="G278" s="474" t="str">
        <f>obalLOB2DiscClinician6</f>
        <v>LPN</v>
      </c>
      <c r="H278" s="8" t="s">
        <v>2167</v>
      </c>
      <c r="I278" s="131" t="b">
        <f t="shared" si="10"/>
        <v>1</v>
      </c>
      <c r="J278" s="8">
        <v>6</v>
      </c>
      <c r="K278" s="474" t="str">
        <f>obalR2LOB2DiscClinician6</f>
        <v>LPN</v>
      </c>
      <c r="L278" s="474" t="str">
        <f>obalR2LOB2DiscClinician6</f>
        <v>LPN</v>
      </c>
      <c r="M278" s="474" t="str">
        <f>obalR2LOB2DiscClinician6</f>
        <v>LPN</v>
      </c>
      <c r="N278" s="8" t="s">
        <v>5791</v>
      </c>
      <c r="O278" s="131" t="b">
        <f t="shared" si="11"/>
        <v>1</v>
      </c>
    </row>
    <row r="279" spans="1:15">
      <c r="A279" s="76" t="s">
        <v>601</v>
      </c>
      <c r="D279" s="63">
        <v>7</v>
      </c>
      <c r="E279" s="474" t="str">
        <f>obalLOB2DiscClinician7</f>
        <v>PTA</v>
      </c>
      <c r="F279" s="474" t="str">
        <f>obalLOB2DiscClinician7</f>
        <v>PTA</v>
      </c>
      <c r="G279" s="474" t="str">
        <f>obalLOB2DiscClinician7</f>
        <v>PTA</v>
      </c>
      <c r="H279" s="8" t="s">
        <v>2168</v>
      </c>
      <c r="I279" s="131" t="b">
        <f t="shared" si="10"/>
        <v>1</v>
      </c>
      <c r="J279" s="63">
        <v>7</v>
      </c>
      <c r="K279" s="474" t="str">
        <f>obalR2LOB2DiscClinician7</f>
        <v>PTA</v>
      </c>
      <c r="L279" s="474" t="str">
        <f>obalR2LOB2DiscClinician7</f>
        <v>PTA</v>
      </c>
      <c r="M279" s="474" t="str">
        <f>obalR2LOB2DiscClinician7</f>
        <v>PTA</v>
      </c>
      <c r="N279" s="8" t="s">
        <v>5792</v>
      </c>
      <c r="O279" s="131" t="b">
        <f t="shared" si="11"/>
        <v>1</v>
      </c>
    </row>
    <row r="280" spans="1:15">
      <c r="A280" s="76" t="s">
        <v>602</v>
      </c>
      <c r="D280" s="63">
        <v>8</v>
      </c>
      <c r="E280" s="474" t="str">
        <f>obalLOB2DiscClinician8</f>
        <v>PT</v>
      </c>
      <c r="F280" s="474" t="str">
        <f>obalLOB2DiscClinician8</f>
        <v>PT</v>
      </c>
      <c r="G280" s="474" t="str">
        <f>obalLOB2DiscClinician8</f>
        <v>PT</v>
      </c>
      <c r="H280" s="8" t="s">
        <v>2169</v>
      </c>
      <c r="I280" s="131" t="b">
        <f t="shared" si="10"/>
        <v>1</v>
      </c>
      <c r="J280" s="63">
        <v>8</v>
      </c>
      <c r="K280" s="474" t="str">
        <f>obalR2LOB2DiscClinician8</f>
        <v>PT</v>
      </c>
      <c r="L280" s="474" t="str">
        <f>obalR2LOB2DiscClinician8</f>
        <v>PT</v>
      </c>
      <c r="M280" s="474" t="str">
        <f>obalR2LOB2DiscClinician8</f>
        <v>PT</v>
      </c>
      <c r="N280" s="8" t="s">
        <v>5793</v>
      </c>
      <c r="O280" s="131" t="b">
        <f t="shared" si="11"/>
        <v>1</v>
      </c>
    </row>
    <row r="281" spans="1:15">
      <c r="A281" s="76" t="s">
        <v>603</v>
      </c>
      <c r="D281" s="63">
        <v>9</v>
      </c>
      <c r="E281" s="474" t="str">
        <f>obalLOB2DiscClinician9</f>
        <v>PT</v>
      </c>
      <c r="F281" s="474" t="str">
        <f>obalLOB2DiscClinician9</f>
        <v>PT</v>
      </c>
      <c r="G281" s="474" t="str">
        <f>obalLOB2DiscClinician9</f>
        <v>PT</v>
      </c>
      <c r="H281" s="8" t="s">
        <v>2170</v>
      </c>
      <c r="I281" s="131" t="b">
        <f t="shared" si="10"/>
        <v>1</v>
      </c>
      <c r="J281" s="63">
        <v>9</v>
      </c>
      <c r="K281" s="474" t="str">
        <f>obalR2LOB2DiscClinician9</f>
        <v>PT</v>
      </c>
      <c r="L281" s="474" t="str">
        <f>obalR2LOB2DiscClinician9</f>
        <v>PT</v>
      </c>
      <c r="M281" s="474" t="str">
        <f>obalR2LOB2DiscClinician9</f>
        <v>PT</v>
      </c>
      <c r="N281" s="8" t="s">
        <v>5794</v>
      </c>
      <c r="O281" s="131" t="b">
        <f t="shared" si="11"/>
        <v>1</v>
      </c>
    </row>
    <row r="282" spans="1:15">
      <c r="A282" s="76" t="s">
        <v>604</v>
      </c>
      <c r="D282" s="8">
        <v>10</v>
      </c>
      <c r="E282" s="474" t="str">
        <f>obalLOB2DiscClinician10</f>
        <v>OT</v>
      </c>
      <c r="F282" s="474" t="str">
        <f>obalLOB2DiscClinician10</f>
        <v>OT</v>
      </c>
      <c r="G282" s="474" t="str">
        <f>obalLOB2DiscClinician10</f>
        <v>OT</v>
      </c>
      <c r="H282" s="8" t="s">
        <v>2171</v>
      </c>
      <c r="I282" s="131" t="b">
        <f t="shared" ref="I282:I353" si="12">MAX(E282:G282)=MIN(E282:G282)</f>
        <v>1</v>
      </c>
      <c r="J282" s="8">
        <v>10</v>
      </c>
      <c r="K282" s="474" t="str">
        <f>obalR2LOB2DiscClinician10</f>
        <v>OT</v>
      </c>
      <c r="L282" s="474" t="str">
        <f>obalR2LOB2DiscClinician10</f>
        <v>OT</v>
      </c>
      <c r="M282" s="474" t="str">
        <f>obalR2LOB2DiscClinician10</f>
        <v>OT</v>
      </c>
      <c r="N282" s="8" t="s">
        <v>5795</v>
      </c>
      <c r="O282" s="131" t="b">
        <f t="shared" ref="O282:O353" si="13">MAX(K282:M282)=MIN(K282:M282)</f>
        <v>1</v>
      </c>
    </row>
    <row r="283" spans="1:15">
      <c r="A283" s="76" t="s">
        <v>1497</v>
      </c>
      <c r="D283" s="8">
        <v>11</v>
      </c>
      <c r="E283" s="474">
        <f>VLOOKUP(calcLOB2Clinician11LookupValue,dataTableCC2Staff,2,FALSE)</f>
        <v>0</v>
      </c>
      <c r="F283" s="474">
        <f>VLOOKUP(calcLOB2Clinician11LookupValue,dataTableCC2Staff,2,FALSE)</f>
        <v>0</v>
      </c>
      <c r="G283" s="474">
        <f>VLOOKUP(calcLOB2Clinician11LookupValue,dataTableCC2Staff,2,FALSE)</f>
        <v>0</v>
      </c>
      <c r="H283" s="8" t="s">
        <v>2172</v>
      </c>
      <c r="I283" s="131" t="b">
        <f t="shared" si="12"/>
        <v>1</v>
      </c>
      <c r="J283" s="8">
        <v>11</v>
      </c>
      <c r="K283" s="474">
        <f>VLOOKUP(calcR2LOB2Clinician11LookupValue,dataTableCC2Staff,2,FALSE)</f>
        <v>0</v>
      </c>
      <c r="L283" s="474">
        <f>VLOOKUP(calcR2LOB2Clinician11LookupValue,dataTableCC2Staff,2,FALSE)</f>
        <v>0</v>
      </c>
      <c r="M283" s="474">
        <f>VLOOKUP(calcR2LOB2Clinician11LookupValue,dataTableCC2Staff,2,FALSE)</f>
        <v>0</v>
      </c>
      <c r="N283" s="8" t="s">
        <v>5796</v>
      </c>
      <c r="O283" s="131" t="b">
        <f t="shared" si="13"/>
        <v>1</v>
      </c>
    </row>
    <row r="284" spans="1:15">
      <c r="A284" s="76" t="s">
        <v>1498</v>
      </c>
      <c r="D284" s="63">
        <v>12</v>
      </c>
      <c r="E284" s="474">
        <f>VLOOKUP(calcLOB2Clinician12LookupValue,dataTableCC2Staff,2,FALSE)</f>
        <v>0</v>
      </c>
      <c r="F284" s="474">
        <f>VLOOKUP(calcLOB2Clinician12LookupValue,dataTableCC2Staff,2,FALSE)</f>
        <v>0</v>
      </c>
      <c r="G284" s="474">
        <f>VLOOKUP(calcLOB2Clinician12LookupValue,dataTableCC2Staff,2,FALSE)</f>
        <v>0</v>
      </c>
      <c r="H284" s="8" t="s">
        <v>2173</v>
      </c>
      <c r="I284" s="131" t="b">
        <f t="shared" si="12"/>
        <v>1</v>
      </c>
      <c r="J284" s="63">
        <v>12</v>
      </c>
      <c r="K284" s="474">
        <f>VLOOKUP(calcR2LOB2Clinician12LookupValue,dataTableCC2Staff,2,FALSE)</f>
        <v>0</v>
      </c>
      <c r="L284" s="474">
        <f>VLOOKUP(calcR2LOB2Clinician12LookupValue,dataTableCC2Staff,2,FALSE)</f>
        <v>0</v>
      </c>
      <c r="M284" s="474">
        <f>VLOOKUP(calcR2LOB2Clinician12LookupValue,dataTableCC2Staff,2,FALSE)</f>
        <v>0</v>
      </c>
      <c r="N284" s="8" t="s">
        <v>5797</v>
      </c>
      <c r="O284" s="131" t="b">
        <f t="shared" si="13"/>
        <v>1</v>
      </c>
    </row>
    <row r="285" spans="1:15">
      <c r="A285" s="76" t="s">
        <v>3998</v>
      </c>
      <c r="D285" s="63">
        <v>19</v>
      </c>
      <c r="E285" s="8" t="str">
        <f>obalLOB2DiscClinician13</f>
        <v>RN</v>
      </c>
      <c r="F285" s="8" t="str">
        <f>obalLOB2DiscClinician13</f>
        <v>RN</v>
      </c>
      <c r="G285" s="8" t="str">
        <f>obalLOB2DiscClinician13</f>
        <v>RN</v>
      </c>
      <c r="H285" s="8" t="s">
        <v>4067</v>
      </c>
      <c r="I285" s="131" t="b">
        <f t="shared" si="12"/>
        <v>1</v>
      </c>
      <c r="J285" s="63">
        <v>19</v>
      </c>
      <c r="K285" s="8" t="str">
        <f>obalR2LOB2DiscClinician13</f>
        <v>RN</v>
      </c>
      <c r="L285" s="8" t="str">
        <f>obalR2LOB2DiscClinician13</f>
        <v>RN</v>
      </c>
      <c r="M285" s="8" t="str">
        <f>obalR2LOB2DiscClinician13</f>
        <v>RN</v>
      </c>
      <c r="N285" s="8" t="s">
        <v>5798</v>
      </c>
      <c r="O285" s="131" t="b">
        <f t="shared" si="13"/>
        <v>1</v>
      </c>
    </row>
    <row r="286" spans="1:15">
      <c r="A286" s="76" t="s">
        <v>3999</v>
      </c>
      <c r="D286" s="63">
        <v>20</v>
      </c>
      <c r="E286" s="8" t="str">
        <f>obalLOB2DiscClinician14</f>
        <v>LPN</v>
      </c>
      <c r="F286" s="8" t="str">
        <f>obalLOB2DiscClinician14</f>
        <v>LPN</v>
      </c>
      <c r="G286" s="8" t="str">
        <f>obalLOB2DiscClinician14</f>
        <v>LPN</v>
      </c>
      <c r="H286" s="8" t="s">
        <v>4068</v>
      </c>
      <c r="I286" s="131" t="b">
        <f t="shared" si="12"/>
        <v>1</v>
      </c>
      <c r="J286" s="63">
        <v>20</v>
      </c>
      <c r="K286" s="8" t="str">
        <f>obalR2LOB2DiscClinician14</f>
        <v>LPN</v>
      </c>
      <c r="L286" s="8" t="str">
        <f>obalR2LOB2DiscClinician14</f>
        <v>LPN</v>
      </c>
      <c r="M286" s="8" t="str">
        <f>obalR2LOB2DiscClinician14</f>
        <v>LPN</v>
      </c>
      <c r="N286" s="8" t="s">
        <v>5799</v>
      </c>
      <c r="O286" s="131" t="b">
        <f t="shared" si="13"/>
        <v>1</v>
      </c>
    </row>
    <row r="287" spans="1:15">
      <c r="A287" s="76" t="s">
        <v>4000</v>
      </c>
      <c r="D287" s="63">
        <v>21</v>
      </c>
      <c r="E287" s="8" t="str">
        <f>obalLOB2DiscClinician15</f>
        <v>PT</v>
      </c>
      <c r="F287" s="8" t="str">
        <f>obalLOB2DiscClinician15</f>
        <v>PT</v>
      </c>
      <c r="G287" s="8" t="str">
        <f>obalLOB2DiscClinician15</f>
        <v>PT</v>
      </c>
      <c r="H287" s="8" t="s">
        <v>4069</v>
      </c>
      <c r="I287" s="131" t="b">
        <f t="shared" si="12"/>
        <v>1</v>
      </c>
      <c r="J287" s="63">
        <v>21</v>
      </c>
      <c r="K287" s="8" t="str">
        <f>obalR2LOB2DiscClinician15</f>
        <v>PT</v>
      </c>
      <c r="L287" s="8" t="str">
        <f>obalR2LOB2DiscClinician15</f>
        <v>PT</v>
      </c>
      <c r="M287" s="8" t="str">
        <f>obalR2LOB2DiscClinician15</f>
        <v>PT</v>
      </c>
      <c r="N287" s="8" t="s">
        <v>5800</v>
      </c>
      <c r="O287" s="131" t="b">
        <f t="shared" si="13"/>
        <v>1</v>
      </c>
    </row>
    <row r="288" spans="1:15">
      <c r="A288" s="76" t="s">
        <v>4001</v>
      </c>
      <c r="D288" s="63">
        <v>22</v>
      </c>
      <c r="E288" s="8" t="str">
        <f>obalLOB2DiscClinician16</f>
        <v>OT</v>
      </c>
      <c r="F288" s="8" t="str">
        <f>obalLOB2DiscClinician16</f>
        <v>OT</v>
      </c>
      <c r="G288" s="8" t="str">
        <f>obalLOB2DiscClinician16</f>
        <v>OT</v>
      </c>
      <c r="H288" s="8" t="s">
        <v>4070</v>
      </c>
      <c r="I288" s="131" t="b">
        <f t="shared" si="12"/>
        <v>1</v>
      </c>
      <c r="J288" s="63">
        <v>22</v>
      </c>
      <c r="K288" s="8" t="str">
        <f>obalR2LOB2DiscClinician16</f>
        <v>OT</v>
      </c>
      <c r="L288" s="8" t="str">
        <f>obalR2LOB2DiscClinician16</f>
        <v>OT</v>
      </c>
      <c r="M288" s="8" t="str">
        <f>obalR2LOB2DiscClinician16</f>
        <v>OT</v>
      </c>
      <c r="N288" s="8" t="s">
        <v>5801</v>
      </c>
      <c r="O288" s="131" t="b">
        <f t="shared" si="13"/>
        <v>1</v>
      </c>
    </row>
    <row r="289" spans="1:15">
      <c r="A289" s="76"/>
      <c r="E289" s="464"/>
      <c r="F289" s="464"/>
      <c r="G289" s="464"/>
      <c r="I289" s="131" t="b">
        <f t="shared" si="12"/>
        <v>1</v>
      </c>
      <c r="K289" s="464"/>
      <c r="L289" s="464"/>
      <c r="M289" s="464"/>
      <c r="O289" s="131" t="b">
        <f t="shared" si="13"/>
        <v>1</v>
      </c>
    </row>
    <row r="290" spans="1:15">
      <c r="A290" s="76" t="s">
        <v>1525</v>
      </c>
      <c r="I290" s="131" t="b">
        <f t="shared" si="12"/>
        <v>1</v>
      </c>
      <c r="K290" s="159"/>
      <c r="L290" s="159"/>
      <c r="M290" s="159"/>
      <c r="O290" s="131" t="b">
        <f t="shared" si="13"/>
        <v>1</v>
      </c>
    </row>
    <row r="291" spans="1:15">
      <c r="A291" s="76" t="s">
        <v>595</v>
      </c>
      <c r="D291" s="63">
        <v>1</v>
      </c>
      <c r="E291" s="424" t="str">
        <f>obalLOB2EmpStatClinician1</f>
        <v>Full-Time</v>
      </c>
      <c r="F291" s="424" t="str">
        <f>obalLOB2EmpStatClinician1</f>
        <v>Full-Time</v>
      </c>
      <c r="G291" s="424" t="str">
        <f>obalLOB2EmpStatClinician1</f>
        <v>Full-Time</v>
      </c>
      <c r="H291" s="8" t="s">
        <v>2174</v>
      </c>
      <c r="I291" s="131" t="b">
        <f t="shared" si="12"/>
        <v>1</v>
      </c>
      <c r="K291" s="424" t="str">
        <f>obalR2LOB2EmpStatClinician1</f>
        <v>Full-Time</v>
      </c>
      <c r="L291" s="424" t="str">
        <f>obalR2LOB2EmpStatClinician1</f>
        <v>Full-Time</v>
      </c>
      <c r="M291" s="424" t="str">
        <f>obalR2LOB2EmpStatClinician1</f>
        <v>Full-Time</v>
      </c>
      <c r="N291" s="8" t="s">
        <v>5802</v>
      </c>
      <c r="O291" s="131" t="b">
        <f t="shared" si="13"/>
        <v>1</v>
      </c>
    </row>
    <row r="292" spans="1:15">
      <c r="A292" s="76" t="s">
        <v>596</v>
      </c>
      <c r="D292" s="63">
        <v>2</v>
      </c>
      <c r="E292" s="424" t="str">
        <f>obalLOB2EmpStatClinician2</f>
        <v>Full-Time</v>
      </c>
      <c r="F292" s="424" t="str">
        <f>obalLOB2EmpStatClinician2</f>
        <v>Full-Time</v>
      </c>
      <c r="G292" s="424" t="str">
        <f>obalLOB2EmpStatClinician2</f>
        <v>Full-Time</v>
      </c>
      <c r="H292" s="8" t="s">
        <v>2175</v>
      </c>
      <c r="I292" s="131" t="b">
        <f t="shared" si="12"/>
        <v>1</v>
      </c>
      <c r="K292" s="424" t="str">
        <f>obalR2LOB2EmpStatClinician2</f>
        <v>Full-Time</v>
      </c>
      <c r="L292" s="424" t="str">
        <f>obalR2LOB2EmpStatClinician2</f>
        <v>Full-Time</v>
      </c>
      <c r="M292" s="424" t="str">
        <f>obalR2LOB2EmpStatClinician2</f>
        <v>Full-Time</v>
      </c>
      <c r="N292" s="8" t="s">
        <v>5803</v>
      </c>
      <c r="O292" s="131" t="b">
        <f t="shared" si="13"/>
        <v>1</v>
      </c>
    </row>
    <row r="293" spans="1:15">
      <c r="A293" s="76" t="s">
        <v>597</v>
      </c>
      <c r="D293" s="63">
        <v>3</v>
      </c>
      <c r="E293" s="424" t="str">
        <f>obalLOB2EmpStatClinician3</f>
        <v>Part-Time</v>
      </c>
      <c r="F293" s="424" t="str">
        <f>obalLOB2EmpStatClinician3</f>
        <v>Part-Time</v>
      </c>
      <c r="G293" s="424" t="str">
        <f>obalLOB2EmpStatClinician3</f>
        <v>Part-Time</v>
      </c>
      <c r="H293" s="8" t="s">
        <v>2176</v>
      </c>
      <c r="I293" s="131" t="b">
        <f t="shared" si="12"/>
        <v>1</v>
      </c>
      <c r="K293" s="424" t="str">
        <f>obalR2LOB2EmpStatClinician3</f>
        <v>Part-Time</v>
      </c>
      <c r="L293" s="424" t="str">
        <f>obalR2LOB2EmpStatClinician3</f>
        <v>Part-Time</v>
      </c>
      <c r="M293" s="424" t="str">
        <f>obalR2LOB2EmpStatClinician3</f>
        <v>Part-Time</v>
      </c>
      <c r="N293" s="8" t="s">
        <v>5804</v>
      </c>
      <c r="O293" s="131" t="b">
        <f t="shared" si="13"/>
        <v>1</v>
      </c>
    </row>
    <row r="294" spans="1:15">
      <c r="A294" s="76" t="s">
        <v>598</v>
      </c>
      <c r="D294" s="8">
        <v>4</v>
      </c>
      <c r="E294" s="424" t="str">
        <f>obalLOB2EmpStatClinician4</f>
        <v>Part-Time</v>
      </c>
      <c r="F294" s="424" t="str">
        <f>obalLOB2EmpStatClinician4</f>
        <v>Part-Time</v>
      </c>
      <c r="G294" s="424" t="str">
        <f>obalLOB2EmpStatClinician4</f>
        <v>Part-Time</v>
      </c>
      <c r="H294" s="8" t="s">
        <v>2177</v>
      </c>
      <c r="I294" s="131" t="b">
        <f t="shared" si="12"/>
        <v>1</v>
      </c>
      <c r="K294" s="424" t="str">
        <f>obalR2LOB2EmpStatClinician4</f>
        <v>Part-Time</v>
      </c>
      <c r="L294" s="424" t="str">
        <f>obalR2LOB2EmpStatClinician4</f>
        <v>Part-Time</v>
      </c>
      <c r="M294" s="424" t="str">
        <f>obalR2LOB2EmpStatClinician4</f>
        <v>Part-Time</v>
      </c>
      <c r="N294" s="8" t="s">
        <v>5805</v>
      </c>
      <c r="O294" s="131" t="b">
        <f t="shared" si="13"/>
        <v>1</v>
      </c>
    </row>
    <row r="295" spans="1:15">
      <c r="A295" s="76" t="s">
        <v>599</v>
      </c>
      <c r="D295" s="8">
        <v>5</v>
      </c>
      <c r="E295" s="424" t="str">
        <f>obalLOB2EmpStatClinician5</f>
        <v>Full-Time</v>
      </c>
      <c r="F295" s="424" t="str">
        <f>obalLOB2EmpStatClinician5</f>
        <v>Full-Time</v>
      </c>
      <c r="G295" s="424" t="str">
        <f>obalLOB2EmpStatClinician5</f>
        <v>Full-Time</v>
      </c>
      <c r="H295" s="8" t="s">
        <v>2178</v>
      </c>
      <c r="I295" s="131" t="b">
        <f t="shared" si="12"/>
        <v>1</v>
      </c>
      <c r="K295" s="424" t="str">
        <f>obalR2LOB2EmpStatClinician5</f>
        <v>Full-Time</v>
      </c>
      <c r="L295" s="424" t="str">
        <f>obalR2LOB2EmpStatClinician5</f>
        <v>Full-Time</v>
      </c>
      <c r="M295" s="424" t="str">
        <f>obalR2LOB2EmpStatClinician5</f>
        <v>Full-Time</v>
      </c>
      <c r="N295" s="8" t="s">
        <v>5806</v>
      </c>
      <c r="O295" s="131" t="b">
        <f t="shared" si="13"/>
        <v>1</v>
      </c>
    </row>
    <row r="296" spans="1:15">
      <c r="A296" s="76" t="s">
        <v>600</v>
      </c>
      <c r="D296" s="8">
        <v>6</v>
      </c>
      <c r="E296" s="424" t="str">
        <f>obalLOB2EmpStatClinician6</f>
        <v>Full-Time</v>
      </c>
      <c r="F296" s="424" t="str">
        <f>obalLOB2EmpStatClinician6</f>
        <v>Full-Time</v>
      </c>
      <c r="G296" s="424" t="str">
        <f>obalLOB2EmpStatClinician6</f>
        <v>Full-Time</v>
      </c>
      <c r="H296" s="8" t="s">
        <v>2179</v>
      </c>
      <c r="I296" s="131" t="b">
        <f t="shared" si="12"/>
        <v>1</v>
      </c>
      <c r="K296" s="424" t="str">
        <f>obalR2LOB2EmpStatClinician6</f>
        <v>Full-Time</v>
      </c>
      <c r="L296" s="424" t="str">
        <f>obalR2LOB2EmpStatClinician6</f>
        <v>Full-Time</v>
      </c>
      <c r="M296" s="424" t="str">
        <f>obalR2LOB2EmpStatClinician6</f>
        <v>Full-Time</v>
      </c>
      <c r="N296" s="8" t="s">
        <v>5807</v>
      </c>
      <c r="O296" s="131" t="b">
        <f t="shared" si="13"/>
        <v>1</v>
      </c>
    </row>
    <row r="297" spans="1:15">
      <c r="A297" s="76" t="s">
        <v>601</v>
      </c>
      <c r="D297" s="63">
        <v>7</v>
      </c>
      <c r="E297" s="424" t="str">
        <f>obalLOB2EmpStatClinician7</f>
        <v>Full-Time</v>
      </c>
      <c r="F297" s="424" t="str">
        <f>obalLOB2EmpStatClinician7</f>
        <v>Full-Time</v>
      </c>
      <c r="G297" s="424" t="str">
        <f>obalLOB2EmpStatClinician7</f>
        <v>Full-Time</v>
      </c>
      <c r="H297" s="8" t="s">
        <v>2180</v>
      </c>
      <c r="I297" s="131" t="b">
        <f t="shared" si="12"/>
        <v>1</v>
      </c>
      <c r="K297" s="424" t="str">
        <f>obalR2LOB2EmpStatClinician7</f>
        <v>Full-Time</v>
      </c>
      <c r="L297" s="424" t="str">
        <f>obalR2LOB2EmpStatClinician7</f>
        <v>Full-Time</v>
      </c>
      <c r="M297" s="424" t="str">
        <f>obalR2LOB2EmpStatClinician7</f>
        <v>Full-Time</v>
      </c>
      <c r="N297" s="8" t="s">
        <v>5808</v>
      </c>
      <c r="O297" s="131" t="b">
        <f t="shared" si="13"/>
        <v>1</v>
      </c>
    </row>
    <row r="298" spans="1:15">
      <c r="A298" s="76" t="s">
        <v>602</v>
      </c>
      <c r="D298" s="63">
        <v>8</v>
      </c>
      <c r="E298" s="424" t="str">
        <f>obalLOB2EmpStatClinician8</f>
        <v>Full-Time</v>
      </c>
      <c r="F298" s="424" t="str">
        <f>obalLOB2EmpStatClinician8</f>
        <v>Full-Time</v>
      </c>
      <c r="G298" s="424" t="str">
        <f>obalLOB2EmpStatClinician8</f>
        <v>Full-Time</v>
      </c>
      <c r="H298" s="8" t="s">
        <v>2181</v>
      </c>
      <c r="I298" s="131" t="b">
        <f t="shared" si="12"/>
        <v>1</v>
      </c>
      <c r="K298" s="424" t="str">
        <f>obalR2LOB2EmpStatClinician8</f>
        <v>Full-Time</v>
      </c>
      <c r="L298" s="424" t="str">
        <f>obalR2LOB2EmpStatClinician8</f>
        <v>Full-Time</v>
      </c>
      <c r="M298" s="424" t="str">
        <f>obalR2LOB2EmpStatClinician8</f>
        <v>Full-Time</v>
      </c>
      <c r="N298" s="8" t="s">
        <v>5809</v>
      </c>
      <c r="O298" s="131" t="b">
        <f t="shared" si="13"/>
        <v>1</v>
      </c>
    </row>
    <row r="299" spans="1:15">
      <c r="A299" s="76" t="s">
        <v>603</v>
      </c>
      <c r="D299" s="63">
        <v>9</v>
      </c>
      <c r="E299" s="424" t="str">
        <f>obalLOB2EmpStatClinician9</f>
        <v>Part-Time</v>
      </c>
      <c r="F299" s="424" t="str">
        <f>obalLOB2EmpStatClinician9</f>
        <v>Part-Time</v>
      </c>
      <c r="G299" s="424" t="str">
        <f>obalLOB2EmpStatClinician9</f>
        <v>Part-Time</v>
      </c>
      <c r="H299" s="8" t="s">
        <v>2182</v>
      </c>
      <c r="I299" s="131" t="b">
        <f t="shared" si="12"/>
        <v>1</v>
      </c>
      <c r="K299" s="424" t="str">
        <f>obalR2LOB2EmpStatClinician9</f>
        <v>Part-Time</v>
      </c>
      <c r="L299" s="424" t="str">
        <f>obalR2LOB2EmpStatClinician9</f>
        <v>Part-Time</v>
      </c>
      <c r="M299" s="424" t="str">
        <f>obalR2LOB2EmpStatClinician9</f>
        <v>Part-Time</v>
      </c>
      <c r="N299" s="8" t="s">
        <v>5810</v>
      </c>
      <c r="O299" s="131" t="b">
        <f t="shared" si="13"/>
        <v>1</v>
      </c>
    </row>
    <row r="300" spans="1:15">
      <c r="A300" s="76" t="s">
        <v>604</v>
      </c>
      <c r="D300" s="8">
        <v>10</v>
      </c>
      <c r="E300" s="424" t="str">
        <f>obalLOB2EmpStatClinician10</f>
        <v>Full-Time</v>
      </c>
      <c r="F300" s="424" t="str">
        <f>obalLOB2EmpStatClinician10</f>
        <v>Full-Time</v>
      </c>
      <c r="G300" s="424" t="str">
        <f>obalLOB2EmpStatClinician10</f>
        <v>Full-Time</v>
      </c>
      <c r="H300" s="8" t="s">
        <v>2183</v>
      </c>
      <c r="I300" s="131" t="b">
        <f t="shared" si="12"/>
        <v>1</v>
      </c>
      <c r="K300" s="424" t="str">
        <f>obalR2LOB2EmpStatClinician10</f>
        <v>Full-Time</v>
      </c>
      <c r="L300" s="424" t="str">
        <f>obalR2LOB2EmpStatClinician10</f>
        <v>Full-Time</v>
      </c>
      <c r="M300" s="424" t="str">
        <f>obalR2LOB2EmpStatClinician10</f>
        <v>Full-Time</v>
      </c>
      <c r="N300" s="8" t="s">
        <v>5811</v>
      </c>
      <c r="O300" s="131" t="b">
        <f t="shared" si="13"/>
        <v>1</v>
      </c>
    </row>
    <row r="301" spans="1:15">
      <c r="A301" s="76" t="s">
        <v>1497</v>
      </c>
      <c r="D301" s="8">
        <v>11</v>
      </c>
      <c r="E301" s="474">
        <f>VLOOKUP(calcLOB2Clinician11LookupValue,dataTableCC2Staff,3,FALSE)</f>
        <v>0</v>
      </c>
      <c r="F301" s="474">
        <f>VLOOKUP(calcLOB2Clinician11LookupValue,dataTableCC2Staff,3,FALSE)</f>
        <v>0</v>
      </c>
      <c r="G301" s="474">
        <f>VLOOKUP(calcLOB2Clinician11LookupValue,dataTableCC2Staff,3,FALSE)</f>
        <v>0</v>
      </c>
      <c r="H301" s="8" t="s">
        <v>2184</v>
      </c>
      <c r="I301" s="131" t="b">
        <f t="shared" si="12"/>
        <v>1</v>
      </c>
      <c r="K301" s="474">
        <f>VLOOKUP(calcR2LOB2Clinician11LookupValue,dataTableCC2Staff,3,FALSE)</f>
        <v>0</v>
      </c>
      <c r="L301" s="474">
        <f>VLOOKUP(calcR2LOB2Clinician11LookupValue,dataTableCC2Staff,3,FALSE)</f>
        <v>0</v>
      </c>
      <c r="M301" s="474">
        <f>VLOOKUP(calcR2LOB2Clinician11LookupValue,dataTableCC2Staff,3,FALSE)</f>
        <v>0</v>
      </c>
      <c r="N301" s="8" t="s">
        <v>5812</v>
      </c>
      <c r="O301" s="131" t="b">
        <f t="shared" si="13"/>
        <v>1</v>
      </c>
    </row>
    <row r="302" spans="1:15">
      <c r="A302" s="76" t="s">
        <v>1498</v>
      </c>
      <c r="D302" s="63">
        <v>12</v>
      </c>
      <c r="E302" s="474">
        <f>VLOOKUP(calcLOB2Clinician12LookupValue,dataTableCC2Staff,3,FALSE)</f>
        <v>0</v>
      </c>
      <c r="F302" s="474">
        <f>VLOOKUP(calcLOB2Clinician12LookupValue,dataTableCC2Staff,3,FALSE)</f>
        <v>0</v>
      </c>
      <c r="G302" s="474">
        <f>VLOOKUP(calcLOB2Clinician12LookupValue,dataTableCC2Staff,3,FALSE)</f>
        <v>0</v>
      </c>
      <c r="H302" s="8" t="s">
        <v>2185</v>
      </c>
      <c r="I302" s="131" t="b">
        <f t="shared" si="12"/>
        <v>1</v>
      </c>
      <c r="K302" s="474">
        <f>VLOOKUP(calcR2LOB2Clinician12LookupValue,dataTableCC2Staff,3,FALSE)</f>
        <v>0</v>
      </c>
      <c r="L302" s="474">
        <f>VLOOKUP(calcR2LOB2Clinician12LookupValue,dataTableCC2Staff,3,FALSE)</f>
        <v>0</v>
      </c>
      <c r="M302" s="474">
        <f>VLOOKUP(calcR2LOB2Clinician12LookupValue,dataTableCC2Staff,3,FALSE)</f>
        <v>0</v>
      </c>
      <c r="N302" s="8" t="s">
        <v>5813</v>
      </c>
      <c r="O302" s="131" t="b">
        <f t="shared" si="13"/>
        <v>1</v>
      </c>
    </row>
    <row r="303" spans="1:15">
      <c r="A303" s="76" t="s">
        <v>3998</v>
      </c>
      <c r="D303" s="63">
        <v>19</v>
      </c>
      <c r="E303" s="8" t="str">
        <f>obalLOB2EmpStatClinician13</f>
        <v>Full-Time</v>
      </c>
      <c r="F303" s="8" t="str">
        <f>obalLOB2EmpStatClinician13</f>
        <v>Full-Time</v>
      </c>
      <c r="G303" s="8" t="str">
        <f>obalLOB2EmpStatClinician13</f>
        <v>Full-Time</v>
      </c>
      <c r="H303" s="8" t="s">
        <v>4079</v>
      </c>
      <c r="I303" s="131" t="b">
        <f t="shared" si="12"/>
        <v>1</v>
      </c>
      <c r="K303" s="8" t="str">
        <f>obalR2LOB2EmpStatClinician13</f>
        <v>Full-Time</v>
      </c>
      <c r="L303" s="8" t="str">
        <f>obalR2LOB2EmpStatClinician13</f>
        <v>Full-Time</v>
      </c>
      <c r="M303" s="8" t="str">
        <f>obalR2LOB2EmpStatClinician13</f>
        <v>Full-Time</v>
      </c>
      <c r="N303" s="8" t="s">
        <v>5814</v>
      </c>
      <c r="O303" s="131" t="b">
        <f t="shared" si="13"/>
        <v>1</v>
      </c>
    </row>
    <row r="304" spans="1:15">
      <c r="A304" s="76" t="s">
        <v>3999</v>
      </c>
      <c r="D304" s="63">
        <v>20</v>
      </c>
      <c r="E304" s="8" t="str">
        <f>obalLOB2EmpStatClinician14</f>
        <v>Full-Time</v>
      </c>
      <c r="F304" s="8" t="str">
        <f>obalLOB2EmpStatClinician14</f>
        <v>Full-Time</v>
      </c>
      <c r="G304" s="8" t="str">
        <f>obalLOB2EmpStatClinician14</f>
        <v>Full-Time</v>
      </c>
      <c r="H304" s="8" t="s">
        <v>4080</v>
      </c>
      <c r="I304" s="131" t="b">
        <f t="shared" si="12"/>
        <v>1</v>
      </c>
      <c r="K304" s="8" t="str">
        <f>obalR2LOB2EmpStatClinician14</f>
        <v>Full-Time</v>
      </c>
      <c r="L304" s="8" t="str">
        <f>obalR2LOB2EmpStatClinician14</f>
        <v>Full-Time</v>
      </c>
      <c r="M304" s="8" t="str">
        <f>obalR2LOB2EmpStatClinician14</f>
        <v>Full-Time</v>
      </c>
      <c r="N304" s="8" t="s">
        <v>5815</v>
      </c>
      <c r="O304" s="131" t="b">
        <f t="shared" si="13"/>
        <v>1</v>
      </c>
    </row>
    <row r="305" spans="1:15">
      <c r="A305" s="76" t="s">
        <v>4000</v>
      </c>
      <c r="D305" s="63">
        <v>21</v>
      </c>
      <c r="E305" s="8" t="str">
        <f>obalLOB2EmpStatClinician15</f>
        <v>Full-Time</v>
      </c>
      <c r="F305" s="8" t="str">
        <f>obalLOB2EmpStatClinician15</f>
        <v>Full-Time</v>
      </c>
      <c r="G305" s="8" t="str">
        <f>obalLOB2EmpStatClinician15</f>
        <v>Full-Time</v>
      </c>
      <c r="H305" s="8" t="s">
        <v>4081</v>
      </c>
      <c r="I305" s="131" t="b">
        <f t="shared" si="12"/>
        <v>1</v>
      </c>
      <c r="K305" s="8" t="str">
        <f>obalR2LOB2EmpStatClinician15</f>
        <v>Full-Time</v>
      </c>
      <c r="L305" s="8" t="str">
        <f>obalR2LOB2EmpStatClinician15</f>
        <v>Full-Time</v>
      </c>
      <c r="M305" s="8" t="str">
        <f>obalR2LOB2EmpStatClinician15</f>
        <v>Full-Time</v>
      </c>
      <c r="N305" s="8" t="s">
        <v>5816</v>
      </c>
      <c r="O305" s="131" t="b">
        <f t="shared" si="13"/>
        <v>1</v>
      </c>
    </row>
    <row r="306" spans="1:15">
      <c r="A306" s="76" t="s">
        <v>4001</v>
      </c>
      <c r="D306" s="63">
        <v>22</v>
      </c>
      <c r="E306" s="8" t="str">
        <f>obalLOB2EmpStatClinician16</f>
        <v>Full-Time</v>
      </c>
      <c r="F306" s="8" t="str">
        <f>obalLOB2EmpStatClinician16</f>
        <v>Full-Time</v>
      </c>
      <c r="G306" s="8" t="str">
        <f>obalLOB2EmpStatClinician16</f>
        <v>Full-Time</v>
      </c>
      <c r="H306" s="8" t="s">
        <v>4082</v>
      </c>
      <c r="I306" s="131" t="b">
        <f t="shared" si="12"/>
        <v>1</v>
      </c>
      <c r="K306" s="8" t="str">
        <f>obalR2LOB2EmpStatClinician16</f>
        <v>Full-Time</v>
      </c>
      <c r="L306" s="8" t="str">
        <f>obalR2LOB2EmpStatClinician16</f>
        <v>Full-Time</v>
      </c>
      <c r="M306" s="8" t="str">
        <f>obalR2LOB2EmpStatClinician16</f>
        <v>Full-Time</v>
      </c>
      <c r="N306" s="8" t="s">
        <v>5817</v>
      </c>
      <c r="O306" s="131" t="b">
        <f t="shared" si="13"/>
        <v>1</v>
      </c>
    </row>
    <row r="307" spans="1:15">
      <c r="A307" s="76"/>
      <c r="E307" s="464"/>
      <c r="F307" s="464"/>
      <c r="G307" s="464"/>
      <c r="I307" s="131" t="b">
        <f t="shared" si="12"/>
        <v>1</v>
      </c>
      <c r="K307" s="464"/>
      <c r="L307" s="464"/>
      <c r="M307" s="464"/>
      <c r="O307" s="131" t="b">
        <f t="shared" si="13"/>
        <v>1</v>
      </c>
    </row>
    <row r="308" spans="1:15">
      <c r="A308" s="76"/>
      <c r="I308" s="131" t="b">
        <f t="shared" si="12"/>
        <v>1</v>
      </c>
      <c r="K308" s="159"/>
      <c r="L308" s="159"/>
      <c r="M308" s="159"/>
      <c r="O308" s="131" t="b">
        <f t="shared" si="13"/>
        <v>1</v>
      </c>
    </row>
    <row r="309" spans="1:15">
      <c r="A309" s="132" t="s">
        <v>1983</v>
      </c>
      <c r="I309" s="131" t="b">
        <f t="shared" si="12"/>
        <v>1</v>
      </c>
      <c r="K309" s="159"/>
      <c r="L309" s="159"/>
      <c r="M309" s="159"/>
      <c r="O309" s="131" t="b">
        <f t="shared" si="13"/>
        <v>1</v>
      </c>
    </row>
    <row r="310" spans="1:15">
      <c r="A310" s="76" t="s">
        <v>595</v>
      </c>
      <c r="D310" s="63">
        <v>1</v>
      </c>
      <c r="E310" s="424" t="str">
        <f>obalLOB2NameClinician1</f>
        <v>Sherie Sea</v>
      </c>
      <c r="F310" s="424" t="str">
        <f>obalLOB2NameClinician1</f>
        <v>Sherie Sea</v>
      </c>
      <c r="G310" s="424" t="str">
        <f>obalLOB2NameClinician1</f>
        <v>Sherie Sea</v>
      </c>
      <c r="H310" s="8" t="s">
        <v>2186</v>
      </c>
      <c r="I310" s="131" t="b">
        <f t="shared" si="12"/>
        <v>1</v>
      </c>
      <c r="K310" s="424" t="str">
        <f>obalR2LOB2NameClinician1</f>
        <v>Sherie Sea</v>
      </c>
      <c r="L310" s="424" t="str">
        <f>obalR2LOB2NameClinician1</f>
        <v>Sherie Sea</v>
      </c>
      <c r="M310" s="424" t="str">
        <f>obalR2LOB2NameClinician1</f>
        <v>Sherie Sea</v>
      </c>
      <c r="N310" s="8" t="s">
        <v>5818</v>
      </c>
      <c r="O310" s="131" t="b">
        <f t="shared" si="13"/>
        <v>1</v>
      </c>
    </row>
    <row r="311" spans="1:15">
      <c r="A311" s="76" t="s">
        <v>596</v>
      </c>
      <c r="D311" s="63">
        <v>2</v>
      </c>
      <c r="E311" s="424" t="str">
        <f>obalLOB2NameClinician2</f>
        <v>Jamison Jordon  </v>
      </c>
      <c r="F311" s="424" t="str">
        <f>obalLOB2NameClinician2</f>
        <v>Jamison Jordon  </v>
      </c>
      <c r="G311" s="424" t="str">
        <f>obalLOB2NameClinician2</f>
        <v>Jamison Jordon  </v>
      </c>
      <c r="H311" s="8" t="s">
        <v>2187</v>
      </c>
      <c r="I311" s="131" t="b">
        <f t="shared" si="12"/>
        <v>1</v>
      </c>
      <c r="K311" s="424" t="str">
        <f>obalR2LOB2NameClinician2</f>
        <v>Jamison Jordon  </v>
      </c>
      <c r="L311" s="424" t="str">
        <f>obalR2LOB2NameClinician2</f>
        <v>Jamison Jordon  </v>
      </c>
      <c r="M311" s="424" t="str">
        <f>obalR2LOB2NameClinician2</f>
        <v>Jamison Jordon  </v>
      </c>
      <c r="N311" s="8" t="s">
        <v>5819</v>
      </c>
      <c r="O311" s="131" t="b">
        <f t="shared" si="13"/>
        <v>1</v>
      </c>
    </row>
    <row r="312" spans="1:15">
      <c r="A312" s="76" t="s">
        <v>597</v>
      </c>
      <c r="D312" s="63">
        <v>3</v>
      </c>
      <c r="E312" s="424" t="str">
        <f>obalLOB2NameClinician3</f>
        <v>Audry Amore  </v>
      </c>
      <c r="F312" s="424" t="str">
        <f>obalLOB2NameClinician3</f>
        <v>Audry Amore  </v>
      </c>
      <c r="G312" s="424" t="str">
        <f>obalLOB2NameClinician3</f>
        <v>Audry Amore  </v>
      </c>
      <c r="H312" s="8" t="s">
        <v>2188</v>
      </c>
      <c r="I312" s="131" t="b">
        <f t="shared" si="12"/>
        <v>1</v>
      </c>
      <c r="K312" s="424" t="str">
        <f>obalR2LOB2NameClinician3</f>
        <v>Audry Amore  </v>
      </c>
      <c r="L312" s="424" t="str">
        <f>obalR2LOB2NameClinician3</f>
        <v>Audry Amore  </v>
      </c>
      <c r="M312" s="424" t="str">
        <f>obalR2LOB2NameClinician3</f>
        <v>Audry Amore  </v>
      </c>
      <c r="N312" s="8" t="s">
        <v>5820</v>
      </c>
      <c r="O312" s="131" t="b">
        <f t="shared" si="13"/>
        <v>1</v>
      </c>
    </row>
    <row r="313" spans="1:15">
      <c r="A313" s="76" t="s">
        <v>598</v>
      </c>
      <c r="D313" s="8">
        <v>4</v>
      </c>
      <c r="E313" s="424" t="str">
        <f>obalLOB2NameClinician4</f>
        <v>Marvis Martine  </v>
      </c>
      <c r="F313" s="424" t="str">
        <f>obalLOB2NameClinician4</f>
        <v>Marvis Martine  </v>
      </c>
      <c r="G313" s="424" t="str">
        <f>obalLOB2NameClinician4</f>
        <v>Marvis Martine  </v>
      </c>
      <c r="H313" s="8" t="s">
        <v>2189</v>
      </c>
      <c r="I313" s="131" t="b">
        <f t="shared" si="12"/>
        <v>1</v>
      </c>
      <c r="K313" s="424" t="str">
        <f>obalR2LOB2NameClinician4</f>
        <v>Marvis Martine  </v>
      </c>
      <c r="L313" s="424" t="str">
        <f>obalR2LOB2NameClinician4</f>
        <v>Marvis Martine  </v>
      </c>
      <c r="M313" s="424" t="str">
        <f>obalR2LOB2NameClinician4</f>
        <v>Marvis Martine  </v>
      </c>
      <c r="N313" s="8" t="s">
        <v>5821</v>
      </c>
      <c r="O313" s="131" t="b">
        <f t="shared" si="13"/>
        <v>1</v>
      </c>
    </row>
    <row r="314" spans="1:15">
      <c r="A314" s="76" t="s">
        <v>599</v>
      </c>
      <c r="D314" s="8">
        <v>5</v>
      </c>
      <c r="E314" s="424" t="str">
        <f>obalLOB2NameClinician5</f>
        <v>Ming Mines  </v>
      </c>
      <c r="F314" s="424" t="str">
        <f>obalLOB2NameClinician5</f>
        <v>Ming Mines  </v>
      </c>
      <c r="G314" s="424" t="str">
        <f>obalLOB2NameClinician5</f>
        <v>Ming Mines  </v>
      </c>
      <c r="H314" s="8" t="s">
        <v>2190</v>
      </c>
      <c r="I314" s="131" t="b">
        <f t="shared" si="12"/>
        <v>1</v>
      </c>
      <c r="K314" s="424" t="str">
        <f>obalR2LOB2NameClinician5</f>
        <v>Ming Mines  </v>
      </c>
      <c r="L314" s="424" t="str">
        <f>obalR2LOB2NameClinician5</f>
        <v>Ming Mines  </v>
      </c>
      <c r="M314" s="424" t="str">
        <f>obalR2LOB2NameClinician5</f>
        <v>Ming Mines  </v>
      </c>
      <c r="N314" s="8" t="s">
        <v>5822</v>
      </c>
      <c r="O314" s="131" t="b">
        <f t="shared" si="13"/>
        <v>1</v>
      </c>
    </row>
    <row r="315" spans="1:15">
      <c r="A315" s="76" t="s">
        <v>600</v>
      </c>
      <c r="D315" s="8">
        <v>6</v>
      </c>
      <c r="E315" s="424" t="str">
        <f>obalLOB2NameClinician6</f>
        <v>Esteban Ervin  </v>
      </c>
      <c r="F315" s="424" t="str">
        <f>obalLOB2NameClinician6</f>
        <v>Esteban Ervin  </v>
      </c>
      <c r="G315" s="424" t="str">
        <f>obalLOB2NameClinician6</f>
        <v>Esteban Ervin  </v>
      </c>
      <c r="H315" s="8" t="s">
        <v>2191</v>
      </c>
      <c r="I315" s="131" t="b">
        <f t="shared" si="12"/>
        <v>1</v>
      </c>
      <c r="K315" s="424" t="str">
        <f>obalR2LOB2NameClinician6</f>
        <v>Esteban Ervin  </v>
      </c>
      <c r="L315" s="424" t="str">
        <f>obalR2LOB2NameClinician6</f>
        <v>Esteban Ervin  </v>
      </c>
      <c r="M315" s="424" t="str">
        <f>obalR2LOB2NameClinician6</f>
        <v>Esteban Ervin  </v>
      </c>
      <c r="N315" s="8" t="s">
        <v>5823</v>
      </c>
      <c r="O315" s="131" t="b">
        <f t="shared" si="13"/>
        <v>1</v>
      </c>
    </row>
    <row r="316" spans="1:15">
      <c r="A316" s="76" t="s">
        <v>601</v>
      </c>
      <c r="D316" s="63">
        <v>7</v>
      </c>
      <c r="E316" s="424" t="str">
        <f>obalLOB2NameClinician7</f>
        <v>Chester Cheesman  </v>
      </c>
      <c r="F316" s="424" t="str">
        <f>obalLOB2NameClinician7</f>
        <v>Chester Cheesman  </v>
      </c>
      <c r="G316" s="424" t="str">
        <f>obalLOB2NameClinician7</f>
        <v>Chester Cheesman  </v>
      </c>
      <c r="H316" s="8" t="s">
        <v>2192</v>
      </c>
      <c r="I316" s="131" t="b">
        <f t="shared" si="12"/>
        <v>1</v>
      </c>
      <c r="K316" s="424" t="str">
        <f>obalR2LOB2NameClinician7</f>
        <v>Chester Cheesman  </v>
      </c>
      <c r="L316" s="424" t="str">
        <f>obalR2LOB2NameClinician7</f>
        <v>Chester Cheesman  </v>
      </c>
      <c r="M316" s="424" t="str">
        <f>obalR2LOB2NameClinician7</f>
        <v>Chester Cheesman  </v>
      </c>
      <c r="N316" s="8" t="s">
        <v>5824</v>
      </c>
      <c r="O316" s="131" t="b">
        <f t="shared" si="13"/>
        <v>1</v>
      </c>
    </row>
    <row r="317" spans="1:15">
      <c r="A317" s="76" t="s">
        <v>602</v>
      </c>
      <c r="D317" s="63">
        <v>8</v>
      </c>
      <c r="E317" s="424" t="str">
        <f>obalLOB2NameClinician8</f>
        <v>Susie Sluder  </v>
      </c>
      <c r="F317" s="424" t="str">
        <f>obalLOB2NameClinician8</f>
        <v>Susie Sluder  </v>
      </c>
      <c r="G317" s="424" t="str">
        <f>obalLOB2NameClinician8</f>
        <v>Susie Sluder  </v>
      </c>
      <c r="H317" s="8" t="s">
        <v>2193</v>
      </c>
      <c r="I317" s="131" t="b">
        <f t="shared" si="12"/>
        <v>1</v>
      </c>
      <c r="K317" s="424" t="str">
        <f>obalR2LOB2NameClinician8</f>
        <v>Susie Sluder  </v>
      </c>
      <c r="L317" s="424" t="str">
        <f>obalR2LOB2NameClinician8</f>
        <v>Susie Sluder  </v>
      </c>
      <c r="M317" s="424" t="str">
        <f>obalR2LOB2NameClinician8</f>
        <v>Susie Sluder  </v>
      </c>
      <c r="N317" s="8" t="s">
        <v>5825</v>
      </c>
      <c r="O317" s="131" t="b">
        <f t="shared" si="13"/>
        <v>1</v>
      </c>
    </row>
    <row r="318" spans="1:15">
      <c r="A318" s="76" t="s">
        <v>603</v>
      </c>
      <c r="D318" s="63">
        <v>9</v>
      </c>
      <c r="E318" s="424" t="str">
        <f>obalLOB2NameClinician9</f>
        <v>Jerome Jurek  </v>
      </c>
      <c r="F318" s="424" t="str">
        <f>obalLOB2NameClinician9</f>
        <v>Jerome Jurek  </v>
      </c>
      <c r="G318" s="424" t="str">
        <f>obalLOB2NameClinician9</f>
        <v>Jerome Jurek  </v>
      </c>
      <c r="H318" s="8" t="s">
        <v>2194</v>
      </c>
      <c r="I318" s="131" t="b">
        <f t="shared" si="12"/>
        <v>1</v>
      </c>
      <c r="K318" s="424" t="str">
        <f>obalR2LOB2NameClinician9</f>
        <v>Jerome Jurek  </v>
      </c>
      <c r="L318" s="424" t="str">
        <f>obalR2LOB2NameClinician9</f>
        <v>Jerome Jurek  </v>
      </c>
      <c r="M318" s="424" t="str">
        <f>obalR2LOB2NameClinician9</f>
        <v>Jerome Jurek  </v>
      </c>
      <c r="N318" s="8" t="s">
        <v>5826</v>
      </c>
      <c r="O318" s="131" t="b">
        <f t="shared" si="13"/>
        <v>1</v>
      </c>
    </row>
    <row r="319" spans="1:15">
      <c r="A319" s="76" t="s">
        <v>604</v>
      </c>
      <c r="D319" s="8">
        <v>10</v>
      </c>
      <c r="E319" s="424" t="str">
        <f>obalLOB2NameClinician10</f>
        <v>Roseanna Roder  </v>
      </c>
      <c r="F319" s="424" t="str">
        <f>obalLOB2NameClinician10</f>
        <v>Roseanna Roder  </v>
      </c>
      <c r="G319" s="424" t="str">
        <f>obalLOB2NameClinician10</f>
        <v>Roseanna Roder  </v>
      </c>
      <c r="H319" s="8" t="s">
        <v>2195</v>
      </c>
      <c r="I319" s="131" t="b">
        <f t="shared" si="12"/>
        <v>1</v>
      </c>
      <c r="K319" s="424" t="str">
        <f>obalR2LOB2NameClinician10</f>
        <v>Roseanna Roder  </v>
      </c>
      <c r="L319" s="424" t="str">
        <f>obalR2LOB2NameClinician10</f>
        <v>Roseanna Roder  </v>
      </c>
      <c r="M319" s="424" t="str">
        <f>obalR2LOB2NameClinician10</f>
        <v>Roseanna Roder  </v>
      </c>
      <c r="N319" s="8" t="s">
        <v>5827</v>
      </c>
      <c r="O319" s="131" t="b">
        <f t="shared" si="13"/>
        <v>1</v>
      </c>
    </row>
    <row r="320" spans="1:15">
      <c r="A320" s="76" t="s">
        <v>1497</v>
      </c>
      <c r="D320" s="8">
        <v>11</v>
      </c>
      <c r="E320" s="474">
        <f>VLOOKUP(calcLOB2Clinician11LookupValue,dataTableCC2Staff,4,FALSE)</f>
        <v>0</v>
      </c>
      <c r="F320" s="474">
        <f>VLOOKUP(calcLOB2Clinician11LookupValue,dataTableCC2Staff,4,FALSE)</f>
        <v>0</v>
      </c>
      <c r="G320" s="474">
        <f>VLOOKUP(calcLOB2Clinician11LookupValue,dataTableCC2Staff,4,FALSE)</f>
        <v>0</v>
      </c>
      <c r="H320" s="8" t="s">
        <v>2196</v>
      </c>
      <c r="I320" s="131" t="b">
        <f t="shared" si="12"/>
        <v>1</v>
      </c>
      <c r="K320" s="474">
        <f>VLOOKUP(calcR2LOB2Clinician11LookupValue,dataTableCC2Staff,4,FALSE)</f>
        <v>0</v>
      </c>
      <c r="L320" s="474">
        <f>VLOOKUP(calcR2LOB2Clinician11LookupValue,dataTableCC2Staff,4,FALSE)</f>
        <v>0</v>
      </c>
      <c r="M320" s="474">
        <f>VLOOKUP(calcR2LOB2Clinician11LookupValue,dataTableCC2Staff,4,FALSE)</f>
        <v>0</v>
      </c>
      <c r="N320" s="8" t="s">
        <v>5828</v>
      </c>
      <c r="O320" s="131" t="b">
        <f t="shared" si="13"/>
        <v>1</v>
      </c>
    </row>
    <row r="321" spans="1:15">
      <c r="A321" s="76" t="s">
        <v>1498</v>
      </c>
      <c r="D321" s="63">
        <v>12</v>
      </c>
      <c r="E321" s="474">
        <f>VLOOKUP(calcLOB2Clinician12LookupValue,dataTableCC2Staff,4,FALSE)</f>
        <v>0</v>
      </c>
      <c r="F321" s="474">
        <f>VLOOKUP(calcLOB2Clinician12LookupValue,dataTableCC2Staff,4,FALSE)</f>
        <v>0</v>
      </c>
      <c r="G321" s="474">
        <f>VLOOKUP(calcLOB2Clinician12LookupValue,dataTableCC2Staff,4,FALSE)</f>
        <v>0</v>
      </c>
      <c r="H321" s="8" t="s">
        <v>2197</v>
      </c>
      <c r="I321" s="131" t="b">
        <f t="shared" si="12"/>
        <v>1</v>
      </c>
      <c r="K321" s="474">
        <f>VLOOKUP(calcR2LOB2Clinician12LookupValue,dataTableCC2Staff,4,FALSE)</f>
        <v>0</v>
      </c>
      <c r="L321" s="474">
        <f>VLOOKUP(calcR2LOB2Clinician12LookupValue,dataTableCC2Staff,4,FALSE)</f>
        <v>0</v>
      </c>
      <c r="M321" s="474">
        <f>VLOOKUP(calcR2LOB2Clinician12LookupValue,dataTableCC2Staff,4,FALSE)</f>
        <v>0</v>
      </c>
      <c r="N321" s="8" t="s">
        <v>5829</v>
      </c>
      <c r="O321" s="131" t="b">
        <f t="shared" si="13"/>
        <v>1</v>
      </c>
    </row>
    <row r="322" spans="1:15">
      <c r="A322" s="76" t="s">
        <v>3998</v>
      </c>
      <c r="E322" s="381">
        <f>obalLOB2NumProdClinician13*cbalLOB2Disc1Retention</f>
        <v>4.2749999999999995</v>
      </c>
      <c r="F322" s="381">
        <f>obalLOB2NumProdClinician13*cbalLOB2Disc1Retention</f>
        <v>3.3333333333333335</v>
      </c>
      <c r="G322" s="381">
        <f>obalLOB2NumProdClinician13*cbalLOB2Disc1Retention</f>
        <v>6.666666666666667</v>
      </c>
      <c r="H322" s="8" t="s">
        <v>8310</v>
      </c>
      <c r="I322" s="131" t="b">
        <f t="shared" si="12"/>
        <v>0</v>
      </c>
      <c r="K322" s="381">
        <f>obalR2LOB2NumProdClinician13*cbalR2LOB2Disc1Retention</f>
        <v>4.0430800526140089</v>
      </c>
      <c r="L322" s="381">
        <f>obalR2LOB2NumProdClinician13*cbalR2LOB2Disc1Retention</f>
        <v>3.3333333333333335</v>
      </c>
      <c r="M322" s="381">
        <f>obalR2LOB2NumProdClinician13*cbalR2LOB2Disc1Retention</f>
        <v>6.666666666666667</v>
      </c>
      <c r="N322" s="8" t="s">
        <v>8311</v>
      </c>
      <c r="O322" s="131" t="b">
        <f t="shared" si="13"/>
        <v>0</v>
      </c>
    </row>
    <row r="323" spans="1:15">
      <c r="A323" s="76" t="s">
        <v>3999</v>
      </c>
      <c r="E323" s="381">
        <f>obalLOB2NumProdClinician14*cbalLOB2Disc1Retention</f>
        <v>5.6999999999999993</v>
      </c>
      <c r="F323" s="381">
        <f>obalLOB2NumProdClinician14*cbalLOB2Disc1Retention</f>
        <v>3.225806451612903</v>
      </c>
      <c r="G323" s="381">
        <f>obalLOB2NumProdClinician14*cbalLOB2Disc1Retention</f>
        <v>6.4516129032258061</v>
      </c>
      <c r="H323" s="8" t="s">
        <v>8312</v>
      </c>
      <c r="I323" s="131" t="b">
        <f t="shared" si="12"/>
        <v>0</v>
      </c>
      <c r="K323" s="381">
        <f>obalR2LOB2NumProdClinician14*cbalR2LOB2Disc1Retention</f>
        <v>5.3907734034853458</v>
      </c>
      <c r="L323" s="381">
        <f>obalR2LOB2NumProdClinician14*cbalR2LOB2Disc1Retention</f>
        <v>3.225806451612903</v>
      </c>
      <c r="M323" s="381">
        <f>obalR2LOB2NumProdClinician14*cbalR2LOB2Disc1Retention</f>
        <v>6.4516129032258061</v>
      </c>
      <c r="N323" s="8" t="s">
        <v>8313</v>
      </c>
      <c r="O323" s="131" t="b">
        <f t="shared" si="13"/>
        <v>0</v>
      </c>
    </row>
    <row r="324" spans="1:15">
      <c r="A324" s="76" t="s">
        <v>4000</v>
      </c>
      <c r="E324" s="381">
        <f>obalLOB2NumProdClinician15*cbalLOB2Disc1Retention</f>
        <v>3.8</v>
      </c>
      <c r="F324" s="381">
        <f>obalLOB2NumProdClinician15*cbalLOB2Disc1Retention</f>
        <v>3.2142857142857144</v>
      </c>
      <c r="G324" s="381">
        <f>obalLOB2NumProdClinician15*cbalLOB2Disc1Retention</f>
        <v>6.25</v>
      </c>
      <c r="H324" s="8" t="s">
        <v>8314</v>
      </c>
      <c r="I324" s="131" t="b">
        <f t="shared" si="12"/>
        <v>0</v>
      </c>
      <c r="K324" s="381">
        <f>obalR2LOB2NumProdClinician15*cbalR2LOB2Disc1Retention</f>
        <v>3.5938489356568977</v>
      </c>
      <c r="L324" s="381">
        <f>obalR2LOB2NumProdClinician15*cbalR2LOB2Disc1Retention</f>
        <v>3.2142857142857144</v>
      </c>
      <c r="M324" s="381">
        <f>obalR2LOB2NumProdClinician15*cbalR2LOB2Disc1Retention</f>
        <v>6.25</v>
      </c>
      <c r="N324" s="8" t="s">
        <v>8315</v>
      </c>
      <c r="O324" s="131" t="b">
        <f t="shared" si="13"/>
        <v>0</v>
      </c>
    </row>
    <row r="325" spans="1:15">
      <c r="A325" s="76" t="s">
        <v>4001</v>
      </c>
      <c r="E325" s="381">
        <f>obalLOB2NumProdClinician16*cbalLOB2Disc1Retention</f>
        <v>1.1875</v>
      </c>
      <c r="F325" s="381">
        <f>obalLOB2NumProdClinician16*cbalLOB2Disc1Retention</f>
        <v>1.1111111111111112</v>
      </c>
      <c r="G325" s="381">
        <f>obalLOB2NumProdClinician16*cbalLOB2Disc1Retention</f>
        <v>2.0370370370370372</v>
      </c>
      <c r="H325" s="8" t="s">
        <v>8316</v>
      </c>
      <c r="I325" s="131" t="b">
        <f t="shared" si="12"/>
        <v>0</v>
      </c>
      <c r="K325" s="381">
        <f>obalR2LOB2NumProdClinician16*cbalR2LOB2Disc1Retention</f>
        <v>1.1230777923927806</v>
      </c>
      <c r="L325" s="381">
        <f>obalR2LOB2NumProdClinician16*cbalR2LOB2Disc1Retention</f>
        <v>1.1111111111111112</v>
      </c>
      <c r="M325" s="381">
        <f>obalR2LOB2NumProdClinician16*cbalR2LOB2Disc1Retention</f>
        <v>2.0370370370370372</v>
      </c>
      <c r="N325" s="8" t="s">
        <v>8317</v>
      </c>
      <c r="O325" s="131" t="b">
        <f t="shared" si="13"/>
        <v>0</v>
      </c>
    </row>
    <row r="326" spans="1:15">
      <c r="A326" s="76" t="s">
        <v>3998</v>
      </c>
      <c r="E326" s="381">
        <f>obalLOB2BaseProdClinician13*paramLOB2Disc1Meetings*paramLOB2Meetings</f>
        <v>28</v>
      </c>
      <c r="F326" s="381">
        <f>obalLOB2BaseProdClinician13*paramLOB2Disc1Meetings*paramLOB2Meetings</f>
        <v>30</v>
      </c>
      <c r="G326" s="381">
        <f>obalLOB2BaseProdClinician13*paramLOB2Disc1Meetings*paramLOB2Meetings</f>
        <v>30</v>
      </c>
      <c r="H326" s="8" t="s">
        <v>8318</v>
      </c>
      <c r="I326" s="131" t="b">
        <f t="shared" si="12"/>
        <v>0</v>
      </c>
      <c r="K326" s="381">
        <f>obalR2LOB2BaseProdClinician13*paramR2LOB2Disc1Meetings*paramR2LOB2Meetings</f>
        <v>28</v>
      </c>
      <c r="L326" s="381">
        <f>obalR2LOB2BaseProdClinician13*paramR2LOB2Disc1Meetings*paramR2LOB2Meetings</f>
        <v>30</v>
      </c>
      <c r="M326" s="381">
        <f>obalR2LOB2BaseProdClinician13*paramR2LOB2Disc1Meetings*paramR2LOB2Meetings</f>
        <v>30</v>
      </c>
      <c r="N326" s="8" t="s">
        <v>8319</v>
      </c>
      <c r="O326" s="131" t="b">
        <f t="shared" si="13"/>
        <v>0</v>
      </c>
    </row>
    <row r="327" spans="1:15">
      <c r="A327" s="76" t="s">
        <v>3999</v>
      </c>
      <c r="E327" s="381">
        <f>obalLOB2BaseProdClinician14*paramLOB2Disc2Meetings*paramLOB2Meetings</f>
        <v>30</v>
      </c>
      <c r="F327" s="381">
        <f>obalLOB2BaseProdClinician14*paramLOB2Disc2Meetings*paramLOB2Meetings</f>
        <v>31</v>
      </c>
      <c r="G327" s="381">
        <f>obalLOB2BaseProdClinician14*paramLOB2Disc2Meetings*paramLOB2Meetings</f>
        <v>31</v>
      </c>
      <c r="H327" s="8" t="s">
        <v>8320</v>
      </c>
      <c r="I327" s="131" t="b">
        <f t="shared" si="12"/>
        <v>0</v>
      </c>
      <c r="K327" s="381">
        <f>obalR2LOB2BaseProdClinician14*paramR2LOB2Disc2Meetings*paramR2LOB2Meetings</f>
        <v>30</v>
      </c>
      <c r="L327" s="381">
        <f>obalR2LOB2BaseProdClinician14*paramR2LOB2Disc2Meetings*paramR2LOB2Meetings</f>
        <v>31</v>
      </c>
      <c r="M327" s="381">
        <f>obalR2LOB2BaseProdClinician14*paramR2LOB2Disc2Meetings*paramR2LOB2Meetings</f>
        <v>31</v>
      </c>
      <c r="N327" s="8" t="s">
        <v>8321</v>
      </c>
      <c r="O327" s="131" t="b">
        <f t="shared" si="13"/>
        <v>0</v>
      </c>
    </row>
    <row r="328" spans="1:15">
      <c r="A328" s="76" t="s">
        <v>4000</v>
      </c>
      <c r="E328" s="381">
        <f>obalLOB2BaseProdClinician15*paramLOB2Disc4Meetings*paramLOB2Meetings</f>
        <v>29</v>
      </c>
      <c r="F328" s="381">
        <f>obalLOB2BaseProdClinician15*paramLOB2Disc4Meetings*paramLOB2Meetings</f>
        <v>28</v>
      </c>
      <c r="G328" s="381">
        <f>obalLOB2BaseProdClinician15*paramLOB2Disc4Meetings*paramLOB2Meetings</f>
        <v>28</v>
      </c>
      <c r="H328" s="8" t="s">
        <v>8322</v>
      </c>
      <c r="I328" s="131" t="b">
        <f t="shared" si="12"/>
        <v>0</v>
      </c>
      <c r="K328" s="381">
        <f>obalR2LOB2BaseProdClinician15*paramR2LOB2Disc4Meetings*paramR2LOB2Meetings</f>
        <v>29</v>
      </c>
      <c r="L328" s="381">
        <f>obalR2LOB2BaseProdClinician15*paramR2LOB2Disc4Meetings*paramR2LOB2Meetings</f>
        <v>28</v>
      </c>
      <c r="M328" s="381">
        <f>obalR2LOB2BaseProdClinician15*paramR2LOB2Disc4Meetings*paramR2LOB2Meetings</f>
        <v>28</v>
      </c>
      <c r="N328" s="8" t="s">
        <v>8323</v>
      </c>
      <c r="O328" s="131" t="b">
        <f t="shared" si="13"/>
        <v>0</v>
      </c>
    </row>
    <row r="329" spans="1:15">
      <c r="A329" s="76" t="s">
        <v>4001</v>
      </c>
      <c r="E329" s="381">
        <f>obalLOB2BaseProdClinician16*paramLOB2Disc3Meetings*paramLOB2Meetings</f>
        <v>28</v>
      </c>
      <c r="F329" s="381">
        <f>obalLOB2BaseProdClinician16*paramLOB2Disc3Meetings*paramLOB2Meetings</f>
        <v>27</v>
      </c>
      <c r="G329" s="381">
        <f>obalLOB2BaseProdClinician16*paramLOB2Disc3Meetings*paramLOB2Meetings</f>
        <v>27</v>
      </c>
      <c r="H329" s="8" t="s">
        <v>8324</v>
      </c>
      <c r="I329" s="131" t="b">
        <f t="shared" si="12"/>
        <v>0</v>
      </c>
      <c r="K329" s="381">
        <f>obalR2LOB2BaseProdClinician16*paramR2LOB2Disc3Meetings*paramR2LOB2Meetings</f>
        <v>28</v>
      </c>
      <c r="L329" s="381">
        <f>obalR2LOB2BaseProdClinician16*paramR2LOB2Disc3Meetings*paramR2LOB2Meetings</f>
        <v>27</v>
      </c>
      <c r="M329" s="381">
        <f>obalR2LOB2BaseProdClinician16*paramR2LOB2Disc3Meetings*paramR2LOB2Meetings</f>
        <v>27</v>
      </c>
      <c r="N329" s="8" t="s">
        <v>8325</v>
      </c>
      <c r="O329" s="131" t="b">
        <f t="shared" si="13"/>
        <v>0</v>
      </c>
    </row>
    <row r="330" spans="1:15">
      <c r="A330" s="76"/>
      <c r="I330" s="131" t="b">
        <f t="shared" si="12"/>
        <v>1</v>
      </c>
      <c r="K330" s="159"/>
      <c r="L330" s="159"/>
      <c r="M330" s="159"/>
      <c r="O330" s="131" t="b">
        <f t="shared" si="13"/>
        <v>1</v>
      </c>
    </row>
    <row r="331" spans="1:15">
      <c r="A331" s="76" t="s">
        <v>1550</v>
      </c>
      <c r="I331" s="131" t="b">
        <f t="shared" si="12"/>
        <v>1</v>
      </c>
      <c r="K331" s="159"/>
      <c r="L331" s="159"/>
      <c r="M331" s="159"/>
      <c r="O331" s="131" t="b">
        <f t="shared" si="13"/>
        <v>1</v>
      </c>
    </row>
    <row r="332" spans="1:15">
      <c r="A332" s="76" t="s">
        <v>595</v>
      </c>
      <c r="D332" s="63">
        <v>1</v>
      </c>
      <c r="E332" s="381">
        <f>calcLOB2Clinician1GrossProd</f>
        <v>27</v>
      </c>
      <c r="F332" s="381">
        <f>calcLOB2Clinician1GrossProd</f>
        <v>27</v>
      </c>
      <c r="G332" s="381">
        <f>calcLOB2Clinician1GrossProd</f>
        <v>27</v>
      </c>
      <c r="H332" s="8" t="s">
        <v>2198</v>
      </c>
      <c r="I332" s="131" t="b">
        <f t="shared" si="12"/>
        <v>1</v>
      </c>
      <c r="K332" s="381">
        <f>calcR2LOB2Clinician1GrossProd</f>
        <v>27</v>
      </c>
      <c r="L332" s="381">
        <f>calcR2LOB2Clinician1GrossProd</f>
        <v>27</v>
      </c>
      <c r="M332" s="381">
        <f>calcR2LOB2Clinician1GrossProd</f>
        <v>27</v>
      </c>
      <c r="N332" s="8" t="s">
        <v>5830</v>
      </c>
      <c r="O332" s="131" t="b">
        <f t="shared" si="13"/>
        <v>1</v>
      </c>
    </row>
    <row r="333" spans="1:15">
      <c r="A333" s="76" t="s">
        <v>596</v>
      </c>
      <c r="D333" s="63">
        <v>2</v>
      </c>
      <c r="E333" s="381">
        <f>calcLOB2Clinician2GrossProd</f>
        <v>28</v>
      </c>
      <c r="F333" s="381">
        <f>calcLOB2Clinician2GrossProd</f>
        <v>28</v>
      </c>
      <c r="G333" s="381">
        <f>calcLOB2Clinician2GrossProd</f>
        <v>28</v>
      </c>
      <c r="H333" s="8" t="s">
        <v>2199</v>
      </c>
      <c r="I333" s="131" t="b">
        <f t="shared" si="12"/>
        <v>1</v>
      </c>
      <c r="K333" s="381">
        <f>calcR2LOB2Clinician2GrossProd</f>
        <v>28</v>
      </c>
      <c r="L333" s="381">
        <f>calcR2LOB2Clinician2GrossProd</f>
        <v>28</v>
      </c>
      <c r="M333" s="381">
        <f>calcR2LOB2Clinician2GrossProd</f>
        <v>28</v>
      </c>
      <c r="N333" s="8" t="s">
        <v>5831</v>
      </c>
      <c r="O333" s="131" t="b">
        <f t="shared" si="13"/>
        <v>1</v>
      </c>
    </row>
    <row r="334" spans="1:15">
      <c r="A334" s="76" t="s">
        <v>597</v>
      </c>
      <c r="D334" s="63">
        <v>3</v>
      </c>
      <c r="E334" s="381">
        <f>calcLOB2Clinician3GrossProd</f>
        <v>17.021276595744681</v>
      </c>
      <c r="F334" s="381">
        <f>calcLOB2Clinician3GrossProd</f>
        <v>17.021276595744681</v>
      </c>
      <c r="G334" s="381">
        <f>calcLOB2Clinician3GrossProd</f>
        <v>17.021276595744681</v>
      </c>
      <c r="H334" s="8" t="s">
        <v>2200</v>
      </c>
      <c r="I334" s="131" t="b">
        <f t="shared" si="12"/>
        <v>1</v>
      </c>
      <c r="K334" s="381">
        <f>calcR2LOB2Clinician3GrossProd</f>
        <v>17.021276595744681</v>
      </c>
      <c r="L334" s="381">
        <f>calcR2LOB2Clinician3GrossProd</f>
        <v>17.021276595744681</v>
      </c>
      <c r="M334" s="381">
        <f>calcR2LOB2Clinician3GrossProd</f>
        <v>17.021276595744681</v>
      </c>
      <c r="N334" s="8" t="s">
        <v>5832</v>
      </c>
      <c r="O334" s="131" t="b">
        <f t="shared" si="13"/>
        <v>1</v>
      </c>
    </row>
    <row r="335" spans="1:15">
      <c r="A335" s="76" t="s">
        <v>598</v>
      </c>
      <c r="D335" s="8">
        <v>4</v>
      </c>
      <c r="E335" s="381">
        <f>calcLOB2Clinician4GrossProd</f>
        <v>16.666666666666668</v>
      </c>
      <c r="F335" s="381">
        <f>calcLOB2Clinician4GrossProd</f>
        <v>16.666666666666668</v>
      </c>
      <c r="G335" s="381">
        <f>calcLOB2Clinician4GrossProd</f>
        <v>16.666666666666668</v>
      </c>
      <c r="H335" s="8" t="s">
        <v>2201</v>
      </c>
      <c r="I335" s="131" t="b">
        <f t="shared" si="12"/>
        <v>1</v>
      </c>
      <c r="K335" s="381">
        <f>calcR2LOB2Clinician4GrossProd</f>
        <v>16.666666666666668</v>
      </c>
      <c r="L335" s="381">
        <f>calcR2LOB2Clinician4GrossProd</f>
        <v>16.666666666666668</v>
      </c>
      <c r="M335" s="381">
        <f>calcR2LOB2Clinician4GrossProd</f>
        <v>16.666666666666668</v>
      </c>
      <c r="N335" s="8" t="s">
        <v>5833</v>
      </c>
      <c r="O335" s="131" t="b">
        <f t="shared" si="13"/>
        <v>1</v>
      </c>
    </row>
    <row r="336" spans="1:15">
      <c r="A336" s="76" t="s">
        <v>599</v>
      </c>
      <c r="D336" s="8">
        <v>5</v>
      </c>
      <c r="E336" s="381">
        <f>calcLOB2Clinician5GrossProd</f>
        <v>27.5</v>
      </c>
      <c r="F336" s="381">
        <f>calcLOB2Clinician5GrossProd</f>
        <v>27.5</v>
      </c>
      <c r="G336" s="381">
        <f>calcLOB2Clinician5GrossProd</f>
        <v>27.5</v>
      </c>
      <c r="H336" s="8" t="s">
        <v>2202</v>
      </c>
      <c r="I336" s="131" t="b">
        <f t="shared" si="12"/>
        <v>1</v>
      </c>
      <c r="K336" s="381">
        <f>calcR2LOB2Clinician5GrossProd</f>
        <v>27.5</v>
      </c>
      <c r="L336" s="381">
        <f>calcR2LOB2Clinician5GrossProd</f>
        <v>27.5</v>
      </c>
      <c r="M336" s="381">
        <f>calcR2LOB2Clinician5GrossProd</f>
        <v>27.5</v>
      </c>
      <c r="N336" s="8" t="s">
        <v>5834</v>
      </c>
      <c r="O336" s="131" t="b">
        <f t="shared" si="13"/>
        <v>1</v>
      </c>
    </row>
    <row r="337" spans="1:15">
      <c r="A337" s="76" t="s">
        <v>600</v>
      </c>
      <c r="D337" s="8">
        <v>6</v>
      </c>
      <c r="E337" s="381">
        <f>calcLOB2Clinician6GrossProd</f>
        <v>28</v>
      </c>
      <c r="F337" s="381">
        <f>calcLOB2Clinician6GrossProd</f>
        <v>28</v>
      </c>
      <c r="G337" s="381">
        <f>calcLOB2Clinician6GrossProd</f>
        <v>28</v>
      </c>
      <c r="H337" s="8" t="s">
        <v>2203</v>
      </c>
      <c r="I337" s="131" t="b">
        <f t="shared" si="12"/>
        <v>1</v>
      </c>
      <c r="K337" s="381">
        <f>calcR2LOB2Clinician6GrossProd</f>
        <v>28</v>
      </c>
      <c r="L337" s="381">
        <f>calcR2LOB2Clinician6GrossProd</f>
        <v>28</v>
      </c>
      <c r="M337" s="381">
        <f>calcR2LOB2Clinician6GrossProd</f>
        <v>28</v>
      </c>
      <c r="N337" s="8" t="s">
        <v>5835</v>
      </c>
      <c r="O337" s="131" t="b">
        <f t="shared" si="13"/>
        <v>1</v>
      </c>
    </row>
    <row r="338" spans="1:15">
      <c r="A338" s="76" t="s">
        <v>601</v>
      </c>
      <c r="D338" s="63">
        <v>7</v>
      </c>
      <c r="E338" s="381">
        <f>calcLOB2Clinician7GrossProd</f>
        <v>28</v>
      </c>
      <c r="F338" s="381">
        <f>calcLOB2Clinician7GrossProd</f>
        <v>28</v>
      </c>
      <c r="G338" s="381">
        <f>calcLOB2Clinician7GrossProd</f>
        <v>28</v>
      </c>
      <c r="H338" s="8" t="s">
        <v>2204</v>
      </c>
      <c r="I338" s="131" t="b">
        <f t="shared" si="12"/>
        <v>1</v>
      </c>
      <c r="K338" s="381">
        <f>calcR2LOB2Clinician7GrossProd</f>
        <v>28</v>
      </c>
      <c r="L338" s="381">
        <f>calcR2LOB2Clinician7GrossProd</f>
        <v>28</v>
      </c>
      <c r="M338" s="381">
        <f>calcR2LOB2Clinician7GrossProd</f>
        <v>28</v>
      </c>
      <c r="N338" s="8" t="s">
        <v>5836</v>
      </c>
      <c r="O338" s="131" t="b">
        <f t="shared" si="13"/>
        <v>1</v>
      </c>
    </row>
    <row r="339" spans="1:15">
      <c r="A339" s="76" t="s">
        <v>602</v>
      </c>
      <c r="D339" s="63">
        <v>8</v>
      </c>
      <c r="E339" s="381">
        <f>calcLOB2Clinician8GrossProd</f>
        <v>28</v>
      </c>
      <c r="F339" s="381">
        <f>calcLOB2Clinician8GrossProd</f>
        <v>28</v>
      </c>
      <c r="G339" s="381">
        <f>calcLOB2Clinician8GrossProd</f>
        <v>28</v>
      </c>
      <c r="H339" s="8" t="s">
        <v>2205</v>
      </c>
      <c r="I339" s="131" t="b">
        <f t="shared" si="12"/>
        <v>1</v>
      </c>
      <c r="K339" s="381">
        <f>calcR2LOB2Clinician8GrossProd</f>
        <v>28</v>
      </c>
      <c r="L339" s="381">
        <f>calcR2LOB2Clinician8GrossProd</f>
        <v>28</v>
      </c>
      <c r="M339" s="381">
        <f>calcR2LOB2Clinician8GrossProd</f>
        <v>28</v>
      </c>
      <c r="N339" s="8" t="s">
        <v>5837</v>
      </c>
      <c r="O339" s="131" t="b">
        <f t="shared" si="13"/>
        <v>1</v>
      </c>
    </row>
    <row r="340" spans="1:15">
      <c r="A340" s="76" t="s">
        <v>603</v>
      </c>
      <c r="D340" s="63">
        <v>9</v>
      </c>
      <c r="E340" s="381">
        <f>calcLOB2Clinician9GrossProd</f>
        <v>12.5</v>
      </c>
      <c r="F340" s="381">
        <f>calcLOB2Clinician9GrossProd</f>
        <v>12.5</v>
      </c>
      <c r="G340" s="381">
        <f>calcLOB2Clinician9GrossProd</f>
        <v>12.5</v>
      </c>
      <c r="H340" s="8" t="s">
        <v>2206</v>
      </c>
      <c r="I340" s="131" t="b">
        <f t="shared" si="12"/>
        <v>1</v>
      </c>
      <c r="K340" s="381">
        <f>calcR2LOB2Clinician9GrossProd</f>
        <v>12.5</v>
      </c>
      <c r="L340" s="381">
        <f>calcR2LOB2Clinician9GrossProd</f>
        <v>12.5</v>
      </c>
      <c r="M340" s="381">
        <f>calcR2LOB2Clinician9GrossProd</f>
        <v>12.5</v>
      </c>
      <c r="N340" s="8" t="s">
        <v>5838</v>
      </c>
      <c r="O340" s="131" t="b">
        <f t="shared" si="13"/>
        <v>1</v>
      </c>
    </row>
    <row r="341" spans="1:15">
      <c r="A341" s="76" t="s">
        <v>604</v>
      </c>
      <c r="D341" s="8">
        <v>10</v>
      </c>
      <c r="E341" s="381">
        <f>calcLOB2Clinician10GrossProd</f>
        <v>22.680412371134022</v>
      </c>
      <c r="F341" s="381">
        <f>calcLOB2Clinician10GrossProd</f>
        <v>22.680412371134022</v>
      </c>
      <c r="G341" s="381">
        <f>calcLOB2Clinician10GrossProd</f>
        <v>22.680412371134022</v>
      </c>
      <c r="H341" s="8" t="s">
        <v>2207</v>
      </c>
      <c r="I341" s="131" t="b">
        <f t="shared" si="12"/>
        <v>1</v>
      </c>
      <c r="K341" s="381">
        <f>calcR2LOB2Clinician10GrossProd</f>
        <v>22.680412371134022</v>
      </c>
      <c r="L341" s="381">
        <f>calcR2LOB2Clinician10GrossProd</f>
        <v>22.680412371134022</v>
      </c>
      <c r="M341" s="381">
        <f>calcR2LOB2Clinician10GrossProd</f>
        <v>22.680412371134022</v>
      </c>
      <c r="N341" s="8" t="s">
        <v>5839</v>
      </c>
      <c r="O341" s="131" t="b">
        <f t="shared" si="13"/>
        <v>1</v>
      </c>
    </row>
    <row r="342" spans="1:15">
      <c r="A342" s="76" t="s">
        <v>1497</v>
      </c>
      <c r="D342" s="8">
        <v>11</v>
      </c>
      <c r="E342" s="381">
        <f>calcLOB2Clinician11GrossProd</f>
        <v>0</v>
      </c>
      <c r="F342" s="381">
        <f>calcLOB2Clinician11GrossProd</f>
        <v>0</v>
      </c>
      <c r="G342" s="381">
        <f>calcLOB2Clinician11GrossProd</f>
        <v>0</v>
      </c>
      <c r="H342" s="8" t="s">
        <v>2208</v>
      </c>
      <c r="I342" s="131" t="b">
        <f t="shared" si="12"/>
        <v>1</v>
      </c>
      <c r="K342" s="381">
        <f>calcR2LOB2Clinician11GrossProd</f>
        <v>0</v>
      </c>
      <c r="L342" s="381">
        <f>calcR2LOB2Clinician11GrossProd</f>
        <v>0</v>
      </c>
      <c r="M342" s="381">
        <f>calcR2LOB2Clinician11GrossProd</f>
        <v>0</v>
      </c>
      <c r="N342" s="8" t="s">
        <v>5840</v>
      </c>
      <c r="O342" s="131" t="b">
        <f t="shared" si="13"/>
        <v>1</v>
      </c>
    </row>
    <row r="343" spans="1:15">
      <c r="A343" s="76" t="s">
        <v>1498</v>
      </c>
      <c r="D343" s="63">
        <v>12</v>
      </c>
      <c r="E343" s="381">
        <f>calcLOB2Clinician12GrossProd</f>
        <v>0</v>
      </c>
      <c r="F343" s="381">
        <f>calcLOB2Clinician12GrossProd</f>
        <v>0</v>
      </c>
      <c r="G343" s="381">
        <f>calcLOB2Clinician12GrossProd</f>
        <v>0</v>
      </c>
      <c r="H343" s="8" t="s">
        <v>2209</v>
      </c>
      <c r="I343" s="131" t="b">
        <f t="shared" si="12"/>
        <v>1</v>
      </c>
      <c r="K343" s="381">
        <f>calcR2LOB2Clinician12GrossProd</f>
        <v>0</v>
      </c>
      <c r="L343" s="381">
        <f>calcR2LOB2Clinician12GrossProd</f>
        <v>0</v>
      </c>
      <c r="M343" s="381">
        <f>calcR2LOB2Clinician12GrossProd</f>
        <v>0</v>
      </c>
      <c r="N343" s="8" t="s">
        <v>5841</v>
      </c>
      <c r="O343" s="131" t="b">
        <f t="shared" si="13"/>
        <v>1</v>
      </c>
    </row>
    <row r="344" spans="1:15">
      <c r="A344" s="76" t="s">
        <v>3998</v>
      </c>
      <c r="D344" s="63">
        <v>19</v>
      </c>
      <c r="E344" s="381">
        <f>cbalLOB2NumProdClinician13*cbalLOB2BaseProdClinician13</f>
        <v>119.69999999999999</v>
      </c>
      <c r="F344" s="381">
        <f>cbalLOB2NumProdClinician13*cbalLOB2BaseProdClinician13</f>
        <v>100</v>
      </c>
      <c r="G344" s="381">
        <f>cbalLOB2NumProdClinician13*cbalLOB2BaseProdClinician13</f>
        <v>200</v>
      </c>
      <c r="H344" s="8" t="s">
        <v>4087</v>
      </c>
      <c r="I344" s="131" t="b">
        <f t="shared" si="12"/>
        <v>0</v>
      </c>
      <c r="K344" s="381">
        <f>cbalR2LOB2NumProdClinician13*cbalR2LOB2BaseProdClinician13</f>
        <v>113.20624147319225</v>
      </c>
      <c r="L344" s="381">
        <f>cbalR2LOB2NumProdClinician13*cbalR2LOB2BaseProdClinician13</f>
        <v>100</v>
      </c>
      <c r="M344" s="381">
        <f>cbalR2LOB2NumProdClinician13*cbalR2LOB2BaseProdClinician13</f>
        <v>200</v>
      </c>
      <c r="N344" s="8" t="s">
        <v>5842</v>
      </c>
      <c r="O344" s="131" t="b">
        <f t="shared" si="13"/>
        <v>0</v>
      </c>
    </row>
    <row r="345" spans="1:15">
      <c r="A345" s="76" t="s">
        <v>3999</v>
      </c>
      <c r="D345" s="63">
        <v>20</v>
      </c>
      <c r="E345" s="381">
        <f>cbalLOB2NumProdClinician14*cbalLOB2BaseProdClinician14</f>
        <v>170.99999999999997</v>
      </c>
      <c r="F345" s="381">
        <f>obalLOB2AvgProdClinician14*cbalLOB2Disc2Retention</f>
        <v>100</v>
      </c>
      <c r="G345" s="381">
        <f>obalLOB2AvgProdClinician14*cbalLOB2Disc2Retention</f>
        <v>200</v>
      </c>
      <c r="H345" s="8" t="s">
        <v>4088</v>
      </c>
      <c r="I345" s="131" t="b">
        <f t="shared" si="12"/>
        <v>0</v>
      </c>
      <c r="K345" s="381">
        <f>cbalR2LOB2NumProdClinician14*cbalR2LOB2BaseProdClinician14</f>
        <v>161.72320210456039</v>
      </c>
      <c r="L345" s="381">
        <f>cbalR2LOB2NumProdClinician14*cbalR2LOB2BaseProdClinician14</f>
        <v>100</v>
      </c>
      <c r="M345" s="381">
        <f>cbalR2LOB2NumProdClinician14*cbalR2LOB2BaseProdClinician14</f>
        <v>200</v>
      </c>
      <c r="N345" s="8" t="s">
        <v>5843</v>
      </c>
      <c r="O345" s="131" t="b">
        <f t="shared" si="13"/>
        <v>0</v>
      </c>
    </row>
    <row r="346" spans="1:15">
      <c r="A346" s="76" t="s">
        <v>4000</v>
      </c>
      <c r="D346" s="63">
        <v>21</v>
      </c>
      <c r="E346" s="381">
        <f>cbalLOB2NumProdClinician15*cbalLOB2BaseProdClinician15</f>
        <v>110.19999999999999</v>
      </c>
      <c r="F346" s="381">
        <f>obalLOB2AvgProdClinician15*cbalLOB2Disc3Retention</f>
        <v>90</v>
      </c>
      <c r="G346" s="381">
        <f>obalLOB2AvgProdClinician15*cbalLOB2Disc3Retention</f>
        <v>175</v>
      </c>
      <c r="H346" s="8" t="s">
        <v>4089</v>
      </c>
      <c r="I346" s="131" t="b">
        <f t="shared" si="12"/>
        <v>0</v>
      </c>
      <c r="K346" s="381">
        <f>cbalR2LOB2NumProdClinician15*cbalR2LOB2BaseProdClinician15</f>
        <v>104.22161913405003</v>
      </c>
      <c r="L346" s="381">
        <f>cbalR2LOB2NumProdClinician15*cbalR2LOB2BaseProdClinician15</f>
        <v>90</v>
      </c>
      <c r="M346" s="381">
        <f>cbalR2LOB2NumProdClinician15*cbalR2LOB2BaseProdClinician15</f>
        <v>175</v>
      </c>
      <c r="N346" s="8" t="s">
        <v>5844</v>
      </c>
      <c r="O346" s="131" t="b">
        <f t="shared" si="13"/>
        <v>0</v>
      </c>
    </row>
    <row r="347" spans="1:15">
      <c r="A347" s="76" t="s">
        <v>4001</v>
      </c>
      <c r="D347" s="63">
        <v>22</v>
      </c>
      <c r="E347" s="381">
        <f>cbalLOB2NumProdClinician16*cbalLOB2BaseProdClinician16</f>
        <v>33.25</v>
      </c>
      <c r="F347" s="381">
        <f>obalLOB2AvgProdClinician16*cbalLOB2Disc4Retention</f>
        <v>30</v>
      </c>
      <c r="G347" s="381">
        <f>obalLOB2AvgProdClinician16*cbalLOB2Disc4Retention</f>
        <v>55.000000000000007</v>
      </c>
      <c r="H347" s="8" t="s">
        <v>4090</v>
      </c>
      <c r="I347" s="131" t="b">
        <f t="shared" si="12"/>
        <v>0</v>
      </c>
      <c r="K347" s="381">
        <f>cbalR2LOB2NumProdClinician16*cbalR2LOB2BaseProdClinician16</f>
        <v>31.446178186997855</v>
      </c>
      <c r="L347" s="381">
        <f>cbalR2LOB2NumProdClinician16*cbalR2LOB2BaseProdClinician16</f>
        <v>30</v>
      </c>
      <c r="M347" s="381">
        <f>cbalR2LOB2NumProdClinician16*cbalR2LOB2BaseProdClinician16</f>
        <v>55.000000000000007</v>
      </c>
      <c r="N347" s="8" t="s">
        <v>5845</v>
      </c>
      <c r="O347" s="131" t="b">
        <f t="shared" si="13"/>
        <v>0</v>
      </c>
    </row>
    <row r="348" spans="1:15">
      <c r="A348" s="76" t="s">
        <v>1497</v>
      </c>
      <c r="D348" s="8">
        <v>11</v>
      </c>
      <c r="E348" s="508">
        <f>VLOOKUP(calcLOB2Clinician11LookupValue,dataTableCC2Staff,5,FALSE)*paramLOB2Meetings*paramLOB2ClinicianRecruitment</f>
        <v>0</v>
      </c>
      <c r="F348" s="508">
        <f>VLOOKUP(calcLOB2Clinician11LookupValue,dataTableCC2Staff,5,FALSE)*paramLOB2Meetings*paramLOB2ClinicianRecruitment</f>
        <v>0</v>
      </c>
      <c r="G348" s="508">
        <f>VLOOKUP(calcLOB2Clinician11LookupValue,dataTableCC2Staff,5,FALSE)*paramLOB2Meetings*paramLOB2ClinicianRecruitment</f>
        <v>0</v>
      </c>
      <c r="H348" s="8" t="s">
        <v>3986</v>
      </c>
      <c r="I348" s="131" t="b">
        <f t="shared" si="12"/>
        <v>1</v>
      </c>
      <c r="K348" s="508">
        <f>VLOOKUP(calcR2LOB2Clinician11LookupValue,dataTableCC2Staff,5,FALSE)*paramR2LOB2Meetings*paramR2LOB2ClinicianRecruitment</f>
        <v>0</v>
      </c>
      <c r="L348" s="508">
        <f>VLOOKUP(calcR2LOB2Clinician11LookupValue,dataTableCC2Staff,5,FALSE)*paramR2LOB2Meetings*paramR2LOB2ClinicianRecruitment</f>
        <v>0</v>
      </c>
      <c r="M348" s="508">
        <f>VLOOKUP(calcR2LOB2Clinician11LookupValue,dataTableCC2Staff,5,FALSE)*paramR2LOB2Meetings*paramR2LOB2ClinicianRecruitment</f>
        <v>0</v>
      </c>
      <c r="N348" s="8" t="s">
        <v>5846</v>
      </c>
      <c r="O348" s="131" t="b">
        <f t="shared" si="13"/>
        <v>1</v>
      </c>
    </row>
    <row r="349" spans="1:15">
      <c r="A349" s="76" t="s">
        <v>1498</v>
      </c>
      <c r="D349" s="63">
        <v>12</v>
      </c>
      <c r="E349" s="508">
        <f>VLOOKUP(calcLOB2Clinician12LookupValue,dataTableCC2Staff,5,FALSE)*paramLOB2Meetings*paramLOB2ClinicianRecruitment</f>
        <v>0</v>
      </c>
      <c r="F349" s="508">
        <f>VLOOKUP(calcLOB2Clinician12LookupValue,dataTableCC2Staff,5,FALSE)*paramLOB2Meetings*paramLOB2ClinicianRecruitment</f>
        <v>0</v>
      </c>
      <c r="G349" s="508">
        <f>VLOOKUP(calcLOB2Clinician12LookupValue,dataTableCC2Staff,5,FALSE)*paramLOB2Meetings*paramLOB2ClinicianRecruitment</f>
        <v>0</v>
      </c>
      <c r="H349" s="8" t="s">
        <v>3987</v>
      </c>
      <c r="I349" s="131" t="b">
        <f t="shared" si="12"/>
        <v>1</v>
      </c>
      <c r="K349" s="508">
        <f>VLOOKUP(calcR2LOB2Clinician12LookupValue,dataTableCC2Staff,5,FALSE)*paramR2LOB2Meetings*paramR2LOB2ClinicianRecruitment</f>
        <v>0</v>
      </c>
      <c r="L349" s="508">
        <f>VLOOKUP(calcR2LOB2Clinician12LookupValue,dataTableCC2Staff,5,FALSE)*paramR2LOB2Meetings*paramR2LOB2ClinicianRecruitment</f>
        <v>0</v>
      </c>
      <c r="M349" s="508">
        <f>VLOOKUP(calcR2LOB2Clinician12LookupValue,dataTableCC2Staff,5,FALSE)*paramR2LOB2Meetings*paramR2LOB2ClinicianRecruitment</f>
        <v>0</v>
      </c>
      <c r="N349" s="8" t="s">
        <v>5847</v>
      </c>
      <c r="O349" s="131" t="b">
        <f t="shared" si="13"/>
        <v>1</v>
      </c>
    </row>
    <row r="350" spans="1:15">
      <c r="A350" s="76"/>
      <c r="I350" s="131" t="b">
        <f t="shared" si="12"/>
        <v>1</v>
      </c>
      <c r="K350" s="159"/>
      <c r="L350" s="159"/>
      <c r="M350" s="159"/>
      <c r="O350" s="131" t="b">
        <f t="shared" si="13"/>
        <v>1</v>
      </c>
    </row>
    <row r="351" spans="1:15">
      <c r="A351" s="76" t="s">
        <v>2008</v>
      </c>
      <c r="I351" s="131" t="b">
        <f t="shared" si="12"/>
        <v>1</v>
      </c>
      <c r="K351" s="159"/>
      <c r="L351" s="159"/>
      <c r="M351" s="159"/>
      <c r="O351" s="131" t="b">
        <f t="shared" si="13"/>
        <v>1</v>
      </c>
    </row>
    <row r="352" spans="1:15">
      <c r="A352" s="76" t="s">
        <v>595</v>
      </c>
      <c r="D352" s="63">
        <v>1</v>
      </c>
      <c r="E352" s="531">
        <f>obalLOB2MileagePVisitClinician1*paramLOB2Clinician1Mileage</f>
        <v>6.9</v>
      </c>
      <c r="F352" s="531">
        <f>obalLOB2MileagePVisitClinician1*paramLOB2Clinician1Mileage</f>
        <v>6.9</v>
      </c>
      <c r="G352" s="531">
        <f>obalLOB2MileagePVisitClinician1*paramLOB2Clinician1Mileage</f>
        <v>6.9</v>
      </c>
      <c r="H352" s="8" t="s">
        <v>3822</v>
      </c>
      <c r="I352" s="131" t="b">
        <f t="shared" si="12"/>
        <v>1</v>
      </c>
      <c r="K352" s="531">
        <f>obalR2LOB2MileagePVisitClinician1*paramR2LOB2Clinician1Mileage</f>
        <v>6.9</v>
      </c>
      <c r="L352" s="531">
        <f>obalR2LOB2MileagePVisitClinician1*paramR2LOB2Clinician1Mileage</f>
        <v>6.9</v>
      </c>
      <c r="M352" s="531">
        <f>obalR2LOB2MileagePVisitClinician1*paramR2LOB2Clinician1Mileage</f>
        <v>6.9</v>
      </c>
      <c r="N352" s="8" t="s">
        <v>5848</v>
      </c>
      <c r="O352" s="131" t="b">
        <f t="shared" si="13"/>
        <v>1</v>
      </c>
    </row>
    <row r="353" spans="1:15">
      <c r="A353" s="76" t="s">
        <v>596</v>
      </c>
      <c r="D353" s="63">
        <v>2</v>
      </c>
      <c r="E353" s="531">
        <f>obalLOB2MileagePVisitClinician2*paramLOB2Clinician2Mileage</f>
        <v>5.7</v>
      </c>
      <c r="F353" s="531">
        <f>obalLOB2MileagePVisitClinician2*paramLOB2Clinician2Mileage</f>
        <v>5.7</v>
      </c>
      <c r="G353" s="531">
        <f>obalLOB2MileagePVisitClinician2*paramLOB2Clinician2Mileage</f>
        <v>5.7</v>
      </c>
      <c r="H353" s="8" t="s">
        <v>3823</v>
      </c>
      <c r="I353" s="131" t="b">
        <f t="shared" si="12"/>
        <v>1</v>
      </c>
      <c r="K353" s="531">
        <f>obalR2LOB2MileagePVisitClinician2*paramR2LOB2Clinician2Mileage</f>
        <v>5.7</v>
      </c>
      <c r="L353" s="531">
        <f>obalR2LOB2MileagePVisitClinician2*paramR2LOB2Clinician2Mileage</f>
        <v>5.7</v>
      </c>
      <c r="M353" s="531">
        <f>obalR2LOB2MileagePVisitClinician2*paramR2LOB2Clinician2Mileage</f>
        <v>5.7</v>
      </c>
      <c r="N353" s="8" t="s">
        <v>5849</v>
      </c>
      <c r="O353" s="131" t="b">
        <f t="shared" si="13"/>
        <v>1</v>
      </c>
    </row>
    <row r="354" spans="1:15">
      <c r="A354" s="76" t="s">
        <v>597</v>
      </c>
      <c r="D354" s="63">
        <v>3</v>
      </c>
      <c r="E354" s="531">
        <f>obalLOB2MileagePVisitClinician3*paramLOB2Clinician3Mileage</f>
        <v>4.8</v>
      </c>
      <c r="F354" s="531">
        <f>obalLOB2MileagePVisitClinician3*paramLOB2Clinician3Mileage</f>
        <v>4.8</v>
      </c>
      <c r="G354" s="531">
        <f>obalLOB2MileagePVisitClinician3*paramLOB2Clinician3Mileage</f>
        <v>4.8</v>
      </c>
      <c r="H354" s="8" t="s">
        <v>3824</v>
      </c>
      <c r="I354" s="131" t="b">
        <f t="shared" ref="I354:I417" si="14">MAX(E354:G354)=MIN(E354:G354)</f>
        <v>1</v>
      </c>
      <c r="K354" s="531">
        <f>obalR2LOB2MileagePVisitClinician3*paramR2LOB2Clinician3Mileage</f>
        <v>4.8</v>
      </c>
      <c r="L354" s="531">
        <f>obalR2LOB2MileagePVisitClinician3*paramR2LOB2Clinician3Mileage</f>
        <v>4.8</v>
      </c>
      <c r="M354" s="531">
        <f>obalR2LOB2MileagePVisitClinician3*paramR2LOB2Clinician3Mileage</f>
        <v>4.8</v>
      </c>
      <c r="N354" s="8" t="s">
        <v>5850</v>
      </c>
      <c r="O354" s="131" t="b">
        <f t="shared" ref="O354:O417" si="15">MAX(K354:M354)=MIN(K354:M354)</f>
        <v>1</v>
      </c>
    </row>
    <row r="355" spans="1:15">
      <c r="A355" s="76" t="s">
        <v>598</v>
      </c>
      <c r="D355" s="8">
        <v>4</v>
      </c>
      <c r="E355" s="531">
        <f>obalLOB2MileagePVisitClinician4*paramLOB2Clinician4Mileage</f>
        <v>5.4</v>
      </c>
      <c r="F355" s="531">
        <f>obalLOB2MileagePVisitClinician4*paramLOB2Clinician4Mileage</f>
        <v>5.4</v>
      </c>
      <c r="G355" s="531">
        <f>obalLOB2MileagePVisitClinician4*paramLOB2Clinician4Mileage</f>
        <v>5.4</v>
      </c>
      <c r="H355" s="8" t="s">
        <v>3825</v>
      </c>
      <c r="I355" s="131" t="b">
        <f t="shared" si="14"/>
        <v>1</v>
      </c>
      <c r="K355" s="531">
        <f>obalR2LOB2MileagePVisitClinician4*paramR2LOB2Clinician4Mileage</f>
        <v>5.4</v>
      </c>
      <c r="L355" s="531">
        <f>obalR2LOB2MileagePVisitClinician4*paramR2LOB2Clinician4Mileage</f>
        <v>5.4</v>
      </c>
      <c r="M355" s="531">
        <f>obalR2LOB2MileagePVisitClinician4*paramR2LOB2Clinician4Mileage</f>
        <v>5.4</v>
      </c>
      <c r="N355" s="8" t="s">
        <v>5851</v>
      </c>
      <c r="O355" s="131" t="b">
        <f t="shared" si="15"/>
        <v>1</v>
      </c>
    </row>
    <row r="356" spans="1:15">
      <c r="A356" s="76" t="s">
        <v>599</v>
      </c>
      <c r="D356" s="8">
        <v>5</v>
      </c>
      <c r="E356" s="531">
        <f>obalLOB2MileagePVisitClinician5*paramLOB2Clinician5Mileage</f>
        <v>6.3</v>
      </c>
      <c r="F356" s="531">
        <f>obalLOB2MileagePVisitClinician5*paramLOB2Clinician5Mileage</f>
        <v>6.3</v>
      </c>
      <c r="G356" s="531">
        <f>obalLOB2MileagePVisitClinician5*paramLOB2Clinician5Mileage</f>
        <v>6.3</v>
      </c>
      <c r="H356" s="8" t="s">
        <v>3826</v>
      </c>
      <c r="I356" s="131" t="b">
        <f t="shared" si="14"/>
        <v>1</v>
      </c>
      <c r="K356" s="531">
        <f>obalR2LOB2MileagePVisitClinician5*paramR2LOB2Clinician5Mileage</f>
        <v>6.3</v>
      </c>
      <c r="L356" s="531">
        <f>obalR2LOB2MileagePVisitClinician5*paramR2LOB2Clinician5Mileage</f>
        <v>6.3</v>
      </c>
      <c r="M356" s="531">
        <f>obalR2LOB2MileagePVisitClinician5*paramR2LOB2Clinician5Mileage</f>
        <v>6.3</v>
      </c>
      <c r="N356" s="8" t="s">
        <v>5852</v>
      </c>
      <c r="O356" s="131" t="b">
        <f t="shared" si="15"/>
        <v>1</v>
      </c>
    </row>
    <row r="357" spans="1:15">
      <c r="A357" s="76" t="s">
        <v>600</v>
      </c>
      <c r="D357" s="8">
        <v>6</v>
      </c>
      <c r="E357" s="531">
        <f>obalLOB2MileagePVisitClinician6*paramLOB2Clinician6Mileage</f>
        <v>6</v>
      </c>
      <c r="F357" s="531">
        <f>obalLOB2MileagePVisitClinician6*paramLOB2Clinician6Mileage</f>
        <v>6</v>
      </c>
      <c r="G357" s="531">
        <f>obalLOB2MileagePVisitClinician6*paramLOB2Clinician6Mileage</f>
        <v>6</v>
      </c>
      <c r="H357" s="8" t="s">
        <v>3827</v>
      </c>
      <c r="I357" s="131" t="b">
        <f t="shared" si="14"/>
        <v>1</v>
      </c>
      <c r="K357" s="531">
        <f>obalR2LOB2MileagePVisitClinician6*paramR2LOB2Clinician6Mileage</f>
        <v>6</v>
      </c>
      <c r="L357" s="531">
        <f>obalR2LOB2MileagePVisitClinician6*paramR2LOB2Clinician6Mileage</f>
        <v>6</v>
      </c>
      <c r="M357" s="531">
        <f>obalR2LOB2MileagePVisitClinician6*paramR2LOB2Clinician6Mileage</f>
        <v>6</v>
      </c>
      <c r="N357" s="8" t="s">
        <v>5853</v>
      </c>
      <c r="O357" s="131" t="b">
        <f t="shared" si="15"/>
        <v>1</v>
      </c>
    </row>
    <row r="358" spans="1:15">
      <c r="A358" s="76" t="s">
        <v>601</v>
      </c>
      <c r="D358" s="63">
        <v>7</v>
      </c>
      <c r="E358" s="531">
        <f>obalLOB2MileagePVisitClinician7*paramLOB2Clinician7Mileage</f>
        <v>4.9000000000000004</v>
      </c>
      <c r="F358" s="531">
        <f>obalLOB2MileagePVisitClinician7*paramLOB2Clinician7Mileage</f>
        <v>4.9000000000000004</v>
      </c>
      <c r="G358" s="531">
        <f>obalLOB2MileagePVisitClinician7*paramLOB2Clinician7Mileage</f>
        <v>4.9000000000000004</v>
      </c>
      <c r="H358" s="8" t="s">
        <v>3828</v>
      </c>
      <c r="I358" s="131" t="b">
        <f t="shared" si="14"/>
        <v>1</v>
      </c>
      <c r="K358" s="531">
        <f>obalR2LOB2MileagePVisitClinician7*paramR2LOB2Clinician7Mileage</f>
        <v>4.9000000000000004</v>
      </c>
      <c r="L358" s="531">
        <f>obalR2LOB2MileagePVisitClinician7*paramR2LOB2Clinician7Mileage</f>
        <v>4.9000000000000004</v>
      </c>
      <c r="M358" s="531">
        <f>obalR2LOB2MileagePVisitClinician7*paramR2LOB2Clinician7Mileage</f>
        <v>4.9000000000000004</v>
      </c>
      <c r="N358" s="8" t="s">
        <v>5854</v>
      </c>
      <c r="O358" s="131" t="b">
        <f t="shared" si="15"/>
        <v>1</v>
      </c>
    </row>
    <row r="359" spans="1:15">
      <c r="A359" s="76" t="s">
        <v>602</v>
      </c>
      <c r="D359" s="63">
        <v>8</v>
      </c>
      <c r="E359" s="531">
        <f>obalLOB2MileagePVisitClinician8*paramLOB2Clinician8Mileage</f>
        <v>5.6</v>
      </c>
      <c r="F359" s="531">
        <f>obalLOB2MileagePVisitClinician8*paramLOB2Clinician8Mileage</f>
        <v>5.6</v>
      </c>
      <c r="G359" s="531">
        <f>obalLOB2MileagePVisitClinician8*paramLOB2Clinician8Mileage</f>
        <v>5.6</v>
      </c>
      <c r="H359" s="8" t="s">
        <v>3829</v>
      </c>
      <c r="I359" s="131" t="b">
        <f t="shared" si="14"/>
        <v>1</v>
      </c>
      <c r="K359" s="531">
        <f>obalR2LOB2MileagePVisitClinician8*paramR2LOB2Clinician8Mileage</f>
        <v>5.6</v>
      </c>
      <c r="L359" s="531">
        <f>obalR2LOB2MileagePVisitClinician8*paramR2LOB2Clinician8Mileage</f>
        <v>5.6</v>
      </c>
      <c r="M359" s="531">
        <f>obalR2LOB2MileagePVisitClinician8*paramR2LOB2Clinician8Mileage</f>
        <v>5.6</v>
      </c>
      <c r="N359" s="8" t="s">
        <v>5855</v>
      </c>
      <c r="O359" s="131" t="b">
        <f t="shared" si="15"/>
        <v>1</v>
      </c>
    </row>
    <row r="360" spans="1:15">
      <c r="A360" s="76" t="s">
        <v>603</v>
      </c>
      <c r="D360" s="63">
        <v>9</v>
      </c>
      <c r="E360" s="531">
        <f>obalLOB2MileagePVisitClinician9*paramLOB2Clinician9Mileage</f>
        <v>4.8</v>
      </c>
      <c r="F360" s="531">
        <f>obalLOB2MileagePVisitClinician9*paramLOB2Clinician9Mileage</f>
        <v>4.8</v>
      </c>
      <c r="G360" s="531">
        <f>obalLOB2MileagePVisitClinician9*paramLOB2Clinician9Mileage</f>
        <v>4.8</v>
      </c>
      <c r="H360" s="8" t="s">
        <v>3830</v>
      </c>
      <c r="I360" s="131" t="b">
        <f t="shared" si="14"/>
        <v>1</v>
      </c>
      <c r="K360" s="531">
        <f>obalR2LOB2MileagePVisitClinician9*paramR2LOB2Clinician9Mileage</f>
        <v>4.8</v>
      </c>
      <c r="L360" s="531">
        <f>obalR2LOB2MileagePVisitClinician9*paramR2LOB2Clinician9Mileage</f>
        <v>4.8</v>
      </c>
      <c r="M360" s="531">
        <f>obalR2LOB2MileagePVisitClinician9*paramR2LOB2Clinician9Mileage</f>
        <v>4.8</v>
      </c>
      <c r="N360" s="8" t="s">
        <v>5856</v>
      </c>
      <c r="O360" s="131" t="b">
        <f t="shared" si="15"/>
        <v>1</v>
      </c>
    </row>
    <row r="361" spans="1:15">
      <c r="A361" s="76" t="s">
        <v>604</v>
      </c>
      <c r="D361" s="8">
        <v>10</v>
      </c>
      <c r="E361" s="531">
        <f>obalLOB2MileagePVisitClinician10*paramLOB2Clinician10Mileage</f>
        <v>5.3</v>
      </c>
      <c r="F361" s="531">
        <f>obalLOB2MileagePVisitClinician10*paramLOB2Clinician10Mileage</f>
        <v>5.3</v>
      </c>
      <c r="G361" s="531">
        <f>obalLOB2MileagePVisitClinician10*paramLOB2Clinician10Mileage</f>
        <v>5.3</v>
      </c>
      <c r="H361" s="8" t="s">
        <v>3831</v>
      </c>
      <c r="I361" s="131" t="b">
        <f t="shared" si="14"/>
        <v>1</v>
      </c>
      <c r="K361" s="531">
        <f>obalR2LOB2MileagePVisitClinician10*paramR2LOB2Clinician10Mileage</f>
        <v>5.3</v>
      </c>
      <c r="L361" s="531">
        <f>obalR2LOB2MileagePVisitClinician10*paramR2LOB2Clinician10Mileage</f>
        <v>5.3</v>
      </c>
      <c r="M361" s="531">
        <f>obalR2LOB2MileagePVisitClinician10*paramR2LOB2Clinician10Mileage</f>
        <v>5.3</v>
      </c>
      <c r="N361" s="8" t="s">
        <v>5857</v>
      </c>
      <c r="O361" s="131" t="b">
        <f t="shared" si="15"/>
        <v>1</v>
      </c>
    </row>
    <row r="362" spans="1:15">
      <c r="A362" s="76" t="s">
        <v>1497</v>
      </c>
      <c r="D362" s="8">
        <v>11</v>
      </c>
      <c r="E362" s="531">
        <f>obalLOB2MileagePVisitClinician11*paramLOB2Clinician11Mileage</f>
        <v>6</v>
      </c>
      <c r="F362" s="531">
        <f>obalLOB2MileagePVisitClinician11*paramLOB2Clinician11Mileage</f>
        <v>6</v>
      </c>
      <c r="G362" s="531">
        <f>obalLOB2MileagePVisitClinician11*paramLOB2Clinician11Mileage</f>
        <v>6</v>
      </c>
      <c r="H362" s="8" t="s">
        <v>3832</v>
      </c>
      <c r="I362" s="131" t="b">
        <f t="shared" si="14"/>
        <v>1</v>
      </c>
      <c r="K362" s="531">
        <f>obalR2LOB2MileagePVisitClinician11*paramR2LOB2Clinician11Mileage</f>
        <v>6</v>
      </c>
      <c r="L362" s="531">
        <f>obalR2LOB2MileagePVisitClinician11*paramR2LOB2Clinician11Mileage</f>
        <v>6</v>
      </c>
      <c r="M362" s="531">
        <f>obalR2LOB2MileagePVisitClinician11*paramR2LOB2Clinician11Mileage</f>
        <v>6</v>
      </c>
      <c r="N362" s="8" t="s">
        <v>5858</v>
      </c>
      <c r="O362" s="131" t="b">
        <f t="shared" si="15"/>
        <v>1</v>
      </c>
    </row>
    <row r="363" spans="1:15">
      <c r="A363" s="76" t="s">
        <v>1498</v>
      </c>
      <c r="D363" s="63">
        <v>12</v>
      </c>
      <c r="E363" s="531">
        <f>obalLOB2MileagePVisitClinician12*paramLOB2Clinician12Mileage</f>
        <v>6</v>
      </c>
      <c r="F363" s="531">
        <f>obalLOB2MileagePVisitClinician12*paramLOB2Clinician12Mileage</f>
        <v>6</v>
      </c>
      <c r="G363" s="531">
        <f>obalLOB2MileagePVisitClinician12*paramLOB2Clinician12Mileage</f>
        <v>6</v>
      </c>
      <c r="H363" s="8" t="s">
        <v>3833</v>
      </c>
      <c r="I363" s="131" t="b">
        <f t="shared" si="14"/>
        <v>1</v>
      </c>
      <c r="K363" s="531">
        <f>obalR2LOB2MileagePVisitClinician12*paramR2LOB2Clinician12Mileage</f>
        <v>6</v>
      </c>
      <c r="L363" s="531">
        <f>obalR2LOB2MileagePVisitClinician12*paramR2LOB2Clinician12Mileage</f>
        <v>6</v>
      </c>
      <c r="M363" s="531">
        <f>obalR2LOB2MileagePVisitClinician12*paramR2LOB2Clinician12Mileage</f>
        <v>6</v>
      </c>
      <c r="N363" s="8" t="s">
        <v>5859</v>
      </c>
      <c r="O363" s="131" t="b">
        <f t="shared" si="15"/>
        <v>1</v>
      </c>
    </row>
    <row r="364" spans="1:15">
      <c r="A364" s="76"/>
      <c r="I364" s="131" t="b">
        <f t="shared" si="14"/>
        <v>1</v>
      </c>
      <c r="K364" s="159"/>
      <c r="L364" s="159"/>
      <c r="M364" s="159"/>
      <c r="O364" s="131" t="b">
        <f t="shared" si="15"/>
        <v>1</v>
      </c>
    </row>
    <row r="365" spans="1:15">
      <c r="A365" s="76" t="s">
        <v>2008</v>
      </c>
      <c r="I365" s="131" t="b">
        <f t="shared" si="14"/>
        <v>1</v>
      </c>
      <c r="K365" s="159"/>
      <c r="L365" s="159"/>
      <c r="M365" s="159"/>
      <c r="O365" s="131" t="b">
        <f t="shared" si="15"/>
        <v>1</v>
      </c>
    </row>
    <row r="366" spans="1:15">
      <c r="A366" s="76" t="s">
        <v>595</v>
      </c>
      <c r="D366" s="63">
        <v>1</v>
      </c>
      <c r="E366" s="531">
        <f>cbalLOB2AvgProdClinician1*cbalLOB2MileagePVisitClinician1</f>
        <v>186.3</v>
      </c>
      <c r="F366" s="531">
        <f>cbalLOB2AvgProdClinician1*cbalLOB2MileagePVisitClinician1</f>
        <v>186.3</v>
      </c>
      <c r="G366" s="531">
        <f>cbalLOB2AvgProdClinician1*cbalLOB2MileagePVisitClinician1</f>
        <v>186.3</v>
      </c>
      <c r="H366" s="8" t="s">
        <v>2210</v>
      </c>
      <c r="I366" s="131" t="b">
        <f t="shared" si="14"/>
        <v>1</v>
      </c>
      <c r="K366" s="531">
        <f>cbalR2LOB2AvgProdClinician1*cbalR2LOB2MileagePVisitClinician1</f>
        <v>186.3</v>
      </c>
      <c r="L366" s="531">
        <f>cbalR2LOB2AvgProdClinician1*cbalR2LOB2MileagePVisitClinician1</f>
        <v>186.3</v>
      </c>
      <c r="M366" s="531">
        <f>cbalR2LOB2AvgProdClinician1*cbalR2LOB2MileagePVisitClinician1</f>
        <v>186.3</v>
      </c>
      <c r="N366" s="8" t="s">
        <v>5860</v>
      </c>
      <c r="O366" s="131" t="b">
        <f t="shared" si="15"/>
        <v>1</v>
      </c>
    </row>
    <row r="367" spans="1:15">
      <c r="A367" s="76" t="s">
        <v>596</v>
      </c>
      <c r="D367" s="63">
        <v>2</v>
      </c>
      <c r="E367" s="531">
        <f>cbalLOB2AvgProdClinician2*cbalLOB2MileagePVisitClinician2</f>
        <v>159.6</v>
      </c>
      <c r="F367" s="531">
        <f>cbalLOB2AvgProdClinician2*cbalLOB2MileagePVisitClinician2</f>
        <v>159.6</v>
      </c>
      <c r="G367" s="531">
        <f>cbalLOB2AvgProdClinician2*cbalLOB2MileagePVisitClinician2</f>
        <v>159.6</v>
      </c>
      <c r="H367" s="8" t="s">
        <v>2211</v>
      </c>
      <c r="I367" s="131" t="b">
        <f t="shared" si="14"/>
        <v>1</v>
      </c>
      <c r="K367" s="531">
        <f>cbalR2LOB2AvgProdClinician2*cbalR2LOB2MileagePVisitClinician2</f>
        <v>159.6</v>
      </c>
      <c r="L367" s="531">
        <f>cbalR2LOB2AvgProdClinician2*cbalR2LOB2MileagePVisitClinician2</f>
        <v>159.6</v>
      </c>
      <c r="M367" s="531">
        <f>cbalR2LOB2AvgProdClinician2*cbalR2LOB2MileagePVisitClinician2</f>
        <v>159.6</v>
      </c>
      <c r="N367" s="8" t="s">
        <v>5861</v>
      </c>
      <c r="O367" s="131" t="b">
        <f t="shared" si="15"/>
        <v>1</v>
      </c>
    </row>
    <row r="368" spans="1:15">
      <c r="A368" s="76" t="s">
        <v>597</v>
      </c>
      <c r="D368" s="63">
        <v>3</v>
      </c>
      <c r="E368" s="531">
        <f>cbalLOB2AvgProdClinician3*cbalLOB2MileagePVisitClinician3</f>
        <v>81.702127659574458</v>
      </c>
      <c r="F368" s="531">
        <f>cbalLOB2AvgProdClinician3*cbalLOB2MileagePVisitClinician3</f>
        <v>81.702127659574458</v>
      </c>
      <c r="G368" s="531">
        <f>cbalLOB2AvgProdClinician3*cbalLOB2MileagePVisitClinician3</f>
        <v>81.702127659574458</v>
      </c>
      <c r="H368" s="8" t="s">
        <v>2212</v>
      </c>
      <c r="I368" s="131" t="b">
        <f t="shared" si="14"/>
        <v>1</v>
      </c>
      <c r="K368" s="531">
        <f>cbalR2LOB2AvgProdClinician3*cbalR2LOB2MileagePVisitClinician3</f>
        <v>81.702127659574458</v>
      </c>
      <c r="L368" s="531">
        <f>cbalR2LOB2AvgProdClinician3*cbalR2LOB2MileagePVisitClinician3</f>
        <v>81.702127659574458</v>
      </c>
      <c r="M368" s="531">
        <f>cbalR2LOB2AvgProdClinician3*cbalR2LOB2MileagePVisitClinician3</f>
        <v>81.702127659574458</v>
      </c>
      <c r="N368" s="8" t="s">
        <v>5862</v>
      </c>
      <c r="O368" s="131" t="b">
        <f t="shared" si="15"/>
        <v>1</v>
      </c>
    </row>
    <row r="369" spans="1:15">
      <c r="A369" s="76" t="s">
        <v>598</v>
      </c>
      <c r="D369" s="8">
        <v>4</v>
      </c>
      <c r="E369" s="531">
        <f>cbalLOB2AvgProdClinician4*cbalLOB2MileagePVisitClinician4</f>
        <v>90.000000000000014</v>
      </c>
      <c r="F369" s="531">
        <f>cbalLOB2AvgProdClinician4*cbalLOB2MileagePVisitClinician4</f>
        <v>90.000000000000014</v>
      </c>
      <c r="G369" s="531">
        <f>cbalLOB2AvgProdClinician4*cbalLOB2MileagePVisitClinician4</f>
        <v>90.000000000000014</v>
      </c>
      <c r="H369" s="8" t="s">
        <v>2213</v>
      </c>
      <c r="I369" s="131" t="b">
        <f t="shared" si="14"/>
        <v>1</v>
      </c>
      <c r="K369" s="531">
        <f>cbalR2LOB2AvgProdClinician4*cbalR2LOB2MileagePVisitClinician4</f>
        <v>90.000000000000014</v>
      </c>
      <c r="L369" s="531">
        <f>cbalR2LOB2AvgProdClinician4*cbalR2LOB2MileagePVisitClinician4</f>
        <v>90.000000000000014</v>
      </c>
      <c r="M369" s="531">
        <f>cbalR2LOB2AvgProdClinician4*cbalR2LOB2MileagePVisitClinician4</f>
        <v>90.000000000000014</v>
      </c>
      <c r="N369" s="8" t="s">
        <v>5863</v>
      </c>
      <c r="O369" s="131" t="b">
        <f t="shared" si="15"/>
        <v>1</v>
      </c>
    </row>
    <row r="370" spans="1:15">
      <c r="A370" s="76" t="s">
        <v>599</v>
      </c>
      <c r="D370" s="8">
        <v>5</v>
      </c>
      <c r="E370" s="531">
        <f>cbalLOB2AvgProdClinician5*cbalLOB2MileagePVisitClinician5</f>
        <v>173.25</v>
      </c>
      <c r="F370" s="531">
        <f>cbalLOB2AvgProdClinician5*cbalLOB2MileagePVisitClinician5</f>
        <v>173.25</v>
      </c>
      <c r="G370" s="531">
        <f>cbalLOB2AvgProdClinician5*cbalLOB2MileagePVisitClinician5</f>
        <v>173.25</v>
      </c>
      <c r="H370" s="8" t="s">
        <v>2214</v>
      </c>
      <c r="I370" s="131" t="b">
        <f t="shared" si="14"/>
        <v>1</v>
      </c>
      <c r="K370" s="531">
        <f>cbalR2LOB2AvgProdClinician5*cbalR2LOB2MileagePVisitClinician5</f>
        <v>173.25</v>
      </c>
      <c r="L370" s="531">
        <f>cbalR2LOB2AvgProdClinician5*cbalR2LOB2MileagePVisitClinician5</f>
        <v>173.25</v>
      </c>
      <c r="M370" s="531">
        <f>cbalR2LOB2AvgProdClinician5*cbalR2LOB2MileagePVisitClinician5</f>
        <v>173.25</v>
      </c>
      <c r="N370" s="8" t="s">
        <v>5864</v>
      </c>
      <c r="O370" s="131" t="b">
        <f t="shared" si="15"/>
        <v>1</v>
      </c>
    </row>
    <row r="371" spans="1:15">
      <c r="A371" s="76" t="s">
        <v>600</v>
      </c>
      <c r="D371" s="8">
        <v>6</v>
      </c>
      <c r="E371" s="531">
        <f>cbalLOB2AvgProdClinician6*cbalLOB2MileagePVisitClinician6</f>
        <v>168</v>
      </c>
      <c r="F371" s="531">
        <f>cbalLOB2AvgProdClinician6*cbalLOB2MileagePVisitClinician6</f>
        <v>168</v>
      </c>
      <c r="G371" s="531">
        <f>cbalLOB2AvgProdClinician6*cbalLOB2MileagePVisitClinician6</f>
        <v>168</v>
      </c>
      <c r="H371" s="8" t="s">
        <v>2215</v>
      </c>
      <c r="I371" s="131" t="b">
        <f t="shared" si="14"/>
        <v>1</v>
      </c>
      <c r="K371" s="531">
        <f>cbalR2LOB2AvgProdClinician6*cbalR2LOB2MileagePVisitClinician6</f>
        <v>168</v>
      </c>
      <c r="L371" s="531">
        <f>cbalR2LOB2AvgProdClinician6*cbalR2LOB2MileagePVisitClinician6</f>
        <v>168</v>
      </c>
      <c r="M371" s="531">
        <f>cbalR2LOB2AvgProdClinician6*cbalR2LOB2MileagePVisitClinician6</f>
        <v>168</v>
      </c>
      <c r="N371" s="8" t="s">
        <v>5865</v>
      </c>
      <c r="O371" s="131" t="b">
        <f t="shared" si="15"/>
        <v>1</v>
      </c>
    </row>
    <row r="372" spans="1:15">
      <c r="A372" s="76" t="s">
        <v>601</v>
      </c>
      <c r="D372" s="63">
        <v>7</v>
      </c>
      <c r="E372" s="531">
        <f>cbalLOB2AvgProdClinician7*cbalLOB2MileagePVisitClinician7</f>
        <v>137.20000000000002</v>
      </c>
      <c r="F372" s="531">
        <f>cbalLOB2AvgProdClinician7*cbalLOB2MileagePVisitClinician7</f>
        <v>137.20000000000002</v>
      </c>
      <c r="G372" s="531">
        <f>cbalLOB2AvgProdClinician7*cbalLOB2MileagePVisitClinician7</f>
        <v>137.20000000000002</v>
      </c>
      <c r="H372" s="8" t="s">
        <v>2216</v>
      </c>
      <c r="I372" s="131" t="b">
        <f t="shared" si="14"/>
        <v>1</v>
      </c>
      <c r="K372" s="531">
        <f>cbalR2LOB2AvgProdClinician7*cbalR2LOB2MileagePVisitClinician7</f>
        <v>137.20000000000002</v>
      </c>
      <c r="L372" s="531">
        <f>cbalR2LOB2AvgProdClinician7*cbalR2LOB2MileagePVisitClinician7</f>
        <v>137.20000000000002</v>
      </c>
      <c r="M372" s="531">
        <f>cbalR2LOB2AvgProdClinician7*cbalR2LOB2MileagePVisitClinician7</f>
        <v>137.20000000000002</v>
      </c>
      <c r="N372" s="8" t="s">
        <v>5866</v>
      </c>
      <c r="O372" s="131" t="b">
        <f t="shared" si="15"/>
        <v>1</v>
      </c>
    </row>
    <row r="373" spans="1:15">
      <c r="A373" s="76" t="s">
        <v>602</v>
      </c>
      <c r="D373" s="63">
        <v>8</v>
      </c>
      <c r="E373" s="531">
        <f>cbalLOB2AvgProdClinician8*cbalLOB2MileagePVisitClinician8</f>
        <v>156.79999999999998</v>
      </c>
      <c r="F373" s="531">
        <f>cbalLOB2AvgProdClinician8*cbalLOB2MileagePVisitClinician8</f>
        <v>156.79999999999998</v>
      </c>
      <c r="G373" s="531">
        <f>cbalLOB2AvgProdClinician8*cbalLOB2MileagePVisitClinician8</f>
        <v>156.79999999999998</v>
      </c>
      <c r="H373" s="8" t="s">
        <v>2217</v>
      </c>
      <c r="I373" s="131" t="b">
        <f t="shared" si="14"/>
        <v>1</v>
      </c>
      <c r="K373" s="531">
        <f>cbalR2LOB2AvgProdClinician8*cbalR2LOB2MileagePVisitClinician8</f>
        <v>156.79999999999998</v>
      </c>
      <c r="L373" s="531">
        <f>cbalR2LOB2AvgProdClinician8*cbalR2LOB2MileagePVisitClinician8</f>
        <v>156.79999999999998</v>
      </c>
      <c r="M373" s="531">
        <f>cbalR2LOB2AvgProdClinician8*cbalR2LOB2MileagePVisitClinician8</f>
        <v>156.79999999999998</v>
      </c>
      <c r="N373" s="8" t="s">
        <v>5867</v>
      </c>
      <c r="O373" s="131" t="b">
        <f t="shared" si="15"/>
        <v>1</v>
      </c>
    </row>
    <row r="374" spans="1:15">
      <c r="A374" s="76" t="s">
        <v>603</v>
      </c>
      <c r="D374" s="63">
        <v>9</v>
      </c>
      <c r="E374" s="531">
        <f>cbalLOB2AvgProdClinician9*cbalLOB2MileagePVisitClinician9</f>
        <v>60</v>
      </c>
      <c r="F374" s="531">
        <f>cbalLOB2AvgProdClinician9*cbalLOB2MileagePVisitClinician9</f>
        <v>60</v>
      </c>
      <c r="G374" s="531">
        <f>cbalLOB2AvgProdClinician9*cbalLOB2MileagePVisitClinician9</f>
        <v>60</v>
      </c>
      <c r="H374" s="8" t="s">
        <v>2218</v>
      </c>
      <c r="I374" s="131" t="b">
        <f t="shared" si="14"/>
        <v>1</v>
      </c>
      <c r="K374" s="531">
        <f>cbalR2LOB2AvgProdClinician9*cbalR2LOB2MileagePVisitClinician9</f>
        <v>60</v>
      </c>
      <c r="L374" s="531">
        <f>cbalR2LOB2AvgProdClinician9*cbalR2LOB2MileagePVisitClinician9</f>
        <v>60</v>
      </c>
      <c r="M374" s="531">
        <f>cbalR2LOB2AvgProdClinician9*cbalR2LOB2MileagePVisitClinician9</f>
        <v>60</v>
      </c>
      <c r="N374" s="8" t="s">
        <v>5868</v>
      </c>
      <c r="O374" s="131" t="b">
        <f t="shared" si="15"/>
        <v>1</v>
      </c>
    </row>
    <row r="375" spans="1:15">
      <c r="A375" s="76" t="s">
        <v>604</v>
      </c>
      <c r="D375" s="8">
        <v>10</v>
      </c>
      <c r="E375" s="531">
        <f>cbalLOB2AvgProdClinician10*cbalLOB2MileagePVisitClinician10</f>
        <v>120.20618556701031</v>
      </c>
      <c r="F375" s="531">
        <f>cbalLOB2AvgProdClinician10*cbalLOB2MileagePVisitClinician10</f>
        <v>120.20618556701031</v>
      </c>
      <c r="G375" s="531">
        <f>cbalLOB2AvgProdClinician10*cbalLOB2MileagePVisitClinician10</f>
        <v>120.20618556701031</v>
      </c>
      <c r="H375" s="8" t="s">
        <v>2219</v>
      </c>
      <c r="I375" s="131" t="b">
        <f t="shared" si="14"/>
        <v>1</v>
      </c>
      <c r="K375" s="531">
        <f>cbalR2LOB2AvgProdClinician10*cbalR2LOB2MileagePVisitClinician10</f>
        <v>120.20618556701031</v>
      </c>
      <c r="L375" s="531">
        <f>cbalR2LOB2AvgProdClinician10*cbalR2LOB2MileagePVisitClinician10</f>
        <v>120.20618556701031</v>
      </c>
      <c r="M375" s="531">
        <f>cbalR2LOB2AvgProdClinician10*cbalR2LOB2MileagePVisitClinician10</f>
        <v>120.20618556701031</v>
      </c>
      <c r="N375" s="8" t="s">
        <v>5869</v>
      </c>
      <c r="O375" s="131" t="b">
        <f t="shared" si="15"/>
        <v>1</v>
      </c>
    </row>
    <row r="376" spans="1:15">
      <c r="A376" s="76" t="s">
        <v>1497</v>
      </c>
      <c r="D376" s="8">
        <v>11</v>
      </c>
      <c r="E376" s="531">
        <f>cbalLOB2AvgProdClinician11*cbalLOB2MileagePVisitClinician11</f>
        <v>0</v>
      </c>
      <c r="F376" s="531">
        <f>cbalLOB2AvgProdClinician11*cbalLOB2MileagePVisitClinician11</f>
        <v>0</v>
      </c>
      <c r="G376" s="531">
        <f>cbalLOB2AvgProdClinician11*cbalLOB2MileagePVisitClinician11</f>
        <v>0</v>
      </c>
      <c r="H376" s="8" t="s">
        <v>2220</v>
      </c>
      <c r="I376" s="131" t="b">
        <f t="shared" si="14"/>
        <v>1</v>
      </c>
      <c r="K376" s="531">
        <f>cbalR2LOB2AvgProdClinician11*cbalR2LOB2MileagePVisitClinician11</f>
        <v>0</v>
      </c>
      <c r="L376" s="531">
        <f>cbalR2LOB2AvgProdClinician11*cbalR2LOB2MileagePVisitClinician11</f>
        <v>0</v>
      </c>
      <c r="M376" s="531">
        <f>cbalR2LOB2AvgProdClinician11*cbalR2LOB2MileagePVisitClinician11</f>
        <v>0</v>
      </c>
      <c r="N376" s="8" t="s">
        <v>5870</v>
      </c>
      <c r="O376" s="131" t="b">
        <f t="shared" si="15"/>
        <v>1</v>
      </c>
    </row>
    <row r="377" spans="1:15">
      <c r="A377" s="76" t="s">
        <v>1498</v>
      </c>
      <c r="D377" s="63">
        <v>12</v>
      </c>
      <c r="E377" s="531">
        <f>cbalLOB2AvgProdClinician12*cbalLOB2MileagePVisitClinician12</f>
        <v>0</v>
      </c>
      <c r="F377" s="531">
        <f>cbalLOB2AvgProdClinician12*cbalLOB2MileagePVisitClinician12</f>
        <v>0</v>
      </c>
      <c r="G377" s="531">
        <f>cbalLOB2AvgProdClinician12*cbalLOB2MileagePVisitClinician12</f>
        <v>0</v>
      </c>
      <c r="H377" s="8" t="s">
        <v>2221</v>
      </c>
      <c r="I377" s="131" t="b">
        <f t="shared" si="14"/>
        <v>1</v>
      </c>
      <c r="K377" s="531">
        <f>cbalR2LOB2AvgProdClinician12*cbalR2LOB2MileagePVisitClinician12</f>
        <v>0</v>
      </c>
      <c r="L377" s="531">
        <f>cbalR2LOB2AvgProdClinician12*cbalR2LOB2MileagePVisitClinician12</f>
        <v>0</v>
      </c>
      <c r="M377" s="531">
        <f>cbalR2LOB2AvgProdClinician12*cbalR2LOB2MileagePVisitClinician12</f>
        <v>0</v>
      </c>
      <c r="N377" s="8" t="s">
        <v>5871</v>
      </c>
      <c r="O377" s="131" t="b">
        <f t="shared" si="15"/>
        <v>1</v>
      </c>
    </row>
    <row r="378" spans="1:15">
      <c r="A378" s="76"/>
      <c r="I378" s="131" t="b">
        <f t="shared" si="14"/>
        <v>1</v>
      </c>
      <c r="K378" s="159"/>
      <c r="L378" s="159"/>
      <c r="M378" s="159"/>
      <c r="O378" s="131" t="b">
        <f t="shared" si="15"/>
        <v>1</v>
      </c>
    </row>
    <row r="379" spans="1:15">
      <c r="A379" s="132" t="s">
        <v>1602</v>
      </c>
      <c r="I379" s="131" t="b">
        <f t="shared" si="14"/>
        <v>1</v>
      </c>
      <c r="K379" s="159"/>
      <c r="L379" s="159"/>
      <c r="M379" s="159"/>
      <c r="O379" s="131" t="b">
        <f t="shared" si="15"/>
        <v>1</v>
      </c>
    </row>
    <row r="380" spans="1:15">
      <c r="A380" s="76" t="s">
        <v>595</v>
      </c>
      <c r="B380" s="474" t="s">
        <v>550</v>
      </c>
      <c r="C380" s="63">
        <v>31</v>
      </c>
      <c r="D380" s="63">
        <v>1</v>
      </c>
      <c r="E380" s="416">
        <f>obalLOB2AvgMissPercClinician1+IF(calcLOB2Clinician1GrossProd&gt;$C380,10%,0)</f>
        <v>0.17500000000000002</v>
      </c>
      <c r="F380" s="765">
        <f>obalLOB2AvgMissPercClinician1</f>
        <v>0.17500000000000002</v>
      </c>
      <c r="G380" s="765">
        <f>obalLOB2AvgMissPercClinician1</f>
        <v>0.17500000000000002</v>
      </c>
      <c r="H380" s="8" t="s">
        <v>2222</v>
      </c>
      <c r="I380" s="131" t="b">
        <f t="shared" si="14"/>
        <v>1</v>
      </c>
      <c r="K380" s="416">
        <f>obalR2LOB2AvgMissPercClinician1+IF(calcR2LOB2Clinician1GrossProd&gt;$C380,10%,0)</f>
        <v>0.17500000000000002</v>
      </c>
      <c r="L380" s="424">
        <f>obalR2LOB2AvgMissPercClinician1</f>
        <v>0.17500000000000002</v>
      </c>
      <c r="M380" s="424">
        <f>obalR2LOB2AvgMissPercClinician1</f>
        <v>0.17500000000000002</v>
      </c>
      <c r="N380" s="8" t="s">
        <v>5872</v>
      </c>
      <c r="O380" s="131" t="b">
        <f t="shared" si="15"/>
        <v>1</v>
      </c>
    </row>
    <row r="381" spans="1:15">
      <c r="A381" s="76" t="s">
        <v>596</v>
      </c>
      <c r="B381" s="474" t="s">
        <v>550</v>
      </c>
      <c r="C381" s="63">
        <v>31</v>
      </c>
      <c r="D381" s="63">
        <v>2</v>
      </c>
      <c r="E381" s="416">
        <f>obalLOB2AvgMissPercClinician2+IF(calcLOB2Clinician2GrossProd&gt;$C381,10%,0)</f>
        <v>0.15</v>
      </c>
      <c r="F381" s="765">
        <f>obalLOB2AvgMissPercClinician2</f>
        <v>0.15</v>
      </c>
      <c r="G381" s="765">
        <f>obalLOB2AvgMissPercClinician2</f>
        <v>0.15</v>
      </c>
      <c r="H381" s="8" t="s">
        <v>2223</v>
      </c>
      <c r="I381" s="131" t="b">
        <f t="shared" si="14"/>
        <v>1</v>
      </c>
      <c r="K381" s="416">
        <f>obalR2LOB2AvgMissPercClinician2+IF(calcR2LOB2Clinician2GrossProd&gt;$C381,10%,0)</f>
        <v>0.15</v>
      </c>
      <c r="L381" s="424">
        <f>obalR2LOB2AvgMissPercClinician2</f>
        <v>0.15</v>
      </c>
      <c r="M381" s="424">
        <f>obalR2LOB2AvgMissPercClinician2</f>
        <v>0.15</v>
      </c>
      <c r="N381" s="8" t="s">
        <v>5873</v>
      </c>
      <c r="O381" s="131" t="b">
        <f t="shared" si="15"/>
        <v>1</v>
      </c>
    </row>
    <row r="382" spans="1:15">
      <c r="A382" s="76" t="s">
        <v>597</v>
      </c>
      <c r="B382" s="474" t="s">
        <v>550</v>
      </c>
      <c r="C382" s="63">
        <v>20</v>
      </c>
      <c r="D382" s="63">
        <v>3</v>
      </c>
      <c r="E382" s="416">
        <f>obalLOB2AvgMissPercClinician3+IF(calcLOB2Clinician3GrossProd&gt;$C382,10%,0)</f>
        <v>7.4999999999999997E-2</v>
      </c>
      <c r="F382" s="765">
        <f>obalLOB2AvgMissPercClinician3</f>
        <v>7.4999999999999997E-2</v>
      </c>
      <c r="G382" s="765">
        <f>obalLOB2AvgMissPercClinician3</f>
        <v>7.4999999999999997E-2</v>
      </c>
      <c r="H382" s="8" t="s">
        <v>2224</v>
      </c>
      <c r="I382" s="131" t="b">
        <f t="shared" si="14"/>
        <v>1</v>
      </c>
      <c r="K382" s="416">
        <f>obalR2LOB2AvgMissPercClinician3+IF(calcR2LOB2Clinician3GrossProd&gt;$C382,10%,0)</f>
        <v>7.4999999999999997E-2</v>
      </c>
      <c r="L382" s="424">
        <f>obalR2LOB2AvgMissPercClinician3</f>
        <v>7.4999999999999997E-2</v>
      </c>
      <c r="M382" s="424">
        <f>obalR2LOB2AvgMissPercClinician3</f>
        <v>7.4999999999999997E-2</v>
      </c>
      <c r="N382" s="8" t="s">
        <v>5874</v>
      </c>
      <c r="O382" s="131" t="b">
        <f t="shared" si="15"/>
        <v>1</v>
      </c>
    </row>
    <row r="383" spans="1:15">
      <c r="A383" s="76" t="s">
        <v>598</v>
      </c>
      <c r="B383" s="474" t="s">
        <v>550</v>
      </c>
      <c r="C383" s="63">
        <v>20</v>
      </c>
      <c r="D383" s="8">
        <v>4</v>
      </c>
      <c r="E383" s="416">
        <f>obalLOB2AvgMissPercClinician4+IF(calcLOB2Clinician4GrossProd&gt;$C383,10%,0)</f>
        <v>0.05</v>
      </c>
      <c r="F383" s="765">
        <f>obalLOB2AvgMissPercClinician4</f>
        <v>0.05</v>
      </c>
      <c r="G383" s="765">
        <f>obalLOB2AvgMissPercClinician4</f>
        <v>0.05</v>
      </c>
      <c r="H383" s="8" t="s">
        <v>2225</v>
      </c>
      <c r="I383" s="131" t="b">
        <f t="shared" si="14"/>
        <v>1</v>
      </c>
      <c r="K383" s="416">
        <f>obalR2LOB2AvgMissPercClinician4+IF(calcR2LOB2Clinician4GrossProd&gt;$C383,10%,0)</f>
        <v>0.05</v>
      </c>
      <c r="L383" s="424">
        <f>obalR2LOB2AvgMissPercClinician4</f>
        <v>0.05</v>
      </c>
      <c r="M383" s="424">
        <f>obalR2LOB2AvgMissPercClinician4</f>
        <v>0.05</v>
      </c>
      <c r="N383" s="8" t="s">
        <v>5875</v>
      </c>
      <c r="O383" s="131" t="b">
        <f t="shared" si="15"/>
        <v>1</v>
      </c>
    </row>
    <row r="384" spans="1:15">
      <c r="A384" s="76" t="s">
        <v>599</v>
      </c>
      <c r="B384" s="474" t="s">
        <v>554</v>
      </c>
      <c r="C384" s="63">
        <v>31</v>
      </c>
      <c r="D384" s="8">
        <v>5</v>
      </c>
      <c r="E384" s="416">
        <f>obalLOB2AvgMissPercClinician5+IF(calcLOB2Clinician5GrossProd&gt;$C384,10%,0)</f>
        <v>0.125</v>
      </c>
      <c r="F384" s="765">
        <f>obalLOB2AvgMissPercClinician5</f>
        <v>0.125</v>
      </c>
      <c r="G384" s="765">
        <f>obalLOB2AvgMissPercClinician5</f>
        <v>0.125</v>
      </c>
      <c r="H384" s="8" t="s">
        <v>2226</v>
      </c>
      <c r="I384" s="131" t="b">
        <f t="shared" si="14"/>
        <v>1</v>
      </c>
      <c r="K384" s="416">
        <f>obalR2LOB2AvgMissPercClinician5+IF(calcR2LOB2Clinician5GrossProd&gt;$C384,10%,0)</f>
        <v>0.125</v>
      </c>
      <c r="L384" s="424">
        <f>obalR2LOB2AvgMissPercClinician5</f>
        <v>0.125</v>
      </c>
      <c r="M384" s="424">
        <f>obalR2LOB2AvgMissPercClinician5</f>
        <v>0.125</v>
      </c>
      <c r="N384" s="8" t="s">
        <v>5876</v>
      </c>
      <c r="O384" s="131" t="b">
        <f t="shared" si="15"/>
        <v>1</v>
      </c>
    </row>
    <row r="385" spans="1:15">
      <c r="A385" s="76" t="s">
        <v>600</v>
      </c>
      <c r="B385" s="474" t="s">
        <v>554</v>
      </c>
      <c r="C385" s="63">
        <v>34</v>
      </c>
      <c r="D385" s="8">
        <v>6</v>
      </c>
      <c r="E385" s="416">
        <f>obalLOB2AvgMissPercClinician6+IF(calcLOB2Clinician6GrossProd&gt;$C385,10%,0)</f>
        <v>0.1875</v>
      </c>
      <c r="F385" s="765">
        <f>obalLOB2AvgMissPercClinician6</f>
        <v>0.1875</v>
      </c>
      <c r="G385" s="765">
        <f>obalLOB2AvgMissPercClinician6</f>
        <v>0.1875</v>
      </c>
      <c r="H385" s="8" t="s">
        <v>2227</v>
      </c>
      <c r="I385" s="131" t="b">
        <f t="shared" si="14"/>
        <v>1</v>
      </c>
      <c r="K385" s="416">
        <f>obalR2LOB2AvgMissPercClinician6+IF(calcR2LOB2Clinician6GrossProd&gt;$C385,10%,0)</f>
        <v>0.1875</v>
      </c>
      <c r="L385" s="424">
        <f>obalR2LOB2AvgMissPercClinician6</f>
        <v>0.1875</v>
      </c>
      <c r="M385" s="424">
        <f>obalR2LOB2AvgMissPercClinician6</f>
        <v>0.1875</v>
      </c>
      <c r="N385" s="8" t="s">
        <v>5877</v>
      </c>
      <c r="O385" s="131" t="b">
        <f t="shared" si="15"/>
        <v>1</v>
      </c>
    </row>
    <row r="386" spans="1:15">
      <c r="A386" s="76" t="s">
        <v>601</v>
      </c>
      <c r="B386" s="474" t="s">
        <v>556</v>
      </c>
      <c r="C386" s="63">
        <v>31</v>
      </c>
      <c r="D386" s="63">
        <v>7</v>
      </c>
      <c r="E386" s="416">
        <f>obalLOB2AvgMissPercClinician7+IF(calcLOB2Clinician7GrossProd&gt;$C386,10%,0)</f>
        <v>0.18</v>
      </c>
      <c r="F386" s="765">
        <f>obalLOB2AvgMissPercClinician7</f>
        <v>0.18</v>
      </c>
      <c r="G386" s="765">
        <f>obalLOB2AvgMissPercClinician7</f>
        <v>0.18</v>
      </c>
      <c r="H386" s="8" t="s">
        <v>2228</v>
      </c>
      <c r="I386" s="131" t="b">
        <f t="shared" si="14"/>
        <v>1</v>
      </c>
      <c r="K386" s="416">
        <f>obalR2LOB2AvgMissPercClinician7+IF(calcR2LOB2Clinician7GrossProd&gt;$C386,10%,0)</f>
        <v>0.18</v>
      </c>
      <c r="L386" s="424">
        <f>obalR2LOB2AvgMissPercClinician7</f>
        <v>0.18</v>
      </c>
      <c r="M386" s="424">
        <f>obalR2LOB2AvgMissPercClinician7</f>
        <v>0.18</v>
      </c>
      <c r="N386" s="8" t="s">
        <v>5878</v>
      </c>
      <c r="O386" s="131" t="b">
        <f t="shared" si="15"/>
        <v>1</v>
      </c>
    </row>
    <row r="387" spans="1:15">
      <c r="A387" s="76" t="s">
        <v>602</v>
      </c>
      <c r="B387" s="474" t="s">
        <v>556</v>
      </c>
      <c r="C387" s="63">
        <v>31</v>
      </c>
      <c r="D387" s="63">
        <v>8</v>
      </c>
      <c r="E387" s="416">
        <f>obalLOB2AvgMissPercClinician8+IF(calcLOB2Clinician8GrossProd&gt;$C387,10%,0)</f>
        <v>0.125</v>
      </c>
      <c r="F387" s="765">
        <f>obalLOB2AvgMissPercClinician8</f>
        <v>0.125</v>
      </c>
      <c r="G387" s="765">
        <f>obalLOB2AvgMissPercClinician8</f>
        <v>0.125</v>
      </c>
      <c r="H387" s="8" t="s">
        <v>2229</v>
      </c>
      <c r="I387" s="131" t="b">
        <f t="shared" si="14"/>
        <v>1</v>
      </c>
      <c r="K387" s="416">
        <f>obalR2LOB2AvgMissPercClinician8+IF(calcR2LOB2Clinician8GrossProd&gt;$C387,10%,0)</f>
        <v>0.125</v>
      </c>
      <c r="L387" s="424">
        <f>obalR2LOB2AvgMissPercClinician8</f>
        <v>0.125</v>
      </c>
      <c r="M387" s="424">
        <f>obalR2LOB2AvgMissPercClinician8</f>
        <v>0.125</v>
      </c>
      <c r="N387" s="8" t="s">
        <v>5879</v>
      </c>
      <c r="O387" s="131" t="b">
        <f t="shared" si="15"/>
        <v>1</v>
      </c>
    </row>
    <row r="388" spans="1:15">
      <c r="A388" s="76" t="s">
        <v>603</v>
      </c>
      <c r="B388" s="474" t="s">
        <v>556</v>
      </c>
      <c r="C388" s="63">
        <v>20</v>
      </c>
      <c r="D388" s="63">
        <v>9</v>
      </c>
      <c r="E388" s="416">
        <f>obalLOB2AvgMissPercClinician9+IF(calcLOB2Clinician9GrossProd&gt;$C388,10%,0)</f>
        <v>0.05</v>
      </c>
      <c r="F388" s="765">
        <f>obalLOB2AvgMissPercClinician9</f>
        <v>0.05</v>
      </c>
      <c r="G388" s="765">
        <f>obalLOB2AvgMissPercClinician9</f>
        <v>0.05</v>
      </c>
      <c r="H388" s="8" t="s">
        <v>2230</v>
      </c>
      <c r="I388" s="131" t="b">
        <f t="shared" si="14"/>
        <v>1</v>
      </c>
      <c r="K388" s="416">
        <f>obalR2LOB2AvgMissPercClinician9+IF(calcR2LOB2Clinician9GrossProd&gt;$C388,10%,0)</f>
        <v>0.05</v>
      </c>
      <c r="L388" s="424">
        <f>obalR2LOB2AvgMissPercClinician9</f>
        <v>0.05</v>
      </c>
      <c r="M388" s="424">
        <f>obalR2LOB2AvgMissPercClinician9</f>
        <v>0.05</v>
      </c>
      <c r="N388" s="8" t="s">
        <v>5880</v>
      </c>
      <c r="O388" s="131" t="b">
        <f t="shared" si="15"/>
        <v>1</v>
      </c>
    </row>
    <row r="389" spans="1:15">
      <c r="A389" s="76" t="s">
        <v>604</v>
      </c>
      <c r="B389" s="474" t="s">
        <v>555</v>
      </c>
      <c r="C389" s="63">
        <v>30</v>
      </c>
      <c r="D389" s="8">
        <v>10</v>
      </c>
      <c r="E389" s="416">
        <f>obalLOB2AvgMissPercClinician10+IF(calcLOB2Clinician10GrossProd&gt;$C389,10%,0)</f>
        <v>3.7499999999999999E-2</v>
      </c>
      <c r="F389" s="765">
        <f>obalLOB2AvgMissPercClinician10</f>
        <v>3.7499999999999999E-2</v>
      </c>
      <c r="G389" s="765">
        <f>obalLOB2AvgMissPercClinician10</f>
        <v>3.7499999999999999E-2</v>
      </c>
      <c r="H389" s="8" t="s">
        <v>2231</v>
      </c>
      <c r="I389" s="131" t="b">
        <f t="shared" si="14"/>
        <v>1</v>
      </c>
      <c r="K389" s="416">
        <f>obalR2LOB2AvgMissPercClinician10+IF(calcR2LOB2Clinician10GrossProd&gt;$C389,10%,0)</f>
        <v>3.7499999999999999E-2</v>
      </c>
      <c r="L389" s="424">
        <f>obalR2LOB2AvgMissPercClinician10</f>
        <v>3.7499999999999999E-2</v>
      </c>
      <c r="M389" s="424">
        <f>obalR2LOB2AvgMissPercClinician10</f>
        <v>3.7499999999999999E-2</v>
      </c>
      <c r="N389" s="8" t="s">
        <v>5881</v>
      </c>
      <c r="O389" s="131" t="b">
        <f t="shared" si="15"/>
        <v>1</v>
      </c>
    </row>
    <row r="390" spans="1:15">
      <c r="A390" s="76" t="s">
        <v>1497</v>
      </c>
      <c r="B390" s="474"/>
      <c r="D390" s="8">
        <v>11</v>
      </c>
      <c r="E390" s="766">
        <f>VLOOKUP(calcLOB2Clinician11LookupValue,dataTableCC2Staff,7,FALSE)</f>
        <v>0</v>
      </c>
      <c r="F390" s="766">
        <f>VLOOKUP(calcLOB2Clinician11LookupValue,dataTableCC2Staff,7,FALSE)</f>
        <v>0</v>
      </c>
      <c r="G390" s="766">
        <f>VLOOKUP(calcLOB2Clinician11LookupValue,dataTableCC2Staff,7,FALSE)</f>
        <v>0</v>
      </c>
      <c r="H390" s="8" t="s">
        <v>2232</v>
      </c>
      <c r="I390" s="131" t="b">
        <f t="shared" si="14"/>
        <v>1</v>
      </c>
      <c r="K390" s="474">
        <f>VLOOKUP(calcR2LOB2Clinician11LookupValue,dataTableCC2Staff,7,FALSE)</f>
        <v>0</v>
      </c>
      <c r="L390" s="474">
        <f>VLOOKUP(calcR2LOB2Clinician11LookupValue,dataTableCC2Staff,7,FALSE)</f>
        <v>0</v>
      </c>
      <c r="M390" s="474">
        <f>VLOOKUP(calcR2LOB2Clinician11LookupValue,dataTableCC2Staff,7,FALSE)</f>
        <v>0</v>
      </c>
      <c r="N390" s="8" t="s">
        <v>5882</v>
      </c>
      <c r="O390" s="131" t="b">
        <f t="shared" si="15"/>
        <v>1</v>
      </c>
    </row>
    <row r="391" spans="1:15">
      <c r="A391" s="76" t="s">
        <v>1498</v>
      </c>
      <c r="D391" s="63">
        <v>12</v>
      </c>
      <c r="E391" s="766">
        <f>VLOOKUP(calcLOB2Clinician12LookupValue,dataTableCC2Staff,7,FALSE)</f>
        <v>0</v>
      </c>
      <c r="F391" s="766">
        <f>VLOOKUP(calcLOB2Clinician12LookupValue,dataTableCC2Staff,7,FALSE)</f>
        <v>0</v>
      </c>
      <c r="G391" s="766">
        <f>VLOOKUP(calcLOB2Clinician12LookupValue,dataTableCC2Staff,7,FALSE)</f>
        <v>0</v>
      </c>
      <c r="H391" s="8" t="s">
        <v>2233</v>
      </c>
      <c r="I391" s="131" t="b">
        <f t="shared" si="14"/>
        <v>1</v>
      </c>
      <c r="K391" s="474">
        <f>VLOOKUP(calcR2LOB2Clinician12LookupValue,dataTableCC2Staff,7,FALSE)</f>
        <v>0</v>
      </c>
      <c r="L391" s="474">
        <f>VLOOKUP(calcR2LOB2Clinician12LookupValue,dataTableCC2Staff,7,FALSE)</f>
        <v>0</v>
      </c>
      <c r="M391" s="474">
        <f>VLOOKUP(calcR2LOB2Clinician12LookupValue,dataTableCC2Staff,7,FALSE)</f>
        <v>0</v>
      </c>
      <c r="N391" s="8" t="s">
        <v>5883</v>
      </c>
      <c r="O391" s="131" t="b">
        <f t="shared" si="15"/>
        <v>1</v>
      </c>
    </row>
    <row r="392" spans="1:15">
      <c r="A392" s="76" t="s">
        <v>3998</v>
      </c>
      <c r="D392" s="63">
        <v>19</v>
      </c>
      <c r="E392" s="382">
        <f>obalLOB2AvgMissPercClinician13</f>
        <v>6.25E-2</v>
      </c>
      <c r="F392" s="382">
        <f>obalLOB2AvgMissPercClinician13</f>
        <v>6.25E-2</v>
      </c>
      <c r="G392" s="382">
        <f>obalLOB2AvgMissPercClinician13</f>
        <v>6.25E-2</v>
      </c>
      <c r="H392" s="8" t="s">
        <v>4095</v>
      </c>
      <c r="I392" s="131" t="b">
        <f t="shared" si="14"/>
        <v>1</v>
      </c>
      <c r="K392" s="382">
        <f>obalR2LOB2AvgMissPercClinician13</f>
        <v>6.25E-2</v>
      </c>
      <c r="L392" s="382">
        <f>obalR2LOB2AvgMissPercClinician13</f>
        <v>6.25E-2</v>
      </c>
      <c r="M392" s="382">
        <f>obalR2LOB2AvgMissPercClinician13</f>
        <v>6.25E-2</v>
      </c>
      <c r="N392" s="8" t="s">
        <v>5884</v>
      </c>
      <c r="O392" s="131" t="b">
        <f t="shared" si="15"/>
        <v>1</v>
      </c>
    </row>
    <row r="393" spans="1:15">
      <c r="A393" s="76" t="s">
        <v>3999</v>
      </c>
      <c r="D393" s="63">
        <v>20</v>
      </c>
      <c r="E393" s="382">
        <f>obalLOB2AvgMissPercClinician14</f>
        <v>6.25E-2</v>
      </c>
      <c r="F393" s="382">
        <f>obalLOB2AvgMissPercClinician14</f>
        <v>6.25E-2</v>
      </c>
      <c r="G393" s="382">
        <f>obalLOB2AvgMissPercClinician14</f>
        <v>6.25E-2</v>
      </c>
      <c r="H393" s="8" t="s">
        <v>4096</v>
      </c>
      <c r="I393" s="131" t="b">
        <f t="shared" si="14"/>
        <v>1</v>
      </c>
      <c r="K393" s="382">
        <f>obalR2LOB2AvgMissPercClinician14</f>
        <v>6.25E-2</v>
      </c>
      <c r="L393" s="382">
        <f>obalR2LOB2AvgMissPercClinician14</f>
        <v>6.25E-2</v>
      </c>
      <c r="M393" s="382">
        <f>obalR2LOB2AvgMissPercClinician14</f>
        <v>6.25E-2</v>
      </c>
      <c r="N393" s="8" t="s">
        <v>5885</v>
      </c>
      <c r="O393" s="131" t="b">
        <f t="shared" si="15"/>
        <v>1</v>
      </c>
    </row>
    <row r="394" spans="1:15">
      <c r="A394" s="76" t="s">
        <v>4000</v>
      </c>
      <c r="D394" s="63">
        <v>21</v>
      </c>
      <c r="E394" s="382">
        <f>obalLOB2AvgMissPercClinician15</f>
        <v>6.25E-2</v>
      </c>
      <c r="F394" s="382">
        <f>obalLOB2AvgMissPercClinician15</f>
        <v>6.25E-2</v>
      </c>
      <c r="G394" s="382">
        <f>obalLOB2AvgMissPercClinician15</f>
        <v>6.25E-2</v>
      </c>
      <c r="H394" s="8" t="s">
        <v>4097</v>
      </c>
      <c r="I394" s="131" t="b">
        <f t="shared" si="14"/>
        <v>1</v>
      </c>
      <c r="K394" s="382">
        <f>obalR2LOB2AvgMissPercClinician15</f>
        <v>6.25E-2</v>
      </c>
      <c r="L394" s="382">
        <f>obalR2LOB2AvgMissPercClinician15</f>
        <v>6.25E-2</v>
      </c>
      <c r="M394" s="382">
        <f>obalR2LOB2AvgMissPercClinician15</f>
        <v>6.25E-2</v>
      </c>
      <c r="N394" s="8" t="s">
        <v>5886</v>
      </c>
      <c r="O394" s="131" t="b">
        <f t="shared" si="15"/>
        <v>1</v>
      </c>
    </row>
    <row r="395" spans="1:15">
      <c r="A395" s="76" t="s">
        <v>4001</v>
      </c>
      <c r="D395" s="63">
        <v>22</v>
      </c>
      <c r="E395" s="382">
        <f>obalLOB2AvgMissPercClinician16</f>
        <v>6.25E-2</v>
      </c>
      <c r="F395" s="382">
        <f>obalLOB2AvgMissPercClinician16</f>
        <v>6.25E-2</v>
      </c>
      <c r="G395" s="382">
        <f>obalLOB2AvgMissPercClinician16</f>
        <v>6.25E-2</v>
      </c>
      <c r="H395" s="8" t="s">
        <v>4098</v>
      </c>
      <c r="I395" s="131" t="b">
        <f t="shared" si="14"/>
        <v>1</v>
      </c>
      <c r="K395" s="382">
        <f>obalR2LOB2AvgMissPercClinician16</f>
        <v>6.25E-2</v>
      </c>
      <c r="L395" s="382">
        <f>obalR2LOB2AvgMissPercClinician16</f>
        <v>6.25E-2</v>
      </c>
      <c r="M395" s="382">
        <f>obalR2LOB2AvgMissPercClinician16</f>
        <v>6.25E-2</v>
      </c>
      <c r="N395" s="8" t="s">
        <v>5887</v>
      </c>
      <c r="O395" s="131" t="b">
        <f t="shared" si="15"/>
        <v>1</v>
      </c>
    </row>
    <row r="396" spans="1:15">
      <c r="A396" s="76" t="s">
        <v>5091</v>
      </c>
      <c r="E396" s="382">
        <f>calcLOB2ClinicianAvgMissPerc</f>
        <v>0.11550000000000001</v>
      </c>
      <c r="F396" s="570">
        <f>calcLOB2ClinicianAvgMissPerc</f>
        <v>0.11550000000000001</v>
      </c>
      <c r="G396" s="570">
        <f>calcLOB2ClinicianAvgMissPerc</f>
        <v>0.11550000000000001</v>
      </c>
      <c r="H396" s="642" t="s">
        <v>5094</v>
      </c>
      <c r="I396" s="131" t="b">
        <f t="shared" si="14"/>
        <v>1</v>
      </c>
      <c r="K396" s="382">
        <f>calcR2LOB2ClinicianAvgMissPerc</f>
        <v>0.11550000000000001</v>
      </c>
      <c r="L396" s="570">
        <f>calcR2LOB2ClinicianAvgMissPerc</f>
        <v>0.11550000000000001</v>
      </c>
      <c r="M396" s="570">
        <f>calcR2LOB2ClinicianAvgMissPerc</f>
        <v>0.11550000000000001</v>
      </c>
      <c r="N396" s="642" t="s">
        <v>5888</v>
      </c>
      <c r="O396" s="131" t="b">
        <f t="shared" si="15"/>
        <v>1</v>
      </c>
    </row>
    <row r="397" spans="1:15">
      <c r="A397" s="76"/>
      <c r="I397" s="131" t="b">
        <f t="shared" si="14"/>
        <v>1</v>
      </c>
      <c r="K397" s="159"/>
      <c r="L397" s="159"/>
      <c r="M397" s="159"/>
      <c r="O397" s="131" t="b">
        <f t="shared" si="15"/>
        <v>1</v>
      </c>
    </row>
    <row r="398" spans="1:15">
      <c r="A398" s="132" t="s">
        <v>2033</v>
      </c>
      <c r="I398" s="131" t="b">
        <f t="shared" si="14"/>
        <v>1</v>
      </c>
      <c r="K398" s="159"/>
      <c r="L398" s="159"/>
      <c r="M398" s="159"/>
      <c r="O398" s="131" t="b">
        <f t="shared" si="15"/>
        <v>1</v>
      </c>
    </row>
    <row r="399" spans="1:15">
      <c r="A399" s="76" t="s">
        <v>595</v>
      </c>
      <c r="D399" s="63">
        <v>1</v>
      </c>
      <c r="E399" s="8">
        <f>obalLOB2AdminTimeClinician1*paramLOB2ClnAdminTime*paramLOB2Clinician1Admin</f>
        <v>4</v>
      </c>
      <c r="F399" s="8">
        <f>obalLOB2AdminTimeClinician1*paramLOB2ClnAdminTime*paramLOB2Clinician1Admin</f>
        <v>4</v>
      </c>
      <c r="G399" s="8">
        <f>obalLOB2AdminTimeClinician1*paramLOB2ClnAdminTime*paramLOB2Clinician1Admin</f>
        <v>4</v>
      </c>
      <c r="H399" s="8" t="s">
        <v>2234</v>
      </c>
      <c r="I399" s="131" t="b">
        <f t="shared" si="14"/>
        <v>1</v>
      </c>
      <c r="K399" s="8">
        <f>obalR2LOB2AdminTimeClinician1*paramR2LOB2ClnAdminTime*paramR2LOB2Clinician1Admin</f>
        <v>4</v>
      </c>
      <c r="L399" s="8">
        <f>obalR2LOB2AdminTimeClinician1*paramR2LOB2ClnAdminTime*paramR2LOB2Clinician1Admin</f>
        <v>4</v>
      </c>
      <c r="M399" s="8">
        <f>obalR2LOB2AdminTimeClinician1*paramR2LOB2ClnAdminTime*paramR2LOB2Clinician1Admin</f>
        <v>4</v>
      </c>
      <c r="N399" s="8" t="s">
        <v>5889</v>
      </c>
      <c r="O399" s="131" t="b">
        <f t="shared" si="15"/>
        <v>1</v>
      </c>
    </row>
    <row r="400" spans="1:15">
      <c r="A400" s="76" t="s">
        <v>596</v>
      </c>
      <c r="D400" s="63">
        <v>2</v>
      </c>
      <c r="E400" s="8">
        <f>obalLOB2AdminTimeClinician2*paramLOB2ClnAdminTime*paramLOB2Clinician2Admin</f>
        <v>1</v>
      </c>
      <c r="F400" s="8">
        <f>obalLOB2AdminTimeClinician2*paramLOB2ClnAdminTime*paramLOB2Clinician2Admin</f>
        <v>1</v>
      </c>
      <c r="G400" s="8">
        <f>obalLOB2AdminTimeClinician2*paramLOB2ClnAdminTime*paramLOB2Clinician2Admin</f>
        <v>1</v>
      </c>
      <c r="H400" s="8" t="s">
        <v>2235</v>
      </c>
      <c r="I400" s="131" t="b">
        <f t="shared" si="14"/>
        <v>1</v>
      </c>
      <c r="K400" s="8">
        <f>obalR2LOB2AdminTimeClinician2*paramR2LOB2ClnAdminTime*paramR2LOB2Clinician2Admin</f>
        <v>1</v>
      </c>
      <c r="L400" s="8">
        <f>obalR2LOB2AdminTimeClinician2*paramR2LOB2ClnAdminTime*paramR2LOB2Clinician2Admin</f>
        <v>1</v>
      </c>
      <c r="M400" s="8">
        <f>obalR2LOB2AdminTimeClinician2*paramR2LOB2ClnAdminTime*paramR2LOB2Clinician2Admin</f>
        <v>1</v>
      </c>
      <c r="N400" s="8" t="s">
        <v>5890</v>
      </c>
      <c r="O400" s="131" t="b">
        <f t="shared" si="15"/>
        <v>1</v>
      </c>
    </row>
    <row r="401" spans="1:15">
      <c r="A401" s="76" t="s">
        <v>597</v>
      </c>
      <c r="D401" s="63">
        <v>3</v>
      </c>
      <c r="E401" s="8">
        <f>obalLOB2AdminTimeClinician3*paramLOB2ClnAdminTime*paramLOB2Clinician3Admin</f>
        <v>3</v>
      </c>
      <c r="F401" s="8">
        <f>obalLOB2AdminTimeClinician3*paramLOB2ClnAdminTime*paramLOB2Clinician3Admin</f>
        <v>3</v>
      </c>
      <c r="G401" s="8">
        <f>obalLOB2AdminTimeClinician3*paramLOB2ClnAdminTime*paramLOB2Clinician3Admin</f>
        <v>3</v>
      </c>
      <c r="H401" s="8" t="s">
        <v>2236</v>
      </c>
      <c r="I401" s="131" t="b">
        <f t="shared" si="14"/>
        <v>1</v>
      </c>
      <c r="K401" s="8">
        <f>obalR2LOB2AdminTimeClinician3*paramR2LOB2ClnAdminTime*paramR2LOB2Clinician3Admin</f>
        <v>3</v>
      </c>
      <c r="L401" s="8">
        <f>obalR2LOB2AdminTimeClinician3*paramR2LOB2ClnAdminTime*paramR2LOB2Clinician3Admin</f>
        <v>3</v>
      </c>
      <c r="M401" s="8">
        <f>obalR2LOB2AdminTimeClinician3*paramR2LOB2ClnAdminTime*paramR2LOB2Clinician3Admin</f>
        <v>3</v>
      </c>
      <c r="N401" s="8" t="s">
        <v>5891</v>
      </c>
      <c r="O401" s="131" t="b">
        <f t="shared" si="15"/>
        <v>1</v>
      </c>
    </row>
    <row r="402" spans="1:15">
      <c r="A402" s="76" t="s">
        <v>598</v>
      </c>
      <c r="D402" s="8">
        <v>4</v>
      </c>
      <c r="E402" s="8">
        <f>obalLOB2AdminTimeClinician4*paramLOB2ClnAdminTime*paramLOB2Clinician4Admin</f>
        <v>2</v>
      </c>
      <c r="F402" s="8">
        <f>obalLOB2AdminTimeClinician4*paramLOB2ClnAdminTime*paramLOB2Clinician4Admin</f>
        <v>2</v>
      </c>
      <c r="G402" s="8">
        <f>obalLOB2AdminTimeClinician4*paramLOB2ClnAdminTime*paramLOB2Clinician4Admin</f>
        <v>2</v>
      </c>
      <c r="H402" s="8" t="s">
        <v>2237</v>
      </c>
      <c r="I402" s="131" t="b">
        <f t="shared" si="14"/>
        <v>1</v>
      </c>
      <c r="K402" s="8">
        <f>obalR2LOB2AdminTimeClinician4*paramR2LOB2ClnAdminTime*paramR2LOB2Clinician4Admin</f>
        <v>2</v>
      </c>
      <c r="L402" s="8">
        <f>obalR2LOB2AdminTimeClinician4*paramR2LOB2ClnAdminTime*paramR2LOB2Clinician4Admin</f>
        <v>2</v>
      </c>
      <c r="M402" s="8">
        <f>obalR2LOB2AdminTimeClinician4*paramR2LOB2ClnAdminTime*paramR2LOB2Clinician4Admin</f>
        <v>2</v>
      </c>
      <c r="N402" s="8" t="s">
        <v>5892</v>
      </c>
      <c r="O402" s="131" t="b">
        <f t="shared" si="15"/>
        <v>1</v>
      </c>
    </row>
    <row r="403" spans="1:15">
      <c r="A403" s="76" t="s">
        <v>599</v>
      </c>
      <c r="D403" s="8">
        <v>5</v>
      </c>
      <c r="E403" s="8">
        <f>obalLOB2AdminTimeClinician5*paramLOB2ClnAdminTime*paramLOB2Clinician5Admin</f>
        <v>2</v>
      </c>
      <c r="F403" s="8">
        <f>obalLOB2AdminTimeClinician5*paramLOB2ClnAdminTime*paramLOB2Clinician5Admin</f>
        <v>2</v>
      </c>
      <c r="G403" s="8">
        <f>obalLOB2AdminTimeClinician5*paramLOB2ClnAdminTime*paramLOB2Clinician5Admin</f>
        <v>2</v>
      </c>
      <c r="H403" s="8" t="s">
        <v>2238</v>
      </c>
      <c r="I403" s="131" t="b">
        <f t="shared" si="14"/>
        <v>1</v>
      </c>
      <c r="K403" s="8">
        <f>obalR2LOB2AdminTimeClinician5*paramR2LOB2ClnAdminTime*paramR2LOB2Clinician5Admin</f>
        <v>2</v>
      </c>
      <c r="L403" s="8">
        <f>obalR2LOB2AdminTimeClinician5*paramR2LOB2ClnAdminTime*paramR2LOB2Clinician5Admin</f>
        <v>2</v>
      </c>
      <c r="M403" s="8">
        <f>obalR2LOB2AdminTimeClinician5*paramR2LOB2ClnAdminTime*paramR2LOB2Clinician5Admin</f>
        <v>2</v>
      </c>
      <c r="N403" s="8" t="s">
        <v>5893</v>
      </c>
      <c r="O403" s="131" t="b">
        <f t="shared" si="15"/>
        <v>1</v>
      </c>
    </row>
    <row r="404" spans="1:15">
      <c r="A404" s="76" t="s">
        <v>600</v>
      </c>
      <c r="D404" s="8">
        <v>6</v>
      </c>
      <c r="E404" s="8">
        <f>obalLOB2AdminTimeClinician6*paramLOB2ClnAdminTime*paramLOB2Clinician6Admin</f>
        <v>3</v>
      </c>
      <c r="F404" s="8">
        <f>obalLOB2AdminTimeClinician6*paramLOB2ClnAdminTime*paramLOB2Clinician6Admin</f>
        <v>3</v>
      </c>
      <c r="G404" s="8">
        <f>obalLOB2AdminTimeClinician6*paramLOB2ClnAdminTime*paramLOB2Clinician6Admin</f>
        <v>3</v>
      </c>
      <c r="H404" s="8" t="s">
        <v>2239</v>
      </c>
      <c r="I404" s="131" t="b">
        <f t="shared" si="14"/>
        <v>1</v>
      </c>
      <c r="K404" s="8">
        <f>obalR2LOB2AdminTimeClinician6*paramR2LOB2ClnAdminTime*paramR2LOB2Clinician6Admin</f>
        <v>3</v>
      </c>
      <c r="L404" s="8">
        <f>obalR2LOB2AdminTimeClinician6*paramR2LOB2ClnAdminTime*paramR2LOB2Clinician6Admin</f>
        <v>3</v>
      </c>
      <c r="M404" s="8">
        <f>obalR2LOB2AdminTimeClinician6*paramR2LOB2ClnAdminTime*paramR2LOB2Clinician6Admin</f>
        <v>3</v>
      </c>
      <c r="N404" s="8" t="s">
        <v>5894</v>
      </c>
      <c r="O404" s="131" t="b">
        <f t="shared" si="15"/>
        <v>1</v>
      </c>
    </row>
    <row r="405" spans="1:15">
      <c r="A405" s="76" t="s">
        <v>601</v>
      </c>
      <c r="D405" s="63">
        <v>7</v>
      </c>
      <c r="E405" s="8">
        <f>obalLOB2AdminTimeClinician7*paramLOB2ClnAdminTime*paramLOB2Clinician7Admin</f>
        <v>2</v>
      </c>
      <c r="F405" s="8">
        <f>obalLOB2AdminTimeClinician7*paramLOB2ClnAdminTime*paramLOB2Clinician7Admin</f>
        <v>2</v>
      </c>
      <c r="G405" s="8">
        <f>obalLOB2AdminTimeClinician7*paramLOB2ClnAdminTime*paramLOB2Clinician7Admin</f>
        <v>2</v>
      </c>
      <c r="H405" s="8" t="s">
        <v>2240</v>
      </c>
      <c r="I405" s="131" t="b">
        <f t="shared" si="14"/>
        <v>1</v>
      </c>
      <c r="K405" s="8">
        <f>obalR2LOB2AdminTimeClinician7*paramR2LOB2ClnAdminTime*paramR2LOB2Clinician7Admin</f>
        <v>2</v>
      </c>
      <c r="L405" s="8">
        <f>obalR2LOB2AdminTimeClinician7*paramR2LOB2ClnAdminTime*paramR2LOB2Clinician7Admin</f>
        <v>2</v>
      </c>
      <c r="M405" s="8">
        <f>obalR2LOB2AdminTimeClinician7*paramR2LOB2ClnAdminTime*paramR2LOB2Clinician7Admin</f>
        <v>2</v>
      </c>
      <c r="N405" s="8" t="s">
        <v>5895</v>
      </c>
      <c r="O405" s="131" t="b">
        <f t="shared" si="15"/>
        <v>1</v>
      </c>
    </row>
    <row r="406" spans="1:15">
      <c r="A406" s="76" t="s">
        <v>602</v>
      </c>
      <c r="D406" s="63">
        <v>8</v>
      </c>
      <c r="E406" s="8">
        <f>obalLOB2AdminTimeClinician8*paramLOB2ClnAdminTime*paramLOB2Clinician8Admin</f>
        <v>3</v>
      </c>
      <c r="F406" s="8">
        <f>obalLOB2AdminTimeClinician8*paramLOB2ClnAdminTime*paramLOB2Clinician8Admin</f>
        <v>3</v>
      </c>
      <c r="G406" s="8">
        <f>obalLOB2AdminTimeClinician8*paramLOB2ClnAdminTime*paramLOB2Clinician8Admin</f>
        <v>3</v>
      </c>
      <c r="H406" s="8" t="s">
        <v>2241</v>
      </c>
      <c r="I406" s="131" t="b">
        <f t="shared" si="14"/>
        <v>1</v>
      </c>
      <c r="K406" s="8">
        <f>obalR2LOB2AdminTimeClinician8*paramR2LOB2ClnAdminTime*paramR2LOB2Clinician8Admin</f>
        <v>3</v>
      </c>
      <c r="L406" s="8">
        <f>obalR2LOB2AdminTimeClinician8*paramR2LOB2ClnAdminTime*paramR2LOB2Clinician8Admin</f>
        <v>3</v>
      </c>
      <c r="M406" s="8">
        <f>obalR2LOB2AdminTimeClinician8*paramR2LOB2ClnAdminTime*paramR2LOB2Clinician8Admin</f>
        <v>3</v>
      </c>
      <c r="N406" s="8" t="s">
        <v>5896</v>
      </c>
      <c r="O406" s="131" t="b">
        <f t="shared" si="15"/>
        <v>1</v>
      </c>
    </row>
    <row r="407" spans="1:15">
      <c r="A407" s="76" t="s">
        <v>603</v>
      </c>
      <c r="D407" s="63">
        <v>9</v>
      </c>
      <c r="E407" s="8">
        <f>obalLOB2AdminTimeClinician9*paramLOB2ClnAdminTime*paramLOB2Clinician9Admin</f>
        <v>2</v>
      </c>
      <c r="F407" s="8">
        <f>obalLOB2AdminTimeClinician9*paramLOB2ClnAdminTime*paramLOB2Clinician9Admin</f>
        <v>2</v>
      </c>
      <c r="G407" s="8">
        <f>obalLOB2AdminTimeClinician9*paramLOB2ClnAdminTime*paramLOB2Clinician9Admin</f>
        <v>2</v>
      </c>
      <c r="H407" s="8" t="s">
        <v>2242</v>
      </c>
      <c r="I407" s="131" t="b">
        <f t="shared" si="14"/>
        <v>1</v>
      </c>
      <c r="K407" s="8">
        <f>obalR2LOB2AdminTimeClinician9*paramR2LOB2ClnAdminTime*paramR2LOB2Clinician9Admin</f>
        <v>2</v>
      </c>
      <c r="L407" s="8">
        <f>obalR2LOB2AdminTimeClinician9*paramR2LOB2ClnAdminTime*paramR2LOB2Clinician9Admin</f>
        <v>2</v>
      </c>
      <c r="M407" s="8">
        <f>obalR2LOB2AdminTimeClinician9*paramR2LOB2ClnAdminTime*paramR2LOB2Clinician9Admin</f>
        <v>2</v>
      </c>
      <c r="N407" s="8" t="s">
        <v>5897</v>
      </c>
      <c r="O407" s="131" t="b">
        <f t="shared" si="15"/>
        <v>1</v>
      </c>
    </row>
    <row r="408" spans="1:15">
      <c r="A408" s="76" t="s">
        <v>604</v>
      </c>
      <c r="D408" s="8">
        <v>10</v>
      </c>
      <c r="E408" s="8">
        <f>obalLOB2AdminTimeClinician10*paramLOB2ClnAdminTime*paramLOB2Clinician10Admin</f>
        <v>3</v>
      </c>
      <c r="F408" s="8">
        <f>obalLOB2AdminTimeClinician10*paramLOB2ClnAdminTime*paramLOB2Clinician10Admin</f>
        <v>3</v>
      </c>
      <c r="G408" s="8">
        <f>obalLOB2AdminTimeClinician10*paramLOB2ClnAdminTime*paramLOB2Clinician10Admin</f>
        <v>3</v>
      </c>
      <c r="H408" s="8" t="s">
        <v>2243</v>
      </c>
      <c r="I408" s="131" t="b">
        <f t="shared" si="14"/>
        <v>1</v>
      </c>
      <c r="K408" s="8">
        <f>obalR2LOB2AdminTimeClinician10*paramR2LOB2ClnAdminTime*paramR2LOB2Clinician10Admin</f>
        <v>3</v>
      </c>
      <c r="L408" s="8">
        <f>obalR2LOB2AdminTimeClinician10*paramR2LOB2ClnAdminTime*paramR2LOB2Clinician10Admin</f>
        <v>3</v>
      </c>
      <c r="M408" s="8">
        <f>obalR2LOB2AdminTimeClinician10*paramR2LOB2ClnAdminTime*paramR2LOB2Clinician10Admin</f>
        <v>3</v>
      </c>
      <c r="N408" s="8" t="s">
        <v>5898</v>
      </c>
      <c r="O408" s="131" t="b">
        <f t="shared" si="15"/>
        <v>1</v>
      </c>
    </row>
    <row r="409" spans="1:15">
      <c r="A409" s="76" t="s">
        <v>1497</v>
      </c>
      <c r="D409" s="8">
        <v>11</v>
      </c>
      <c r="E409" s="474">
        <f>VLOOKUP(calcLOB2Clinician11LookupValue,dataTableCC2Staff,8,FALSE)*paramLOB2Clinician11Admin</f>
        <v>0</v>
      </c>
      <c r="F409" s="474">
        <f>VLOOKUP(calcLOB2Clinician11LookupValue,dataTableCC2Staff,8,FALSE)*paramLOB2Clinician11Admin</f>
        <v>0</v>
      </c>
      <c r="G409" s="474">
        <f>VLOOKUP(calcLOB2Clinician11LookupValue,dataTableCC2Staff,8,FALSE)*paramLOB2Clinician11Admin</f>
        <v>0</v>
      </c>
      <c r="H409" s="8" t="s">
        <v>2244</v>
      </c>
      <c r="I409" s="131" t="b">
        <f t="shared" si="14"/>
        <v>1</v>
      </c>
      <c r="K409" s="474">
        <f>VLOOKUP(calcR2LOB2Clinician11LookupValue,dataTableCC2Staff,8,FALSE)*paramR2LOB2Clinician11Admin</f>
        <v>0</v>
      </c>
      <c r="L409" s="474">
        <f>VLOOKUP(calcR2LOB2Clinician11LookupValue,dataTableCC2Staff,8,FALSE)*paramR2LOB2Clinician11Admin</f>
        <v>0</v>
      </c>
      <c r="M409" s="474">
        <f>VLOOKUP(calcR2LOB2Clinician11LookupValue,dataTableCC2Staff,8,FALSE)*paramR2LOB2Clinician11Admin</f>
        <v>0</v>
      </c>
      <c r="N409" s="8" t="s">
        <v>5899</v>
      </c>
      <c r="O409" s="131" t="b">
        <f t="shared" si="15"/>
        <v>1</v>
      </c>
    </row>
    <row r="410" spans="1:15">
      <c r="A410" s="76" t="s">
        <v>1498</v>
      </c>
      <c r="D410" s="63">
        <v>12</v>
      </c>
      <c r="E410" s="474">
        <f>VLOOKUP(calcLOB2Clinician12LookupValue,dataTableCC2Staff,8,FALSE)*paramLOB2Clinician12Admin</f>
        <v>0</v>
      </c>
      <c r="F410" s="474">
        <f>VLOOKUP(calcLOB2Clinician12LookupValue,dataTableCC2Staff,8,FALSE)*paramLOB2Clinician12Admin</f>
        <v>0</v>
      </c>
      <c r="G410" s="474">
        <f>VLOOKUP(calcLOB2Clinician12LookupValue,dataTableCC2Staff,8,FALSE)*paramLOB2Clinician12Admin</f>
        <v>0</v>
      </c>
      <c r="H410" s="8" t="s">
        <v>2245</v>
      </c>
      <c r="I410" s="131" t="b">
        <f t="shared" si="14"/>
        <v>1</v>
      </c>
      <c r="K410" s="474">
        <f>VLOOKUP(calcR2LOB2Clinician12LookupValue,dataTableCC2Staff,8,FALSE)*paramR2LOB2Clinician12Admin</f>
        <v>0</v>
      </c>
      <c r="L410" s="474">
        <f>VLOOKUP(calcR2LOB2Clinician12LookupValue,dataTableCC2Staff,8,FALSE)*paramR2LOB2Clinician12Admin</f>
        <v>0</v>
      </c>
      <c r="M410" s="474">
        <f>VLOOKUP(calcR2LOB2Clinician12LookupValue,dataTableCC2Staff,8,FALSE)*paramR2LOB2Clinician12Admin</f>
        <v>0</v>
      </c>
      <c r="N410" s="8" t="s">
        <v>5900</v>
      </c>
      <c r="O410" s="131" t="b">
        <f t="shared" si="15"/>
        <v>1</v>
      </c>
    </row>
    <row r="411" spans="1:15">
      <c r="A411" s="76"/>
      <c r="I411" s="131" t="b">
        <f t="shared" si="14"/>
        <v>1</v>
      </c>
      <c r="K411" s="159"/>
      <c r="L411" s="159"/>
      <c r="M411" s="159"/>
      <c r="O411" s="131" t="b">
        <f t="shared" si="15"/>
        <v>1</v>
      </c>
    </row>
    <row r="412" spans="1:15">
      <c r="A412" s="76" t="str">
        <f>IF(obal!A412=0,"",obal!A412)</f>
        <v/>
      </c>
      <c r="I412" s="131" t="b">
        <f t="shared" si="14"/>
        <v>1</v>
      </c>
      <c r="K412" s="159"/>
      <c r="L412" s="159"/>
      <c r="M412" s="159"/>
      <c r="O412" s="131" t="b">
        <f t="shared" si="15"/>
        <v>1</v>
      </c>
    </row>
    <row r="413" spans="1:15">
      <c r="A413" s="76" t="str">
        <f>IF(obal!A413=0,"",obal!A413)</f>
        <v>Initiative (Code) - R1 #1</v>
      </c>
      <c r="E413" s="324"/>
      <c r="F413" s="324"/>
      <c r="G413" s="324"/>
      <c r="H413" s="63" t="s">
        <v>190</v>
      </c>
      <c r="I413" s="131" t="b">
        <f t="shared" si="14"/>
        <v>1</v>
      </c>
      <c r="K413" s="324"/>
      <c r="L413" s="324"/>
      <c r="M413" s="324"/>
      <c r="N413" s="63" t="s">
        <v>5901</v>
      </c>
      <c r="O413" s="131" t="b">
        <f t="shared" si="15"/>
        <v>1</v>
      </c>
    </row>
    <row r="414" spans="1:15">
      <c r="A414" s="76" t="str">
        <f>IF(obal!A414=0,"",obal!A414)</f>
        <v>Initiative (Code) - R1 #2</v>
      </c>
      <c r="E414" s="324"/>
      <c r="F414" s="324"/>
      <c r="G414" s="324"/>
      <c r="H414" s="63" t="s">
        <v>189</v>
      </c>
      <c r="I414" s="131" t="b">
        <f t="shared" si="14"/>
        <v>1</v>
      </c>
      <c r="K414" s="324"/>
      <c r="L414" s="324"/>
      <c r="M414" s="324"/>
      <c r="N414" s="63" t="s">
        <v>5902</v>
      </c>
      <c r="O414" s="131" t="b">
        <f t="shared" si="15"/>
        <v>1</v>
      </c>
    </row>
    <row r="415" spans="1:15">
      <c r="A415" s="76" t="str">
        <f>IF(obal!A415=0,"",obal!A415)</f>
        <v>Initiative (Code) - R1 #3</v>
      </c>
      <c r="E415" s="324"/>
      <c r="F415" s="324"/>
      <c r="G415" s="324"/>
      <c r="H415" s="63" t="s">
        <v>188</v>
      </c>
      <c r="I415" s="131" t="b">
        <f t="shared" si="14"/>
        <v>1</v>
      </c>
      <c r="K415" s="324"/>
      <c r="L415" s="324"/>
      <c r="M415" s="324"/>
      <c r="N415" s="63" t="s">
        <v>5903</v>
      </c>
      <c r="O415" s="131" t="b">
        <f t="shared" si="15"/>
        <v>1</v>
      </c>
    </row>
    <row r="416" spans="1:15">
      <c r="A416" s="76" t="str">
        <f>IF(obal!A416=0,"",obal!A416)</f>
        <v>Initiative (Code) - R1 #4</v>
      </c>
      <c r="E416" s="324"/>
      <c r="F416" s="324"/>
      <c r="G416" s="324"/>
      <c r="H416" s="63" t="s">
        <v>187</v>
      </c>
      <c r="I416" s="131" t="b">
        <f t="shared" si="14"/>
        <v>1</v>
      </c>
      <c r="K416" s="324"/>
      <c r="L416" s="324"/>
      <c r="M416" s="324"/>
      <c r="N416" s="63" t="s">
        <v>5904</v>
      </c>
      <c r="O416" s="131" t="b">
        <f t="shared" si="15"/>
        <v>1</v>
      </c>
    </row>
    <row r="417" spans="1:15">
      <c r="A417" s="76" t="str">
        <f>IF(obal!A417=0,"",obal!A417)</f>
        <v>Initiative (Code) - R1 #5</v>
      </c>
      <c r="E417" s="324"/>
      <c r="F417" s="324"/>
      <c r="G417" s="324"/>
      <c r="H417" s="63" t="s">
        <v>186</v>
      </c>
      <c r="I417" s="131" t="b">
        <f t="shared" si="14"/>
        <v>1</v>
      </c>
      <c r="K417" s="324"/>
      <c r="L417" s="324"/>
      <c r="M417" s="324"/>
      <c r="N417" s="63" t="s">
        <v>5905</v>
      </c>
      <c r="O417" s="131" t="b">
        <f t="shared" si="15"/>
        <v>1</v>
      </c>
    </row>
    <row r="418" spans="1:15">
      <c r="A418" s="76" t="str">
        <f>IF(obal!A418=0,"",obal!A418)</f>
        <v/>
      </c>
      <c r="I418" s="131" t="b">
        <f t="shared" ref="I418:I430" si="16">MAX(E418:G418)=MIN(E418:G418)</f>
        <v>1</v>
      </c>
      <c r="K418" s="159"/>
      <c r="L418" s="159"/>
      <c r="M418" s="159"/>
      <c r="O418" s="131" t="b">
        <f t="shared" ref="O418:O430" si="17">MAX(K418:M418)=MIN(K418:M418)</f>
        <v>1</v>
      </c>
    </row>
    <row r="419" spans="1:15">
      <c r="A419" s="76" t="str">
        <f>IF(obal!A419=0,"",obal!A419)</f>
        <v>Initiative (Code) - R2 #1</v>
      </c>
      <c r="E419" s="324"/>
      <c r="F419" s="324"/>
      <c r="G419" s="324"/>
      <c r="H419" s="63" t="s">
        <v>185</v>
      </c>
      <c r="I419" s="131" t="b">
        <f t="shared" si="16"/>
        <v>1</v>
      </c>
      <c r="K419" s="324"/>
      <c r="L419" s="324"/>
      <c r="M419" s="324"/>
      <c r="N419" s="63" t="s">
        <v>5906</v>
      </c>
      <c r="O419" s="131" t="b">
        <f t="shared" si="17"/>
        <v>1</v>
      </c>
    </row>
    <row r="420" spans="1:15">
      <c r="A420" s="76" t="str">
        <f>IF(obal!A420=0,"",obal!A420)</f>
        <v>Initiative (Code) - R2 #2</v>
      </c>
      <c r="E420" s="324"/>
      <c r="F420" s="324"/>
      <c r="G420" s="324"/>
      <c r="H420" s="63" t="s">
        <v>184</v>
      </c>
      <c r="I420" s="131" t="b">
        <f t="shared" si="16"/>
        <v>1</v>
      </c>
      <c r="K420" s="324"/>
      <c r="L420" s="324"/>
      <c r="M420" s="324"/>
      <c r="N420" s="63" t="s">
        <v>5907</v>
      </c>
      <c r="O420" s="131" t="b">
        <f t="shared" si="17"/>
        <v>1</v>
      </c>
    </row>
    <row r="421" spans="1:15">
      <c r="A421" s="76" t="str">
        <f>IF(obal!A421=0,"",obal!A421)</f>
        <v>Initiative (Code) - R2 #3</v>
      </c>
      <c r="E421" s="324"/>
      <c r="F421" s="324"/>
      <c r="G421" s="324"/>
      <c r="H421" s="63" t="s">
        <v>183</v>
      </c>
      <c r="I421" s="131" t="b">
        <f t="shared" si="16"/>
        <v>1</v>
      </c>
      <c r="K421" s="324"/>
      <c r="L421" s="324"/>
      <c r="M421" s="324"/>
      <c r="N421" s="63" t="s">
        <v>5908</v>
      </c>
      <c r="O421" s="131" t="b">
        <f t="shared" si="17"/>
        <v>1</v>
      </c>
    </row>
    <row r="422" spans="1:15">
      <c r="A422" s="76" t="str">
        <f>IF(obal!A422=0,"",obal!A422)</f>
        <v>Initiative (Code) - R2 #4</v>
      </c>
      <c r="E422" s="324"/>
      <c r="F422" s="324"/>
      <c r="G422" s="324"/>
      <c r="H422" s="63" t="s">
        <v>182</v>
      </c>
      <c r="I422" s="131" t="b">
        <f t="shared" si="16"/>
        <v>1</v>
      </c>
      <c r="K422" s="324"/>
      <c r="L422" s="324"/>
      <c r="M422" s="324"/>
      <c r="N422" s="63" t="s">
        <v>5909</v>
      </c>
      <c r="O422" s="131" t="b">
        <f t="shared" si="17"/>
        <v>1</v>
      </c>
    </row>
    <row r="423" spans="1:15">
      <c r="A423" s="76" t="str">
        <f>IF(obal!A423=0,"",obal!A423)</f>
        <v>Initiative (Code) - R2 #5</v>
      </c>
      <c r="E423" s="324"/>
      <c r="F423" s="324"/>
      <c r="G423" s="324"/>
      <c r="H423" s="63" t="s">
        <v>181</v>
      </c>
      <c r="I423" s="131" t="b">
        <f t="shared" si="16"/>
        <v>1</v>
      </c>
      <c r="K423" s="324"/>
      <c r="L423" s="324"/>
      <c r="M423" s="324"/>
      <c r="N423" s="63" t="s">
        <v>5910</v>
      </c>
      <c r="O423" s="131" t="b">
        <f t="shared" si="17"/>
        <v>1</v>
      </c>
    </row>
    <row r="424" spans="1:15">
      <c r="A424" s="76" t="str">
        <f>IF(obal!A424=0,"",obal!A424)</f>
        <v/>
      </c>
      <c r="I424" s="131" t="b">
        <f t="shared" si="16"/>
        <v>1</v>
      </c>
      <c r="K424" s="159"/>
      <c r="L424" s="159"/>
      <c r="M424" s="159"/>
      <c r="O424" s="131" t="b">
        <f t="shared" si="17"/>
        <v>1</v>
      </c>
    </row>
    <row r="425" spans="1:15">
      <c r="A425" s="76" t="str">
        <f>IF(obal!A425=0,"",obal!A425)</f>
        <v>Initiative (Code) - R3 #1</v>
      </c>
      <c r="E425" s="324"/>
      <c r="F425" s="324"/>
      <c r="G425" s="324"/>
      <c r="H425" s="63" t="s">
        <v>180</v>
      </c>
      <c r="I425" s="131" t="b">
        <f t="shared" si="16"/>
        <v>1</v>
      </c>
      <c r="K425" s="324"/>
      <c r="L425" s="324"/>
      <c r="M425" s="324"/>
      <c r="N425" s="63" t="s">
        <v>5911</v>
      </c>
      <c r="O425" s="131" t="b">
        <f t="shared" si="17"/>
        <v>1</v>
      </c>
    </row>
    <row r="426" spans="1:15">
      <c r="A426" s="76" t="str">
        <f>IF(obal!A426=0,"",obal!A426)</f>
        <v>Initiative (Code) - R3 #2</v>
      </c>
      <c r="E426" s="324"/>
      <c r="F426" s="324"/>
      <c r="G426" s="324"/>
      <c r="H426" s="63" t="s">
        <v>179</v>
      </c>
      <c r="I426" s="131" t="b">
        <f t="shared" si="16"/>
        <v>1</v>
      </c>
      <c r="K426" s="324"/>
      <c r="L426" s="324"/>
      <c r="M426" s="324"/>
      <c r="N426" s="63" t="s">
        <v>5912</v>
      </c>
      <c r="O426" s="131" t="b">
        <f t="shared" si="17"/>
        <v>1</v>
      </c>
    </row>
    <row r="427" spans="1:15">
      <c r="A427" s="76" t="str">
        <f>IF(obal!A427=0,"",obal!A427)</f>
        <v>Initiative (Code) - R3 #3</v>
      </c>
      <c r="E427" s="324"/>
      <c r="F427" s="324"/>
      <c r="G427" s="324"/>
      <c r="H427" s="63" t="s">
        <v>178</v>
      </c>
      <c r="I427" s="131" t="b">
        <f t="shared" si="16"/>
        <v>1</v>
      </c>
      <c r="K427" s="324"/>
      <c r="L427" s="324"/>
      <c r="M427" s="324"/>
      <c r="N427" s="63" t="s">
        <v>5913</v>
      </c>
      <c r="O427" s="131" t="b">
        <f t="shared" si="17"/>
        <v>1</v>
      </c>
    </row>
    <row r="428" spans="1:15">
      <c r="A428" s="76" t="str">
        <f>IF(obal!A428=0,"",obal!A428)</f>
        <v>Initiative (Code) - R3 #4</v>
      </c>
      <c r="E428" s="324"/>
      <c r="F428" s="324"/>
      <c r="G428" s="324"/>
      <c r="H428" s="63" t="s">
        <v>177</v>
      </c>
      <c r="I428" s="131" t="b">
        <f t="shared" si="16"/>
        <v>1</v>
      </c>
      <c r="K428" s="324"/>
      <c r="L428" s="324"/>
      <c r="M428" s="324"/>
      <c r="N428" s="63" t="s">
        <v>5914</v>
      </c>
      <c r="O428" s="131" t="b">
        <f t="shared" si="17"/>
        <v>1</v>
      </c>
    </row>
    <row r="429" spans="1:15">
      <c r="A429" s="76" t="str">
        <f>IF(obal!A429=0,"",obal!A429)</f>
        <v>Initiative (Code) - R3 #5</v>
      </c>
      <c r="E429" s="324"/>
      <c r="F429" s="324"/>
      <c r="G429" s="324"/>
      <c r="H429" s="63" t="s">
        <v>176</v>
      </c>
      <c r="I429" s="131" t="b">
        <f t="shared" si="16"/>
        <v>1</v>
      </c>
      <c r="K429" s="324"/>
      <c r="L429" s="324"/>
      <c r="M429" s="324"/>
      <c r="N429" s="63" t="s">
        <v>5915</v>
      </c>
      <c r="O429" s="131" t="b">
        <f t="shared" si="17"/>
        <v>1</v>
      </c>
    </row>
    <row r="430" spans="1:15">
      <c r="A430" s="76" t="str">
        <f>IF(obal!A430=0,"",obal!A430)</f>
        <v/>
      </c>
      <c r="I430" s="131" t="b">
        <f t="shared" si="16"/>
        <v>1</v>
      </c>
      <c r="O430" s="131" t="b">
        <f t="shared" si="17"/>
        <v>1</v>
      </c>
    </row>
    <row r="431" spans="1:15">
      <c r="A431" s="76" t="str">
        <f>IF(obal!A431=0,"",obal!A431)</f>
        <v/>
      </c>
    </row>
    <row r="432" spans="1:15">
      <c r="A432" s="76" t="str">
        <f>IF(obal!A432=0,"",obal!A432)</f>
        <v/>
      </c>
    </row>
    <row r="433" spans="1:7" s="61" customFormat="1">
      <c r="A433" s="61" t="s">
        <v>175</v>
      </c>
      <c r="E433" s="176"/>
      <c r="F433" s="176"/>
      <c r="G433" s="176"/>
    </row>
  </sheetData>
  <hyperlinks>
    <hyperlink ref="D3" r:id="rId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1"/>
  </sheetPr>
  <dimension ref="A1:HY141"/>
  <sheetViews>
    <sheetView topLeftCell="A71" workbookViewId="0">
      <selection activeCell="E130" sqref="E130"/>
    </sheetView>
  </sheetViews>
  <sheetFormatPr defaultRowHeight="10"/>
  <cols>
    <col min="1" max="1" width="3.109375" customWidth="1"/>
    <col min="2" max="2" width="7" customWidth="1"/>
    <col min="3" max="3" width="8.33203125" customWidth="1"/>
    <col min="4" max="4" width="14.6640625" customWidth="1"/>
    <col min="5" max="7" width="25" customWidth="1"/>
    <col min="8" max="8" width="19.109375" style="302" bestFit="1" customWidth="1"/>
    <col min="11" max="13" width="25" customWidth="1"/>
    <col min="14" max="14" width="19.109375" style="302" bestFit="1" customWidth="1"/>
  </cols>
  <sheetData>
    <row r="1" spans="1:233" s="304" customFormat="1" ht="13">
      <c r="A1" s="306" t="s">
        <v>237</v>
      </c>
      <c r="H1" s="305"/>
      <c r="N1" s="305"/>
    </row>
    <row r="2" spans="1:233" s="293" customFormat="1">
      <c r="H2" s="308"/>
      <c r="N2" s="308"/>
    </row>
    <row r="3" spans="1:233" s="293" customFormat="1" ht="14.25" customHeight="1">
      <c r="E3" s="349" t="s">
        <v>473</v>
      </c>
      <c r="F3" s="348"/>
      <c r="G3" s="348"/>
      <c r="H3" s="348"/>
      <c r="I3" s="348"/>
      <c r="J3" s="348"/>
      <c r="K3" s="350" t="s">
        <v>474</v>
      </c>
      <c r="L3" s="346"/>
      <c r="M3" s="346"/>
      <c r="N3" s="346"/>
      <c r="O3" s="346"/>
      <c r="T3" s="293" t="s">
        <v>473</v>
      </c>
      <c r="U3" s="293" t="s">
        <v>473</v>
      </c>
      <c r="V3" s="293" t="s">
        <v>473</v>
      </c>
    </row>
    <row r="4" spans="1:233" s="309" customFormat="1">
      <c r="E4" s="172" t="s">
        <v>162</v>
      </c>
      <c r="F4" s="172" t="s">
        <v>161</v>
      </c>
      <c r="G4" s="172" t="s">
        <v>160</v>
      </c>
      <c r="H4" s="310"/>
      <c r="K4" s="172" t="s">
        <v>162</v>
      </c>
      <c r="L4" s="172" t="s">
        <v>161</v>
      </c>
      <c r="M4" s="172" t="s">
        <v>160</v>
      </c>
      <c r="N4" s="310"/>
      <c r="R4" s="309" t="s">
        <v>162</v>
      </c>
      <c r="S4" s="309" t="s">
        <v>162</v>
      </c>
      <c r="T4" s="309" t="s">
        <v>162</v>
      </c>
      <c r="U4" s="309" t="s">
        <v>162</v>
      </c>
      <c r="V4" s="309" t="s">
        <v>162</v>
      </c>
    </row>
    <row r="5" spans="1:233" s="315" customFormat="1" ht="15" customHeight="1">
      <c r="A5" s="311"/>
      <c r="B5" s="312"/>
      <c r="C5" s="312"/>
      <c r="D5" s="312"/>
      <c r="E5" s="316">
        <v>1</v>
      </c>
      <c r="F5" s="316">
        <v>2</v>
      </c>
      <c r="G5" s="316">
        <v>3</v>
      </c>
      <c r="H5" s="317" t="s">
        <v>459</v>
      </c>
      <c r="I5" s="314"/>
      <c r="J5" s="314"/>
      <c r="K5" s="316">
        <v>1</v>
      </c>
      <c r="L5" s="316">
        <v>2</v>
      </c>
      <c r="M5" s="316">
        <v>3</v>
      </c>
      <c r="N5" s="313" t="s">
        <v>460</v>
      </c>
      <c r="O5" s="314"/>
      <c r="P5" s="314"/>
      <c r="Q5" s="314"/>
      <c r="R5" s="314">
        <v>1</v>
      </c>
      <c r="S5" s="314">
        <v>1</v>
      </c>
      <c r="T5" s="314">
        <v>1</v>
      </c>
      <c r="U5" s="314">
        <v>1</v>
      </c>
      <c r="V5" s="314">
        <v>1</v>
      </c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4"/>
      <c r="AK5" s="314"/>
      <c r="AL5" s="314"/>
      <c r="AM5" s="314"/>
      <c r="AN5" s="314"/>
      <c r="AO5" s="314"/>
      <c r="AP5" s="314"/>
      <c r="AQ5" s="314"/>
      <c r="AR5" s="314"/>
      <c r="AS5" s="314"/>
      <c r="AT5" s="314"/>
      <c r="AU5" s="314"/>
      <c r="AV5" s="314"/>
      <c r="AW5" s="314"/>
      <c r="AX5" s="314"/>
      <c r="AY5" s="314"/>
      <c r="AZ5" s="314"/>
      <c r="BA5" s="314"/>
      <c r="BB5" s="314"/>
      <c r="BC5" s="314"/>
      <c r="BD5" s="314"/>
      <c r="BE5" s="314"/>
      <c r="BF5" s="314"/>
      <c r="BG5" s="314"/>
      <c r="BH5" s="314"/>
      <c r="BI5" s="314"/>
      <c r="BJ5" s="314"/>
      <c r="BK5" s="314"/>
      <c r="BL5" s="314"/>
      <c r="BM5" s="314"/>
      <c r="BN5" s="314"/>
      <c r="BO5" s="314"/>
      <c r="BP5" s="314"/>
      <c r="BQ5" s="314"/>
      <c r="BR5" s="314"/>
      <c r="BS5" s="314"/>
      <c r="BT5" s="314"/>
      <c r="BU5" s="314"/>
      <c r="BV5" s="314"/>
      <c r="BW5" s="314"/>
      <c r="BX5" s="314"/>
      <c r="BY5" s="314"/>
      <c r="BZ5" s="314"/>
      <c r="CA5" s="314"/>
      <c r="CB5" s="314"/>
      <c r="CC5" s="314"/>
      <c r="CD5" s="314"/>
      <c r="CE5" s="314"/>
      <c r="CF5" s="314"/>
      <c r="CG5" s="314"/>
      <c r="CH5" s="314"/>
      <c r="CI5" s="314"/>
      <c r="CJ5" s="314"/>
      <c r="CK5" s="314"/>
      <c r="CL5" s="314"/>
      <c r="CM5" s="314"/>
      <c r="CN5" s="314"/>
      <c r="CO5" s="314"/>
      <c r="CP5" s="314"/>
      <c r="CQ5" s="314"/>
      <c r="CR5" s="314"/>
      <c r="CS5" s="314"/>
      <c r="CT5" s="314"/>
      <c r="CU5" s="314"/>
      <c r="CV5" s="314"/>
      <c r="CW5" s="314"/>
      <c r="CX5" s="314"/>
      <c r="CY5" s="314"/>
      <c r="CZ5" s="314"/>
      <c r="DA5" s="314"/>
      <c r="DB5" s="314"/>
      <c r="DC5" s="314"/>
      <c r="DD5" s="314"/>
      <c r="DE5" s="314"/>
      <c r="DF5" s="314"/>
      <c r="DG5" s="314"/>
      <c r="DH5" s="314"/>
      <c r="DI5" s="314"/>
      <c r="DJ5" s="314"/>
      <c r="DK5" s="314"/>
      <c r="DL5" s="314"/>
      <c r="DM5" s="314"/>
      <c r="DN5" s="314"/>
      <c r="DO5" s="314"/>
      <c r="DP5" s="314"/>
      <c r="DQ5" s="314"/>
      <c r="DR5" s="314"/>
      <c r="DS5" s="314"/>
      <c r="DT5" s="314"/>
      <c r="DU5" s="314"/>
      <c r="DV5" s="314"/>
      <c r="DW5" s="314"/>
      <c r="DX5" s="314"/>
      <c r="DY5" s="314"/>
      <c r="DZ5" s="314"/>
      <c r="EA5" s="314"/>
      <c r="EB5" s="314"/>
      <c r="EC5" s="314"/>
      <c r="ED5" s="314"/>
      <c r="EE5" s="314"/>
      <c r="EF5" s="314"/>
      <c r="EG5" s="314"/>
      <c r="EH5" s="314"/>
      <c r="EI5" s="314"/>
      <c r="EJ5" s="314"/>
      <c r="EK5" s="314"/>
      <c r="EL5" s="314"/>
      <c r="EM5" s="314"/>
      <c r="EN5" s="314"/>
      <c r="EO5" s="314"/>
      <c r="EP5" s="314"/>
      <c r="EQ5" s="314"/>
      <c r="ER5" s="314"/>
      <c r="ES5" s="314"/>
      <c r="ET5" s="314"/>
      <c r="EU5" s="314"/>
      <c r="EV5" s="314"/>
      <c r="EW5" s="314"/>
      <c r="EX5" s="314"/>
      <c r="EY5" s="314"/>
      <c r="EZ5" s="314"/>
      <c r="FA5" s="314"/>
      <c r="FB5" s="314"/>
      <c r="FC5" s="314"/>
      <c r="FD5" s="314"/>
      <c r="FE5" s="314"/>
      <c r="FF5" s="314"/>
      <c r="FG5" s="314"/>
      <c r="FH5" s="314"/>
      <c r="FI5" s="314"/>
      <c r="FJ5" s="314"/>
      <c r="FK5" s="314"/>
      <c r="FL5" s="314"/>
      <c r="FM5" s="314"/>
      <c r="FN5" s="314"/>
      <c r="FO5" s="314"/>
      <c r="FP5" s="314"/>
      <c r="FQ5" s="314"/>
      <c r="FR5" s="314"/>
      <c r="FS5" s="314"/>
      <c r="FT5" s="314"/>
      <c r="FU5" s="314"/>
      <c r="FV5" s="314"/>
      <c r="FW5" s="314"/>
      <c r="FX5" s="314"/>
      <c r="FY5" s="314"/>
      <c r="FZ5" s="314"/>
      <c r="GA5" s="314"/>
      <c r="GB5" s="314"/>
      <c r="GC5" s="314"/>
      <c r="GD5" s="314"/>
      <c r="GE5" s="314"/>
      <c r="GF5" s="314"/>
      <c r="GG5" s="314"/>
      <c r="GH5" s="314"/>
      <c r="GI5" s="314"/>
      <c r="GJ5" s="314"/>
      <c r="GK5" s="314"/>
      <c r="GL5" s="314"/>
      <c r="GM5" s="314"/>
      <c r="GN5" s="314"/>
      <c r="GO5" s="314"/>
      <c r="GP5" s="314"/>
      <c r="GQ5" s="314"/>
      <c r="GR5" s="314"/>
      <c r="GS5" s="314"/>
      <c r="GT5" s="314"/>
      <c r="GU5" s="314"/>
      <c r="GV5" s="314"/>
      <c r="GW5" s="314"/>
      <c r="GX5" s="314"/>
      <c r="GY5" s="314"/>
      <c r="GZ5" s="314"/>
      <c r="HA5" s="314"/>
      <c r="HB5" s="314"/>
      <c r="HC5" s="314"/>
      <c r="HD5" s="314"/>
      <c r="HE5" s="314"/>
      <c r="HF5" s="314"/>
      <c r="HG5" s="314"/>
      <c r="HH5" s="314"/>
      <c r="HI5" s="314"/>
      <c r="HJ5" s="314"/>
      <c r="HK5" s="314"/>
      <c r="HL5" s="314"/>
      <c r="HM5" s="314"/>
      <c r="HN5" s="314"/>
      <c r="HO5" s="314"/>
      <c r="HP5" s="314"/>
      <c r="HQ5" s="314"/>
      <c r="HR5" s="314"/>
      <c r="HS5" s="314"/>
      <c r="HT5" s="314"/>
      <c r="HU5" s="314"/>
      <c r="HV5" s="314"/>
      <c r="HW5" s="314"/>
      <c r="HX5" s="314"/>
      <c r="HY5" s="314"/>
    </row>
    <row r="6" spans="1:233" ht="10.5">
      <c r="A6" s="140" t="s">
        <v>455</v>
      </c>
      <c r="E6" s="301" t="s">
        <v>461</v>
      </c>
      <c r="K6" s="301" t="s">
        <v>461</v>
      </c>
      <c r="R6" t="s">
        <v>461</v>
      </c>
      <c r="S6" t="s">
        <v>461</v>
      </c>
      <c r="T6" t="s">
        <v>461</v>
      </c>
      <c r="U6" t="s">
        <v>461</v>
      </c>
      <c r="V6" t="s">
        <v>461</v>
      </c>
    </row>
    <row r="7" spans="1:233">
      <c r="B7" t="s">
        <v>230</v>
      </c>
      <c r="E7" s="318">
        <f>tlInputTeamNumber</f>
        <v>1</v>
      </c>
      <c r="F7" s="318">
        <f>tlInputTeamNumber</f>
        <v>1</v>
      </c>
      <c r="G7" s="318">
        <f>tlInputTeamNumber</f>
        <v>1</v>
      </c>
      <c r="H7" s="302" t="s">
        <v>253</v>
      </c>
      <c r="K7" s="318">
        <f>tlInputTeamNumber</f>
        <v>1</v>
      </c>
      <c r="L7" s="318">
        <f>tlInputTeamNumber</f>
        <v>1</v>
      </c>
      <c r="M7" s="318">
        <f>tlInputTeamNumber</f>
        <v>1</v>
      </c>
      <c r="N7" s="302" t="s">
        <v>462</v>
      </c>
      <c r="R7">
        <v>1</v>
      </c>
      <c r="S7">
        <v>1</v>
      </c>
      <c r="T7">
        <v>1</v>
      </c>
      <c r="U7">
        <v>1</v>
      </c>
      <c r="V7">
        <v>1</v>
      </c>
    </row>
    <row r="8" spans="1:233">
      <c r="B8" t="s">
        <v>231</v>
      </c>
      <c r="E8" s="318">
        <f>tlInputTeamName</f>
        <v>0</v>
      </c>
      <c r="F8" s="318" t="s">
        <v>4659</v>
      </c>
      <c r="G8" s="318" t="s">
        <v>4664</v>
      </c>
      <c r="H8" s="302" t="s">
        <v>254</v>
      </c>
      <c r="K8" s="318">
        <f>tlInputTeamName</f>
        <v>0</v>
      </c>
      <c r="L8" s="318" t="s">
        <v>4659</v>
      </c>
      <c r="M8" s="318" t="s">
        <v>4664</v>
      </c>
      <c r="N8" s="302" t="s">
        <v>463</v>
      </c>
      <c r="R8" t="s">
        <v>162</v>
      </c>
      <c r="S8" t="s">
        <v>161</v>
      </c>
      <c r="T8" t="s">
        <v>160</v>
      </c>
      <c r="U8" t="s">
        <v>159</v>
      </c>
      <c r="V8" t="s">
        <v>158</v>
      </c>
    </row>
    <row r="9" spans="1:233">
      <c r="B9" t="s">
        <v>312</v>
      </c>
      <c r="E9" s="318">
        <v>1</v>
      </c>
      <c r="F9" s="318">
        <v>1</v>
      </c>
      <c r="G9" s="318">
        <v>1</v>
      </c>
      <c r="H9" s="302" t="s">
        <v>464</v>
      </c>
      <c r="K9" s="318">
        <v>2</v>
      </c>
      <c r="L9" s="318">
        <v>2</v>
      </c>
      <c r="M9" s="318">
        <v>2</v>
      </c>
      <c r="N9" s="302" t="s">
        <v>465</v>
      </c>
      <c r="R9">
        <v>1</v>
      </c>
      <c r="S9">
        <v>1</v>
      </c>
      <c r="T9">
        <v>1</v>
      </c>
      <c r="U9">
        <v>1</v>
      </c>
      <c r="V9">
        <v>1</v>
      </c>
    </row>
    <row r="10" spans="1:233">
      <c r="E10" s="303"/>
      <c r="F10" s="303"/>
      <c r="G10" s="303"/>
      <c r="K10" s="303"/>
      <c r="L10" s="303"/>
      <c r="M10" s="303"/>
    </row>
    <row r="11" spans="1:233" ht="10.5">
      <c r="A11" s="67" t="str">
        <f>nmLOB1</f>
        <v>Riverside</v>
      </c>
      <c r="E11" s="303"/>
      <c r="F11" s="303"/>
      <c r="G11" s="303"/>
      <c r="I11">
        <v>12</v>
      </c>
      <c r="K11" s="303"/>
      <c r="L11" s="303"/>
      <c r="M11" s="303"/>
    </row>
    <row r="12" spans="1:233">
      <c r="A12" t="s">
        <v>567</v>
      </c>
      <c r="E12" s="303"/>
      <c r="F12" s="303"/>
      <c r="G12" s="303"/>
      <c r="K12" s="303"/>
      <c r="L12" s="303"/>
      <c r="M12" s="303"/>
    </row>
    <row r="13" spans="1:233">
      <c r="B13" t="s">
        <v>558</v>
      </c>
      <c r="E13" s="430">
        <f>tlInputLOB1SpecProg1_R1</f>
        <v>0</v>
      </c>
      <c r="F13" s="690">
        <v>0</v>
      </c>
      <c r="G13" s="690">
        <v>0</v>
      </c>
      <c r="H13" s="302" t="s">
        <v>1366</v>
      </c>
      <c r="K13" s="430">
        <f>tlInputLOB1SpecProg1_R2</f>
        <v>0</v>
      </c>
      <c r="L13" s="690">
        <v>0</v>
      </c>
      <c r="M13" s="690">
        <v>0</v>
      </c>
      <c r="N13" s="302" t="s">
        <v>1367</v>
      </c>
      <c r="R13">
        <v>9</v>
      </c>
      <c r="S13">
        <v>3</v>
      </c>
      <c r="T13">
        <v>5</v>
      </c>
      <c r="U13">
        <v>11</v>
      </c>
      <c r="V13">
        <v>3</v>
      </c>
    </row>
    <row r="14" spans="1:233">
      <c r="B14" t="s">
        <v>559</v>
      </c>
      <c r="E14" s="430">
        <f>tlInputLOB1SpecProg2_R1</f>
        <v>0</v>
      </c>
      <c r="F14" s="690">
        <v>0</v>
      </c>
      <c r="G14" s="690">
        <v>0</v>
      </c>
      <c r="H14" s="302" t="s">
        <v>1368</v>
      </c>
      <c r="K14" s="430">
        <f>tlInputLOB1SpecProg2_R2</f>
        <v>0</v>
      </c>
      <c r="L14" s="690">
        <v>0</v>
      </c>
      <c r="M14" s="690">
        <v>0</v>
      </c>
      <c r="N14" s="302" t="s">
        <v>1369</v>
      </c>
      <c r="R14">
        <v>7</v>
      </c>
      <c r="S14">
        <v>6</v>
      </c>
      <c r="T14">
        <v>2</v>
      </c>
      <c r="U14">
        <v>12</v>
      </c>
      <c r="V14">
        <v>15</v>
      </c>
    </row>
    <row r="15" spans="1:233">
      <c r="B15" t="s">
        <v>560</v>
      </c>
      <c r="E15" s="430">
        <f>tlInputLOB1SpecProg3_R1</f>
        <v>0</v>
      </c>
      <c r="F15" s="690">
        <v>0</v>
      </c>
      <c r="G15" s="690">
        <v>0</v>
      </c>
      <c r="H15" s="302" t="s">
        <v>1370</v>
      </c>
      <c r="K15" s="430">
        <f>tlInputLOB1SpecProg3_R2</f>
        <v>0</v>
      </c>
      <c r="L15" s="690">
        <v>0</v>
      </c>
      <c r="M15" s="690">
        <v>0</v>
      </c>
      <c r="N15" s="302" t="s">
        <v>1371</v>
      </c>
      <c r="R15">
        <v>12</v>
      </c>
      <c r="S15">
        <v>8</v>
      </c>
      <c r="T15">
        <v>15</v>
      </c>
      <c r="U15">
        <v>3</v>
      </c>
      <c r="V15">
        <v>12</v>
      </c>
    </row>
    <row r="16" spans="1:233">
      <c r="B16" t="s">
        <v>616</v>
      </c>
      <c r="E16" s="430">
        <f>tlInputLOB1SpecProg4_R1</f>
        <v>0</v>
      </c>
      <c r="F16" s="690">
        <v>0</v>
      </c>
      <c r="G16" s="690">
        <v>0</v>
      </c>
      <c r="H16" s="302" t="s">
        <v>1372</v>
      </c>
      <c r="K16" s="430">
        <f>tlInputLOB1SpecProg4_R2</f>
        <v>0</v>
      </c>
      <c r="L16" s="690">
        <v>0</v>
      </c>
      <c r="M16" s="690">
        <v>0</v>
      </c>
      <c r="N16" s="302" t="s">
        <v>1373</v>
      </c>
      <c r="R16">
        <v>19</v>
      </c>
      <c r="S16">
        <v>12</v>
      </c>
      <c r="T16">
        <v>17</v>
      </c>
      <c r="U16">
        <v>8</v>
      </c>
      <c r="V16">
        <v>9</v>
      </c>
    </row>
    <row r="17" spans="1:22">
      <c r="B17" t="s">
        <v>561</v>
      </c>
      <c r="E17" s="318">
        <f>tlInputLOB1DOOAdjTime1_R1</f>
        <v>0</v>
      </c>
      <c r="F17" s="690">
        <v>0</v>
      </c>
      <c r="G17" s="690">
        <v>0</v>
      </c>
      <c r="H17" s="302" t="s">
        <v>1374</v>
      </c>
      <c r="K17" s="318">
        <f>tlInputLOB1DOOAdjTime1_R2</f>
        <v>0</v>
      </c>
      <c r="L17" s="690">
        <v>0</v>
      </c>
      <c r="M17" s="690">
        <v>0</v>
      </c>
      <c r="N17" s="302" t="s">
        <v>1375</v>
      </c>
      <c r="R17">
        <v>0</v>
      </c>
      <c r="S17">
        <v>0</v>
      </c>
      <c r="T17">
        <v>0</v>
      </c>
      <c r="U17">
        <v>0</v>
      </c>
      <c r="V17">
        <v>0</v>
      </c>
    </row>
    <row r="18" spans="1:22">
      <c r="B18" t="s">
        <v>562</v>
      </c>
      <c r="E18" s="318">
        <f>tlInputLOB1DOOAdjTime2_R1</f>
        <v>0</v>
      </c>
      <c r="F18" s="690">
        <v>0</v>
      </c>
      <c r="G18" s="690">
        <v>0</v>
      </c>
      <c r="H18" s="302" t="s">
        <v>1376</v>
      </c>
      <c r="K18" s="318">
        <f>tlInputLOB1DOOAdjTime2_R2</f>
        <v>0</v>
      </c>
      <c r="L18" s="690">
        <v>0</v>
      </c>
      <c r="M18" s="690">
        <v>0</v>
      </c>
      <c r="N18" s="302" t="s">
        <v>1377</v>
      </c>
      <c r="R18">
        <v>0</v>
      </c>
      <c r="S18">
        <v>0</v>
      </c>
      <c r="T18">
        <v>0</v>
      </c>
      <c r="U18">
        <v>0.01</v>
      </c>
      <c r="V18">
        <v>0</v>
      </c>
    </row>
    <row r="19" spans="1:22">
      <c r="B19" t="s">
        <v>563</v>
      </c>
      <c r="E19" s="318">
        <f>tlInputLOB1DOOAdjTime3_R1</f>
        <v>0</v>
      </c>
      <c r="F19" s="685">
        <v>0.03</v>
      </c>
      <c r="G19" s="685">
        <v>0.01</v>
      </c>
      <c r="H19" s="302" t="s">
        <v>1378</v>
      </c>
      <c r="K19" s="318">
        <f>tlInputLOB1DOOAdjTime3_R2</f>
        <v>0</v>
      </c>
      <c r="L19" s="685">
        <v>0.03</v>
      </c>
      <c r="M19" s="685">
        <v>0.05</v>
      </c>
      <c r="N19" s="302" t="s">
        <v>1379</v>
      </c>
      <c r="R19">
        <v>0</v>
      </c>
      <c r="S19">
        <v>0</v>
      </c>
      <c r="T19">
        <v>0</v>
      </c>
      <c r="U19">
        <v>0.02</v>
      </c>
      <c r="V19">
        <v>0</v>
      </c>
    </row>
    <row r="20" spans="1:22">
      <c r="B20" t="s">
        <v>564</v>
      </c>
      <c r="E20" s="318">
        <f>tlInputLOB1DOOAdjTime4_R1</f>
        <v>0</v>
      </c>
      <c r="F20" s="690">
        <v>0</v>
      </c>
      <c r="G20" s="690">
        <v>0</v>
      </c>
      <c r="H20" s="302" t="s">
        <v>1380</v>
      </c>
      <c r="K20" s="318">
        <f>tlInputLOB1DOOAdjTime4_R2</f>
        <v>0</v>
      </c>
      <c r="L20" s="690">
        <v>0</v>
      </c>
      <c r="M20" s="690">
        <v>0</v>
      </c>
      <c r="N20" s="302" t="s">
        <v>1381</v>
      </c>
      <c r="R20">
        <v>0.03</v>
      </c>
      <c r="S20">
        <v>0</v>
      </c>
      <c r="T20">
        <v>0</v>
      </c>
      <c r="U20">
        <v>0</v>
      </c>
      <c r="V20">
        <v>0</v>
      </c>
    </row>
    <row r="21" spans="1:22">
      <c r="B21" t="s">
        <v>565</v>
      </c>
      <c r="E21" s="318">
        <f>tlInputLOB1DOOAdjTime5_R1</f>
        <v>0</v>
      </c>
      <c r="F21" s="690">
        <v>0</v>
      </c>
      <c r="G21" s="690">
        <v>0</v>
      </c>
      <c r="H21" s="302" t="s">
        <v>1382</v>
      </c>
      <c r="K21" s="318">
        <f>tlInputLOB1DOOAdjTime5_R2</f>
        <v>0</v>
      </c>
      <c r="L21" s="690">
        <v>0</v>
      </c>
      <c r="M21" s="690">
        <v>0</v>
      </c>
      <c r="N21" s="302" t="s">
        <v>1383</v>
      </c>
      <c r="R21">
        <v>0</v>
      </c>
      <c r="S21">
        <v>0</v>
      </c>
      <c r="T21">
        <v>0.03</v>
      </c>
      <c r="U21">
        <v>0.01</v>
      </c>
      <c r="V21">
        <v>0.03</v>
      </c>
    </row>
    <row r="22" spans="1:22">
      <c r="B22" t="s">
        <v>566</v>
      </c>
      <c r="E22" s="318">
        <f>tlInputLOB1DOOAdjTime6_R1</f>
        <v>0</v>
      </c>
      <c r="F22" s="690">
        <v>0</v>
      </c>
      <c r="G22" s="690">
        <v>0</v>
      </c>
      <c r="H22" s="302" t="s">
        <v>1384</v>
      </c>
      <c r="K22" s="318">
        <f>tlInputLOB1DOOAdjTime6_R2</f>
        <v>0</v>
      </c>
      <c r="L22" s="690">
        <v>0</v>
      </c>
      <c r="M22" s="690">
        <v>0</v>
      </c>
      <c r="N22" s="302" t="s">
        <v>1385</v>
      </c>
      <c r="R22">
        <v>0</v>
      </c>
      <c r="S22">
        <v>0.03</v>
      </c>
      <c r="T22">
        <v>0</v>
      </c>
      <c r="U22">
        <v>0</v>
      </c>
      <c r="V22">
        <v>0</v>
      </c>
    </row>
    <row r="23" spans="1:22">
      <c r="A23" t="s">
        <v>251</v>
      </c>
      <c r="E23" s="303"/>
      <c r="F23" s="303"/>
      <c r="G23" s="303"/>
      <c r="K23" s="303"/>
      <c r="L23" s="303"/>
      <c r="M23" s="303"/>
    </row>
    <row r="24" spans="1:22">
      <c r="B24" t="s">
        <v>534</v>
      </c>
      <c r="E24" s="318">
        <f>tlInputLOB1Prod1Seg1Adj_R1</f>
        <v>121</v>
      </c>
      <c r="F24" s="689">
        <v>166</v>
      </c>
      <c r="G24" s="689">
        <v>89</v>
      </c>
      <c r="H24" s="302" t="s">
        <v>1446</v>
      </c>
      <c r="K24" s="318">
        <f>tlInputLOB1Prod1Seg1Adj_R2</f>
        <v>123</v>
      </c>
      <c r="L24" s="689">
        <v>166</v>
      </c>
      <c r="M24" s="689">
        <v>89</v>
      </c>
      <c r="N24" s="302" t="s">
        <v>1447</v>
      </c>
      <c r="R24">
        <v>190</v>
      </c>
      <c r="S24">
        <v>200</v>
      </c>
      <c r="T24">
        <v>190</v>
      </c>
      <c r="U24">
        <v>210</v>
      </c>
      <c r="V24">
        <v>188</v>
      </c>
    </row>
    <row r="25" spans="1:22">
      <c r="B25" t="s">
        <v>535</v>
      </c>
      <c r="E25" s="318">
        <f>tlInputLOB1Prod1Seg2Adj_R1</f>
        <v>21</v>
      </c>
      <c r="F25" s="689">
        <v>28</v>
      </c>
      <c r="G25" s="689">
        <v>15</v>
      </c>
      <c r="H25" s="302" t="s">
        <v>1450</v>
      </c>
      <c r="K25" s="318">
        <f>tlInputLOB1Prod1Seg2Adj_R2</f>
        <v>21</v>
      </c>
      <c r="L25" s="689">
        <v>28</v>
      </c>
      <c r="M25" s="689">
        <v>15</v>
      </c>
      <c r="N25" s="302" t="s">
        <v>1451</v>
      </c>
      <c r="R25">
        <v>10</v>
      </c>
      <c r="S25">
        <v>12</v>
      </c>
      <c r="T25">
        <v>10</v>
      </c>
      <c r="U25">
        <v>15</v>
      </c>
      <c r="V25">
        <v>10</v>
      </c>
    </row>
    <row r="26" spans="1:22">
      <c r="B26" t="s">
        <v>536</v>
      </c>
      <c r="E26" s="318">
        <f>tlInputLOB1Prod1Seg3Adj_R1</f>
        <v>67</v>
      </c>
      <c r="F26" s="689">
        <v>92</v>
      </c>
      <c r="G26" s="689">
        <v>50</v>
      </c>
      <c r="H26" s="302" t="s">
        <v>1454</v>
      </c>
      <c r="K26" s="318">
        <f>tlInputLOB1Prod1Seg3Adj_R2</f>
        <v>68</v>
      </c>
      <c r="L26" s="689">
        <v>92</v>
      </c>
      <c r="M26" s="689">
        <v>50</v>
      </c>
      <c r="N26" s="302" t="s">
        <v>1455</v>
      </c>
      <c r="R26">
        <v>8</v>
      </c>
      <c r="S26">
        <v>8</v>
      </c>
      <c r="T26">
        <v>7</v>
      </c>
      <c r="U26">
        <v>8</v>
      </c>
      <c r="V26">
        <v>7</v>
      </c>
    </row>
    <row r="27" spans="1:22">
      <c r="B27" t="s">
        <v>537</v>
      </c>
      <c r="E27" s="318">
        <f>tlInputLOB1Prod2Seg1Adj_R1</f>
        <v>30</v>
      </c>
      <c r="F27" s="689">
        <v>41</v>
      </c>
      <c r="G27" s="689">
        <v>22</v>
      </c>
      <c r="H27" s="302" t="s">
        <v>1458</v>
      </c>
      <c r="K27" s="318">
        <f>tlInputLOB1Prod2Seg1Adj_R2</f>
        <v>31</v>
      </c>
      <c r="L27" s="689">
        <v>41</v>
      </c>
      <c r="M27" s="689">
        <v>22</v>
      </c>
      <c r="N27" s="302" t="s">
        <v>1459</v>
      </c>
      <c r="R27">
        <v>50</v>
      </c>
      <c r="S27">
        <v>52</v>
      </c>
      <c r="T27">
        <v>50</v>
      </c>
      <c r="U27">
        <v>55</v>
      </c>
      <c r="V27">
        <v>50</v>
      </c>
    </row>
    <row r="28" spans="1:22">
      <c r="B28" t="s">
        <v>538</v>
      </c>
      <c r="E28" s="318">
        <f>tlInputLOB1Prod2Seg2Adj_R1</f>
        <v>5</v>
      </c>
      <c r="F28" s="689">
        <v>7</v>
      </c>
      <c r="G28" s="689">
        <v>4</v>
      </c>
      <c r="H28" s="302" t="s">
        <v>1462</v>
      </c>
      <c r="K28" s="318">
        <f>tlInputLOB1Prod2Seg2Adj_R2</f>
        <v>5</v>
      </c>
      <c r="L28" s="689">
        <v>7</v>
      </c>
      <c r="M28" s="689">
        <v>4</v>
      </c>
      <c r="N28" s="302" t="s">
        <v>1463</v>
      </c>
      <c r="R28">
        <v>4</v>
      </c>
      <c r="S28">
        <v>5</v>
      </c>
      <c r="T28">
        <v>2</v>
      </c>
      <c r="U28">
        <v>4</v>
      </c>
      <c r="V28">
        <v>3</v>
      </c>
    </row>
    <row r="29" spans="1:22">
      <c r="B29" t="s">
        <v>539</v>
      </c>
      <c r="E29" s="318">
        <f>tlInputLOB1Prod2Seg3Adj_R1</f>
        <v>17</v>
      </c>
      <c r="F29" s="689">
        <v>23</v>
      </c>
      <c r="G29" s="689">
        <v>12</v>
      </c>
      <c r="H29" s="302" t="s">
        <v>1466</v>
      </c>
      <c r="K29" s="318">
        <f>tlInputLOB1Prod2Seg3Adj_R2</f>
        <v>17</v>
      </c>
      <c r="L29" s="689">
        <v>23</v>
      </c>
      <c r="M29" s="689">
        <v>12</v>
      </c>
      <c r="N29" s="302" t="s">
        <v>1467</v>
      </c>
      <c r="R29">
        <v>2</v>
      </c>
      <c r="S29">
        <v>2</v>
      </c>
      <c r="T29">
        <v>3</v>
      </c>
      <c r="U29">
        <v>5</v>
      </c>
      <c r="V29">
        <v>3</v>
      </c>
    </row>
    <row r="30" spans="1:22">
      <c r="A30" t="s">
        <v>594</v>
      </c>
      <c r="E30" s="303"/>
      <c r="F30" s="303"/>
      <c r="G30" s="303"/>
      <c r="K30" s="303"/>
      <c r="L30" s="303"/>
      <c r="M30" s="303"/>
    </row>
    <row r="31" spans="1:22">
      <c r="B31" t="s">
        <v>595</v>
      </c>
      <c r="E31" s="528">
        <f>tlInputLOB1Cln1WeekProdMod_R1</f>
        <v>0</v>
      </c>
      <c r="F31" s="689">
        <v>0</v>
      </c>
      <c r="G31" s="689">
        <v>0</v>
      </c>
      <c r="H31" s="302" t="s">
        <v>3540</v>
      </c>
      <c r="K31" s="528">
        <f>tlInputLOB1Cln1WeekProdMod_R2</f>
        <v>0</v>
      </c>
      <c r="L31" s="689">
        <v>0</v>
      </c>
      <c r="M31" s="689">
        <v>0</v>
      </c>
      <c r="N31" s="302" t="s">
        <v>3552</v>
      </c>
      <c r="R31">
        <v>-3</v>
      </c>
      <c r="S31">
        <v>0</v>
      </c>
      <c r="T31">
        <v>0</v>
      </c>
      <c r="U31">
        <v>0</v>
      </c>
      <c r="V31">
        <v>0</v>
      </c>
    </row>
    <row r="32" spans="1:22">
      <c r="B32" t="s">
        <v>596</v>
      </c>
      <c r="E32" s="528">
        <f>tlInputLOB1Cln2WeekProdMod_R1</f>
        <v>0</v>
      </c>
      <c r="F32" s="689">
        <v>0</v>
      </c>
      <c r="G32" s="689">
        <v>0</v>
      </c>
      <c r="H32" s="302" t="s">
        <v>3541</v>
      </c>
      <c r="K32" s="528">
        <f>tlInputLOB1Cln2WeekProdMod_R2</f>
        <v>0</v>
      </c>
      <c r="L32" s="689">
        <v>0</v>
      </c>
      <c r="M32" s="689">
        <v>0</v>
      </c>
      <c r="N32" s="302" t="s">
        <v>3553</v>
      </c>
      <c r="R32">
        <v>0</v>
      </c>
      <c r="S32">
        <v>0</v>
      </c>
      <c r="T32">
        <v>0</v>
      </c>
      <c r="U32">
        <v>0</v>
      </c>
      <c r="V32">
        <v>0</v>
      </c>
    </row>
    <row r="33" spans="2:22">
      <c r="B33" t="s">
        <v>597</v>
      </c>
      <c r="E33" s="528">
        <f>tlInputLOB1Cln3WeekProdMod_R1</f>
        <v>0</v>
      </c>
      <c r="F33" s="689">
        <v>0</v>
      </c>
      <c r="G33" s="689">
        <v>0</v>
      </c>
      <c r="H33" s="302" t="s">
        <v>3542</v>
      </c>
      <c r="K33" s="528">
        <f>tlInputLOB1Cln3WeekProdMod_R2</f>
        <v>0</v>
      </c>
      <c r="L33" s="689">
        <v>0</v>
      </c>
      <c r="M33" s="689">
        <v>0</v>
      </c>
      <c r="N33" s="302" t="s">
        <v>3554</v>
      </c>
      <c r="R33">
        <v>0</v>
      </c>
      <c r="S33">
        <v>0</v>
      </c>
      <c r="T33">
        <v>0</v>
      </c>
      <c r="U33">
        <v>0</v>
      </c>
      <c r="V33">
        <v>0</v>
      </c>
    </row>
    <row r="34" spans="2:22">
      <c r="B34" t="s">
        <v>598</v>
      </c>
      <c r="E34" s="528">
        <f>tlInputLOB1Cln4WeekProdMod_R1</f>
        <v>0</v>
      </c>
      <c r="F34" s="689">
        <v>0</v>
      </c>
      <c r="G34" s="689">
        <v>0</v>
      </c>
      <c r="H34" s="302" t="s">
        <v>3543</v>
      </c>
      <c r="K34" s="528">
        <f>tlInputLOB1Cln4WeekProdMod_R2</f>
        <v>0</v>
      </c>
      <c r="L34" s="689">
        <v>0</v>
      </c>
      <c r="M34" s="689">
        <v>0</v>
      </c>
      <c r="N34" s="302" t="s">
        <v>3555</v>
      </c>
      <c r="R34">
        <v>0</v>
      </c>
      <c r="S34">
        <v>0</v>
      </c>
      <c r="T34">
        <v>0</v>
      </c>
      <c r="U34">
        <v>0</v>
      </c>
      <c r="V34">
        <v>0</v>
      </c>
    </row>
    <row r="35" spans="2:22">
      <c r="B35" t="s">
        <v>599</v>
      </c>
      <c r="E35" s="528">
        <f>tlInputLOB1Cln5WeekProdMod_R1</f>
        <v>0</v>
      </c>
      <c r="F35" s="689">
        <v>0</v>
      </c>
      <c r="G35" s="689">
        <v>0</v>
      </c>
      <c r="H35" s="302" t="s">
        <v>3544</v>
      </c>
      <c r="K35" s="528">
        <f>tlInputLOB1Cln5WeekProdMod_R2</f>
        <v>0</v>
      </c>
      <c r="L35" s="689">
        <v>0</v>
      </c>
      <c r="M35" s="689">
        <v>0</v>
      </c>
      <c r="N35" s="302" t="s">
        <v>3556</v>
      </c>
      <c r="R35">
        <v>0</v>
      </c>
      <c r="S35">
        <v>0</v>
      </c>
      <c r="T35">
        <v>0</v>
      </c>
      <c r="U35">
        <v>0</v>
      </c>
      <c r="V35">
        <v>0</v>
      </c>
    </row>
    <row r="36" spans="2:22">
      <c r="B36" t="s">
        <v>600</v>
      </c>
      <c r="E36" s="528">
        <f>tlInputLOB1Cln6WeekProdMod_R1</f>
        <v>0</v>
      </c>
      <c r="F36" s="689">
        <v>0</v>
      </c>
      <c r="G36" s="689">
        <v>0</v>
      </c>
      <c r="H36" s="302" t="s">
        <v>3545</v>
      </c>
      <c r="K36" s="528">
        <f>tlInputLOB1Cln6WeekProdMod_R2</f>
        <v>0</v>
      </c>
      <c r="L36" s="689">
        <v>0</v>
      </c>
      <c r="M36" s="689">
        <v>0</v>
      </c>
      <c r="N36" s="302" t="s">
        <v>3557</v>
      </c>
      <c r="R36">
        <v>0</v>
      </c>
      <c r="S36">
        <v>0</v>
      </c>
      <c r="T36">
        <v>0</v>
      </c>
      <c r="U36">
        <v>4</v>
      </c>
      <c r="V36">
        <v>0</v>
      </c>
    </row>
    <row r="37" spans="2:22">
      <c r="B37" t="s">
        <v>601</v>
      </c>
      <c r="E37" s="528">
        <f>tlInputLOB1Cln7WeekProdMod_R1</f>
        <v>0</v>
      </c>
      <c r="F37" s="689">
        <v>0</v>
      </c>
      <c r="G37" s="689">
        <v>0</v>
      </c>
      <c r="H37" s="302" t="s">
        <v>3546</v>
      </c>
      <c r="K37" s="528">
        <f>tlInputLOB1Cln7WeekProdMod_R2</f>
        <v>0</v>
      </c>
      <c r="L37" s="689">
        <v>0</v>
      </c>
      <c r="M37" s="689">
        <v>0</v>
      </c>
      <c r="N37" s="302" t="s">
        <v>3558</v>
      </c>
      <c r="R37">
        <v>0</v>
      </c>
      <c r="S37">
        <v>0</v>
      </c>
      <c r="T37">
        <v>5</v>
      </c>
      <c r="U37">
        <v>4</v>
      </c>
      <c r="V37">
        <v>5</v>
      </c>
    </row>
    <row r="38" spans="2:22">
      <c r="B38" t="s">
        <v>602</v>
      </c>
      <c r="E38" s="528">
        <f>tlInputLOB1Cln8WeekProdMod_R1</f>
        <v>0</v>
      </c>
      <c r="F38" s="689">
        <v>0</v>
      </c>
      <c r="G38" s="689">
        <v>0</v>
      </c>
      <c r="H38" s="302" t="s">
        <v>3547</v>
      </c>
      <c r="K38" s="528">
        <f>tlInputLOB1Cln8WeekProdMod_R2</f>
        <v>0</v>
      </c>
      <c r="L38" s="689">
        <v>0</v>
      </c>
      <c r="M38" s="689">
        <v>0</v>
      </c>
      <c r="N38" s="302" t="s">
        <v>3559</v>
      </c>
      <c r="R38">
        <v>0</v>
      </c>
      <c r="S38">
        <v>0</v>
      </c>
      <c r="T38">
        <v>0</v>
      </c>
      <c r="U38">
        <v>4</v>
      </c>
      <c r="V38">
        <v>5</v>
      </c>
    </row>
    <row r="39" spans="2:22">
      <c r="B39" t="s">
        <v>603</v>
      </c>
      <c r="E39" s="528">
        <f>tlInputLOB1Cln9WeekProdMod_R1</f>
        <v>0</v>
      </c>
      <c r="F39" s="689">
        <v>0</v>
      </c>
      <c r="G39" s="689">
        <v>0</v>
      </c>
      <c r="H39" s="302" t="s">
        <v>3548</v>
      </c>
      <c r="K39" s="528">
        <f>tlInputLOB1Cln9WeekProdMod_R2</f>
        <v>0</v>
      </c>
      <c r="L39" s="689">
        <v>0</v>
      </c>
      <c r="M39" s="689">
        <v>0</v>
      </c>
      <c r="N39" s="302" t="s">
        <v>3560</v>
      </c>
      <c r="R39">
        <v>2</v>
      </c>
      <c r="S39">
        <v>0</v>
      </c>
      <c r="T39">
        <v>0</v>
      </c>
      <c r="U39">
        <v>0</v>
      </c>
      <c r="V39">
        <v>5</v>
      </c>
    </row>
    <row r="40" spans="2:22">
      <c r="B40" t="s">
        <v>604</v>
      </c>
      <c r="E40" s="528">
        <f>tlInputLOB1Cln10WeekProdMod_R1</f>
        <v>0</v>
      </c>
      <c r="F40" s="689">
        <v>0</v>
      </c>
      <c r="G40" s="689">
        <v>0</v>
      </c>
      <c r="H40" s="302" t="s">
        <v>3549</v>
      </c>
      <c r="K40" s="528">
        <f>tlInputLOB1Cln10WeekProdMod_R2</f>
        <v>0</v>
      </c>
      <c r="L40" s="689">
        <v>0</v>
      </c>
      <c r="M40" s="689">
        <v>0</v>
      </c>
      <c r="N40" s="302" t="s">
        <v>3561</v>
      </c>
      <c r="R40">
        <v>0</v>
      </c>
      <c r="S40">
        <v>3</v>
      </c>
      <c r="T40">
        <v>3</v>
      </c>
      <c r="U40">
        <v>10</v>
      </c>
      <c r="V40">
        <v>2</v>
      </c>
    </row>
    <row r="41" spans="2:22">
      <c r="B41" t="s">
        <v>1497</v>
      </c>
      <c r="E41" s="528">
        <f>tlInputLOB1Cln11WeekProdMod_R1</f>
        <v>0</v>
      </c>
      <c r="F41" s="689">
        <v>0</v>
      </c>
      <c r="G41" s="689">
        <v>0</v>
      </c>
      <c r="H41" s="302" t="s">
        <v>3550</v>
      </c>
      <c r="K41" s="528">
        <f>tlInputLOB1Cln11WeekProdMod_R2</f>
        <v>0</v>
      </c>
      <c r="L41" s="689">
        <v>0</v>
      </c>
      <c r="M41" s="689">
        <v>0</v>
      </c>
      <c r="N41" s="302" t="s">
        <v>3562</v>
      </c>
      <c r="R41">
        <v>3</v>
      </c>
      <c r="S41">
        <v>3</v>
      </c>
      <c r="T41">
        <v>3</v>
      </c>
      <c r="U41">
        <v>3</v>
      </c>
      <c r="V41">
        <v>1</v>
      </c>
    </row>
    <row r="42" spans="2:22">
      <c r="B42" t="s">
        <v>1498</v>
      </c>
      <c r="E42" s="528">
        <f>tlInputLOB1Cln12WeekProdMod_R1</f>
        <v>0</v>
      </c>
      <c r="F42" s="689">
        <v>0</v>
      </c>
      <c r="G42" s="689">
        <v>0</v>
      </c>
      <c r="H42" s="302" t="s">
        <v>3551</v>
      </c>
      <c r="K42" s="528">
        <f>tlInputLOB1Cln12WeekProdMod_R2</f>
        <v>0</v>
      </c>
      <c r="L42" s="689">
        <v>0</v>
      </c>
      <c r="M42" s="689">
        <v>0</v>
      </c>
      <c r="N42" s="302" t="s">
        <v>3563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2:22">
      <c r="B43" t="s">
        <v>595</v>
      </c>
      <c r="E43" s="318">
        <f>tlInputLOB1Cln1Mtng_R1</f>
        <v>0</v>
      </c>
      <c r="F43" s="690">
        <v>0</v>
      </c>
      <c r="G43" s="690">
        <v>0</v>
      </c>
      <c r="H43" s="302" t="s">
        <v>1386</v>
      </c>
      <c r="K43" s="318">
        <f>tlInputLOB1Cln1Mtng_R2</f>
        <v>0</v>
      </c>
      <c r="L43" s="690">
        <v>0</v>
      </c>
      <c r="M43" s="690">
        <v>0</v>
      </c>
      <c r="N43" s="302" t="s">
        <v>1387</v>
      </c>
      <c r="R43">
        <v>1</v>
      </c>
      <c r="S43">
        <v>0</v>
      </c>
      <c r="T43">
        <v>0</v>
      </c>
      <c r="U43">
        <v>1</v>
      </c>
      <c r="V43">
        <v>0</v>
      </c>
    </row>
    <row r="44" spans="2:22">
      <c r="B44" t="s">
        <v>596</v>
      </c>
      <c r="E44" s="318">
        <f>tlInputLOB1Cln2Mtng_R1</f>
        <v>0</v>
      </c>
      <c r="F44" s="690">
        <v>0</v>
      </c>
      <c r="G44" s="690">
        <v>0</v>
      </c>
      <c r="H44" s="302" t="s">
        <v>1388</v>
      </c>
      <c r="K44" s="318">
        <f>tlInputLOB1Cln2Mtng_R2</f>
        <v>0</v>
      </c>
      <c r="L44" s="690">
        <v>0</v>
      </c>
      <c r="M44" s="690">
        <v>0</v>
      </c>
      <c r="N44" s="302" t="s">
        <v>1389</v>
      </c>
      <c r="R44">
        <v>0</v>
      </c>
      <c r="S44">
        <v>1</v>
      </c>
      <c r="T44">
        <v>0</v>
      </c>
      <c r="U44">
        <v>1</v>
      </c>
      <c r="V44">
        <v>0</v>
      </c>
    </row>
    <row r="45" spans="2:22">
      <c r="B45" t="s">
        <v>597</v>
      </c>
      <c r="E45" s="318">
        <f>tlInputLOB1Cln3Mtng_R1</f>
        <v>0</v>
      </c>
      <c r="F45" s="690">
        <v>0</v>
      </c>
      <c r="G45" s="690">
        <v>0</v>
      </c>
      <c r="H45" s="302" t="s">
        <v>1390</v>
      </c>
      <c r="K45" s="318">
        <f>tlInputLOB1Cln3Mtng_R2</f>
        <v>0</v>
      </c>
      <c r="L45" s="690">
        <v>0</v>
      </c>
      <c r="M45" s="690">
        <v>0</v>
      </c>
      <c r="N45" s="302" t="s">
        <v>1391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2:22">
      <c r="B46" t="s">
        <v>598</v>
      </c>
      <c r="E46" s="318">
        <f>tlInputLOB1Cln4Mtng_R1</f>
        <v>0</v>
      </c>
      <c r="F46" s="690">
        <v>0</v>
      </c>
      <c r="G46" s="690">
        <v>0</v>
      </c>
      <c r="H46" s="302" t="s">
        <v>1392</v>
      </c>
      <c r="K46" s="318">
        <f>tlInputLOB1Cln4Mtng_R2</f>
        <v>0</v>
      </c>
      <c r="L46" s="690">
        <v>0</v>
      </c>
      <c r="M46" s="690">
        <v>0</v>
      </c>
      <c r="N46" s="302" t="s">
        <v>1393</v>
      </c>
      <c r="R46">
        <v>4</v>
      </c>
      <c r="S46">
        <v>0</v>
      </c>
      <c r="T46">
        <v>0</v>
      </c>
      <c r="U46">
        <v>0</v>
      </c>
      <c r="V46">
        <v>0</v>
      </c>
    </row>
    <row r="47" spans="2:22">
      <c r="B47" t="s">
        <v>599</v>
      </c>
      <c r="E47" s="318">
        <f>tlInputLOB1Cln5Mtng_R1</f>
        <v>0</v>
      </c>
      <c r="F47" s="690">
        <v>0</v>
      </c>
      <c r="G47" s="690">
        <v>0</v>
      </c>
      <c r="H47" s="302" t="s">
        <v>1394</v>
      </c>
      <c r="K47" s="318">
        <f>tlInputLOB1Cln5Mtng_R2</f>
        <v>0</v>
      </c>
      <c r="L47" s="690">
        <v>0</v>
      </c>
      <c r="M47" s="690">
        <v>0</v>
      </c>
      <c r="N47" s="302" t="s">
        <v>1395</v>
      </c>
      <c r="R47">
        <v>0</v>
      </c>
      <c r="S47">
        <v>1</v>
      </c>
      <c r="T47">
        <v>0</v>
      </c>
      <c r="U47">
        <v>1</v>
      </c>
      <c r="V47">
        <v>0</v>
      </c>
    </row>
    <row r="48" spans="2:22">
      <c r="B48" t="s">
        <v>600</v>
      </c>
      <c r="E48" s="318">
        <f>tlInputLOB1Cln6Mtng_R1</f>
        <v>0</v>
      </c>
      <c r="F48" s="690">
        <v>0</v>
      </c>
      <c r="G48" s="690">
        <v>0</v>
      </c>
      <c r="H48" s="302" t="s">
        <v>1396</v>
      </c>
      <c r="K48" s="318">
        <f>tlInputLOB1Cln6Mtng_R2</f>
        <v>0</v>
      </c>
      <c r="L48" s="690">
        <v>0</v>
      </c>
      <c r="M48" s="690">
        <v>0</v>
      </c>
      <c r="N48" s="302" t="s">
        <v>1397</v>
      </c>
      <c r="R48">
        <v>6</v>
      </c>
      <c r="S48">
        <v>0</v>
      </c>
      <c r="T48">
        <v>0</v>
      </c>
      <c r="U48">
        <v>0</v>
      </c>
      <c r="V48">
        <v>0</v>
      </c>
    </row>
    <row r="49" spans="2:22">
      <c r="B49" t="s">
        <v>601</v>
      </c>
      <c r="E49" s="318">
        <f>tlInputLOB1Cln7Mtng_R1</f>
        <v>0</v>
      </c>
      <c r="F49" s="690">
        <v>0</v>
      </c>
      <c r="G49" s="690">
        <v>0</v>
      </c>
      <c r="H49" s="302" t="s">
        <v>1398</v>
      </c>
      <c r="K49" s="318">
        <f>tlInputLOB1Cln7Mtng_R2</f>
        <v>0</v>
      </c>
      <c r="L49" s="690">
        <v>0</v>
      </c>
      <c r="M49" s="690">
        <v>0</v>
      </c>
      <c r="N49" s="302" t="s">
        <v>1399</v>
      </c>
      <c r="R49">
        <v>0</v>
      </c>
      <c r="S49">
        <v>0</v>
      </c>
      <c r="T49">
        <v>1</v>
      </c>
      <c r="U49">
        <v>1</v>
      </c>
      <c r="V49">
        <v>1</v>
      </c>
    </row>
    <row r="50" spans="2:22">
      <c r="B50" t="s">
        <v>602</v>
      </c>
      <c r="E50" s="318">
        <f>tlInputLOB1Cln8Mtng_R1</f>
        <v>0</v>
      </c>
      <c r="F50" s="690">
        <v>0</v>
      </c>
      <c r="G50" s="690">
        <v>0</v>
      </c>
      <c r="H50" s="302" t="s">
        <v>1400</v>
      </c>
      <c r="K50" s="318">
        <f>tlInputLOB1Cln8Mtng_R2</f>
        <v>0</v>
      </c>
      <c r="L50" s="690">
        <v>0</v>
      </c>
      <c r="M50" s="690">
        <v>0</v>
      </c>
      <c r="N50" s="302" t="s">
        <v>1401</v>
      </c>
      <c r="R50">
        <v>0</v>
      </c>
      <c r="S50">
        <v>1</v>
      </c>
      <c r="T50">
        <v>1</v>
      </c>
      <c r="U50">
        <v>0</v>
      </c>
      <c r="V50">
        <v>1</v>
      </c>
    </row>
    <row r="51" spans="2:22">
      <c r="B51" t="s">
        <v>603</v>
      </c>
      <c r="E51" s="318">
        <f>tlInputLOB1Cln9Mtng_R1</f>
        <v>0</v>
      </c>
      <c r="F51" s="690">
        <v>0</v>
      </c>
      <c r="G51" s="690">
        <v>0</v>
      </c>
      <c r="H51" s="302" t="s">
        <v>1402</v>
      </c>
      <c r="K51" s="318">
        <f>tlInputLOB1Cln9Mtng_R2</f>
        <v>0</v>
      </c>
      <c r="L51" s="690">
        <v>0</v>
      </c>
      <c r="M51" s="690">
        <v>0</v>
      </c>
      <c r="N51" s="302" t="s">
        <v>1403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2:22">
      <c r="B52" t="s">
        <v>604</v>
      </c>
      <c r="E52" s="318">
        <f>tlInputLOB1Cln10Mtng_R1</f>
        <v>0</v>
      </c>
      <c r="F52" s="690">
        <v>0</v>
      </c>
      <c r="G52" s="690">
        <v>0</v>
      </c>
      <c r="H52" s="302" t="s">
        <v>1404</v>
      </c>
      <c r="K52" s="318">
        <f>tlInputLOB1Cln10Mtng_R2</f>
        <v>0</v>
      </c>
      <c r="L52" s="690">
        <v>0</v>
      </c>
      <c r="M52" s="690">
        <v>0</v>
      </c>
      <c r="N52" s="302" t="s">
        <v>1405</v>
      </c>
      <c r="R52">
        <v>0</v>
      </c>
      <c r="S52">
        <v>0</v>
      </c>
      <c r="T52">
        <v>1</v>
      </c>
      <c r="U52">
        <v>1</v>
      </c>
      <c r="V52">
        <v>1</v>
      </c>
    </row>
    <row r="53" spans="2:22">
      <c r="B53" t="s">
        <v>1497</v>
      </c>
      <c r="E53" s="318">
        <f>tlInputLOB1Cln11Mtng_R1</f>
        <v>0</v>
      </c>
      <c r="F53" s="690">
        <v>0</v>
      </c>
      <c r="G53" s="690">
        <v>0</v>
      </c>
      <c r="H53" s="302" t="s">
        <v>3524</v>
      </c>
      <c r="K53" s="318">
        <f>tlInputLOB1Cln11Mtng_R2</f>
        <v>0</v>
      </c>
      <c r="L53" s="690">
        <v>0</v>
      </c>
      <c r="M53" s="690">
        <v>0</v>
      </c>
      <c r="N53" s="302" t="s">
        <v>3525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2:22">
      <c r="B54" t="s">
        <v>1498</v>
      </c>
      <c r="E54" s="318">
        <f>tlInputLOB1Cln12Mtng_R1</f>
        <v>0</v>
      </c>
      <c r="F54" s="690">
        <v>0</v>
      </c>
      <c r="G54" s="690">
        <v>0</v>
      </c>
      <c r="H54" s="302" t="s">
        <v>3526</v>
      </c>
      <c r="K54" s="318">
        <f>tlInputLOB1Cln12Mtng_R2</f>
        <v>0</v>
      </c>
      <c r="L54" s="690">
        <v>0</v>
      </c>
      <c r="M54" s="690">
        <v>0</v>
      </c>
      <c r="N54" s="302" t="s">
        <v>3527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2:22">
      <c r="B55" t="s">
        <v>595</v>
      </c>
      <c r="E55" s="318" t="str">
        <f>tlInputLOB1Cln1Text_R1</f>
        <v>Enter feedback here</v>
      </c>
      <c r="F55" s="690">
        <v>0</v>
      </c>
      <c r="G55" s="690">
        <v>0</v>
      </c>
      <c r="H55" s="302" t="s">
        <v>3064</v>
      </c>
      <c r="K55" s="318" t="str">
        <f>tlInputLOB1Cln1Text_R2</f>
        <v>Enter feedback here</v>
      </c>
      <c r="L55" s="690">
        <v>0</v>
      </c>
      <c r="M55" s="690">
        <v>0</v>
      </c>
      <c r="N55" s="302" t="s">
        <v>3065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2:22">
      <c r="B56" t="s">
        <v>596</v>
      </c>
      <c r="E56" s="318" t="str">
        <f>tlInputLOB1Cln2Text_R1</f>
        <v>Enter feedback here</v>
      </c>
      <c r="F56" s="690">
        <v>0</v>
      </c>
      <c r="G56" s="690">
        <v>0</v>
      </c>
      <c r="H56" s="302" t="s">
        <v>3066</v>
      </c>
      <c r="K56" s="318" t="str">
        <f>tlInputLOB1Cln2Text_R2</f>
        <v>Enter feedback here</v>
      </c>
      <c r="L56" s="690">
        <v>0</v>
      </c>
      <c r="M56" s="690">
        <v>0</v>
      </c>
      <c r="N56" s="302" t="s">
        <v>3067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2:22">
      <c r="B57" t="s">
        <v>597</v>
      </c>
      <c r="E57" s="318" t="str">
        <f>tlInputLOB1Cln3Text_R1</f>
        <v>Enter feedback here</v>
      </c>
      <c r="F57" s="690">
        <v>0</v>
      </c>
      <c r="G57" s="690">
        <v>0</v>
      </c>
      <c r="H57" s="302" t="s">
        <v>3068</v>
      </c>
      <c r="K57" s="318" t="str">
        <f>tlInputLOB1Cln3Text_R2</f>
        <v>Enter feedback here</v>
      </c>
      <c r="L57" s="690">
        <v>0</v>
      </c>
      <c r="M57" s="690">
        <v>0</v>
      </c>
      <c r="N57" s="302" t="s">
        <v>3069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2:22">
      <c r="B58" t="s">
        <v>598</v>
      </c>
      <c r="E58" s="318" t="str">
        <f>tlInputLOB1Cln4Text_R1</f>
        <v>Enter feedback here</v>
      </c>
      <c r="F58" s="690">
        <v>0</v>
      </c>
      <c r="G58" s="690">
        <v>0</v>
      </c>
      <c r="H58" s="302" t="s">
        <v>3070</v>
      </c>
      <c r="K58" s="318" t="str">
        <f>tlInputLOB1Cln4Text_R2</f>
        <v>Enter feedback here</v>
      </c>
      <c r="L58" s="690">
        <v>0</v>
      </c>
      <c r="M58" s="690">
        <v>0</v>
      </c>
      <c r="N58" s="302" t="s">
        <v>3071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2:22">
      <c r="B59" t="s">
        <v>599</v>
      </c>
      <c r="E59" s="318" t="str">
        <f>tlInputLOB1Cln5Text_R1</f>
        <v>Enter feedback here</v>
      </c>
      <c r="F59" s="690">
        <v>0</v>
      </c>
      <c r="G59" s="690">
        <v>0</v>
      </c>
      <c r="H59" s="302" t="s">
        <v>3072</v>
      </c>
      <c r="K59" s="318" t="str">
        <f>tlInputLOB1Cln5Text_R2</f>
        <v>Enter feedback here</v>
      </c>
      <c r="L59" s="690">
        <v>0</v>
      </c>
      <c r="M59" s="690">
        <v>0</v>
      </c>
      <c r="N59" s="302" t="s">
        <v>3073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2:22">
      <c r="B60" t="s">
        <v>600</v>
      </c>
      <c r="E60" s="318" t="str">
        <f>tlInputLOB1Cln6Text_R1</f>
        <v>Enter feedback here</v>
      </c>
      <c r="F60" s="690">
        <v>0</v>
      </c>
      <c r="G60" s="690">
        <v>0</v>
      </c>
      <c r="H60" s="302" t="s">
        <v>3074</v>
      </c>
      <c r="K60" s="318" t="str">
        <f>tlInputLOB1Cln6Text_R2</f>
        <v>Enter feedback here</v>
      </c>
      <c r="L60" s="690">
        <v>0</v>
      </c>
      <c r="M60" s="690">
        <v>0</v>
      </c>
      <c r="N60" s="302" t="s">
        <v>3075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2:22">
      <c r="B61" t="s">
        <v>601</v>
      </c>
      <c r="E61" s="318" t="str">
        <f>tlInputLOB1Cln7Text_R1</f>
        <v>Enter feedback here</v>
      </c>
      <c r="F61" s="690">
        <v>0</v>
      </c>
      <c r="G61" s="690">
        <v>0</v>
      </c>
      <c r="H61" s="302" t="s">
        <v>3076</v>
      </c>
      <c r="K61" s="318" t="str">
        <f>tlInputLOB1Cln7Text_R2</f>
        <v>Enter feedback here</v>
      </c>
      <c r="L61" s="690">
        <v>0</v>
      </c>
      <c r="M61" s="690">
        <v>0</v>
      </c>
      <c r="N61" s="302" t="s">
        <v>3077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2:22">
      <c r="B62" t="s">
        <v>602</v>
      </c>
      <c r="E62" s="318" t="str">
        <f>tlInputLOB1Cln8Text_R1</f>
        <v>Enter feedback here</v>
      </c>
      <c r="F62" s="690">
        <v>0</v>
      </c>
      <c r="G62" s="690">
        <v>0</v>
      </c>
      <c r="H62" s="302" t="s">
        <v>3078</v>
      </c>
      <c r="K62" s="318" t="str">
        <f>tlInputLOB1Cln8Text_R2</f>
        <v>Enter feedback here</v>
      </c>
      <c r="L62" s="690">
        <v>0</v>
      </c>
      <c r="M62" s="690">
        <v>0</v>
      </c>
      <c r="N62" s="302" t="s">
        <v>3079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2:22">
      <c r="B63" t="s">
        <v>603</v>
      </c>
      <c r="E63" s="318" t="str">
        <f>tlInputLOB1Cln9Text_R1</f>
        <v>Enter feedback here</v>
      </c>
      <c r="F63" s="690">
        <v>0</v>
      </c>
      <c r="G63" s="690">
        <v>0</v>
      </c>
      <c r="H63" s="302" t="s">
        <v>3080</v>
      </c>
      <c r="K63" s="318" t="str">
        <f>tlInputLOB1Cln9Text_R2</f>
        <v>Enter feedback here</v>
      </c>
      <c r="L63" s="690">
        <v>0</v>
      </c>
      <c r="M63" s="690">
        <v>0</v>
      </c>
      <c r="N63" s="302" t="s">
        <v>3081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2:22">
      <c r="B64" t="s">
        <v>604</v>
      </c>
      <c r="E64" s="318" t="str">
        <f>tlInputLOB1Cln10Text_R1</f>
        <v>Enter feedback here</v>
      </c>
      <c r="F64" s="690">
        <v>0</v>
      </c>
      <c r="G64" s="690">
        <v>0</v>
      </c>
      <c r="H64" s="302" t="s">
        <v>3082</v>
      </c>
      <c r="K64" s="318" t="str">
        <f>tlInputLOB1Cln10Text_R2</f>
        <v>Enter feedback here</v>
      </c>
      <c r="L64" s="690">
        <v>0</v>
      </c>
      <c r="M64" s="690">
        <v>0</v>
      </c>
      <c r="N64" s="302" t="s">
        <v>3083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:22">
      <c r="B65" t="s">
        <v>1497</v>
      </c>
      <c r="E65" s="318" t="str">
        <f>tlInputLOB1Cln11Text_R1</f>
        <v>Enter feedback here</v>
      </c>
      <c r="F65" s="690">
        <v>0</v>
      </c>
      <c r="G65" s="690">
        <v>0</v>
      </c>
      <c r="H65" s="302" t="s">
        <v>3528</v>
      </c>
      <c r="K65" s="318" t="str">
        <f>tlInputLOB1Cln11Text_R2</f>
        <v>Enter feedback here</v>
      </c>
      <c r="L65" s="690">
        <v>0</v>
      </c>
      <c r="M65" s="690">
        <v>0</v>
      </c>
      <c r="N65" s="302" t="s">
        <v>3529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:22">
      <c r="B66" t="s">
        <v>1498</v>
      </c>
      <c r="E66" s="318" t="str">
        <f>tlInputLOB1Cln12Text_R1</f>
        <v>Enter feedback here</v>
      </c>
      <c r="F66" s="690">
        <v>0</v>
      </c>
      <c r="G66" s="690">
        <v>0</v>
      </c>
      <c r="H66" s="302" t="s">
        <v>3530</v>
      </c>
      <c r="K66" s="318" t="str">
        <f>tlInputLOB1Cln12Text_R2</f>
        <v>Enter feedback here</v>
      </c>
      <c r="L66" s="690">
        <v>0</v>
      </c>
      <c r="M66" s="690">
        <v>0</v>
      </c>
      <c r="N66" s="302" t="s">
        <v>3531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:22">
      <c r="B67" t="s">
        <v>2855</v>
      </c>
      <c r="E67" s="318" t="str">
        <f>tlInputLOB1Cln11Dis_R1</f>
        <v>Open</v>
      </c>
      <c r="F67" s="690" t="s">
        <v>32</v>
      </c>
      <c r="G67" s="690" t="s">
        <v>32</v>
      </c>
      <c r="H67" s="302" t="s">
        <v>2857</v>
      </c>
      <c r="K67" s="318" t="str">
        <f>tlInputLOB1Cln11Dis_R2</f>
        <v>Open</v>
      </c>
      <c r="L67" s="690" t="s">
        <v>32</v>
      </c>
      <c r="M67" s="690" t="s">
        <v>32</v>
      </c>
      <c r="N67" s="302" t="s">
        <v>2859</v>
      </c>
      <c r="R67" t="s">
        <v>556</v>
      </c>
      <c r="S67" t="s">
        <v>556</v>
      </c>
      <c r="T67" t="s">
        <v>556</v>
      </c>
      <c r="U67" t="s">
        <v>556</v>
      </c>
      <c r="V67" t="s">
        <v>556</v>
      </c>
    </row>
    <row r="68" spans="1:22">
      <c r="B68" t="s">
        <v>2856</v>
      </c>
      <c r="E68" s="318" t="str">
        <f>tlInputLOB1Cln11Status_R1</f>
        <v>Open</v>
      </c>
      <c r="F68" s="690" t="s">
        <v>32</v>
      </c>
      <c r="G68" s="690" t="s">
        <v>32</v>
      </c>
      <c r="H68" s="302" t="s">
        <v>2858</v>
      </c>
      <c r="K68" s="318" t="str">
        <f>tlInputLOB1Cln11Status_R2</f>
        <v>Open</v>
      </c>
      <c r="L68" s="690" t="s">
        <v>32</v>
      </c>
      <c r="M68" s="690" t="s">
        <v>32</v>
      </c>
      <c r="N68" s="302" t="s">
        <v>2860</v>
      </c>
      <c r="R68" t="s">
        <v>553</v>
      </c>
      <c r="S68" t="s">
        <v>551</v>
      </c>
      <c r="T68" t="s">
        <v>553</v>
      </c>
      <c r="U68" t="s">
        <v>551</v>
      </c>
      <c r="V68" t="s">
        <v>553</v>
      </c>
    </row>
    <row r="69" spans="1:22">
      <c r="B69" t="s">
        <v>2908</v>
      </c>
      <c r="E69" s="318" t="str">
        <f>tlInputLOB1Cln12Dis_R1</f>
        <v>Open</v>
      </c>
      <c r="F69" s="690" t="s">
        <v>32</v>
      </c>
      <c r="G69" s="690" t="s">
        <v>32</v>
      </c>
      <c r="H69" s="302" t="s">
        <v>2909</v>
      </c>
      <c r="K69" s="318" t="str">
        <f>tlInputLOB1Cln12Dis_R2</f>
        <v>Open</v>
      </c>
      <c r="L69" s="690" t="s">
        <v>32</v>
      </c>
      <c r="M69" s="690" t="s">
        <v>32</v>
      </c>
      <c r="N69" s="302" t="s">
        <v>2910</v>
      </c>
      <c r="R69" t="s">
        <v>32</v>
      </c>
      <c r="S69" t="s">
        <v>32</v>
      </c>
      <c r="T69" t="s">
        <v>32</v>
      </c>
      <c r="U69" t="s">
        <v>32</v>
      </c>
      <c r="V69" t="s">
        <v>32</v>
      </c>
    </row>
    <row r="70" spans="1:22">
      <c r="B70" t="s">
        <v>2911</v>
      </c>
      <c r="E70" s="318" t="str">
        <f>tlInputLOB1Cln12Status_R1</f>
        <v>Open</v>
      </c>
      <c r="F70" s="690" t="s">
        <v>32</v>
      </c>
      <c r="G70" s="690" t="s">
        <v>32</v>
      </c>
      <c r="H70" s="302" t="s">
        <v>2912</v>
      </c>
      <c r="K70" s="318" t="str">
        <f>tlInputLOB1Cln12Status_R2</f>
        <v>Open</v>
      </c>
      <c r="L70" s="690" t="s">
        <v>32</v>
      </c>
      <c r="M70" s="690" t="s">
        <v>32</v>
      </c>
      <c r="N70" s="302" t="s">
        <v>2913</v>
      </c>
      <c r="R70" t="s">
        <v>32</v>
      </c>
      <c r="S70" t="s">
        <v>32</v>
      </c>
      <c r="T70" t="s">
        <v>32</v>
      </c>
      <c r="U70" t="s">
        <v>32</v>
      </c>
      <c r="V70" t="s">
        <v>32</v>
      </c>
    </row>
    <row r="71" spans="1:22">
      <c r="E71" s="303"/>
      <c r="F71" s="303"/>
      <c r="G71" s="303"/>
      <c r="K71" s="303"/>
      <c r="L71" s="303"/>
      <c r="M71" s="303"/>
    </row>
    <row r="72" spans="1:22" ht="10.5">
      <c r="A72" s="67" t="str">
        <f>nmLOB2</f>
        <v>Pleasentville</v>
      </c>
      <c r="E72" s="303"/>
      <c r="F72" s="303"/>
      <c r="G72" s="303"/>
      <c r="K72" s="303"/>
      <c r="L72" s="303"/>
      <c r="M72" s="303"/>
    </row>
    <row r="73" spans="1:22">
      <c r="A73" t="s">
        <v>567</v>
      </c>
      <c r="E73" s="303"/>
      <c r="F73" s="303"/>
      <c r="G73" s="303"/>
      <c r="K73" s="303"/>
      <c r="L73" s="303"/>
      <c r="M73" s="303"/>
    </row>
    <row r="74" spans="1:22">
      <c r="B74" t="s">
        <v>558</v>
      </c>
      <c r="E74" s="430">
        <f>tlInputLOB2SpecProg1_R1</f>
        <v>0</v>
      </c>
      <c r="F74" s="690">
        <v>0</v>
      </c>
      <c r="G74" s="690">
        <v>0</v>
      </c>
      <c r="H74" s="302" t="s">
        <v>1406</v>
      </c>
      <c r="K74" s="430">
        <f>tlInputLOB2SpecProg1_R2</f>
        <v>0</v>
      </c>
      <c r="L74" s="690">
        <v>0</v>
      </c>
      <c r="M74" s="690">
        <v>0</v>
      </c>
      <c r="N74" s="302" t="s">
        <v>1407</v>
      </c>
      <c r="R74">
        <v>9</v>
      </c>
      <c r="S74">
        <v>3</v>
      </c>
      <c r="T74">
        <v>5</v>
      </c>
      <c r="U74">
        <v>12</v>
      </c>
      <c r="V74">
        <v>17</v>
      </c>
    </row>
    <row r="75" spans="1:22">
      <c r="B75" t="s">
        <v>559</v>
      </c>
      <c r="E75" s="430">
        <f>tlInputLOB2SpecProg2_R1</f>
        <v>0</v>
      </c>
      <c r="F75" s="690">
        <v>0</v>
      </c>
      <c r="G75" s="690">
        <v>0</v>
      </c>
      <c r="H75" s="302" t="s">
        <v>1408</v>
      </c>
      <c r="K75" s="430">
        <f>tlInputLOB2SpecProg2_R2</f>
        <v>0</v>
      </c>
      <c r="L75" s="690">
        <v>0</v>
      </c>
      <c r="M75" s="690">
        <v>0</v>
      </c>
      <c r="N75" s="302" t="s">
        <v>1409</v>
      </c>
      <c r="R75">
        <v>7</v>
      </c>
      <c r="S75">
        <v>6</v>
      </c>
      <c r="T75">
        <v>2</v>
      </c>
      <c r="U75">
        <v>13</v>
      </c>
      <c r="V75">
        <v>9</v>
      </c>
    </row>
    <row r="76" spans="1:22">
      <c r="B76" t="s">
        <v>560</v>
      </c>
      <c r="E76" s="430">
        <f>tlInputLOB2SpecProg3_R1</f>
        <v>0</v>
      </c>
      <c r="F76" s="690">
        <v>0</v>
      </c>
      <c r="G76" s="690">
        <v>0</v>
      </c>
      <c r="H76" s="302" t="s">
        <v>1410</v>
      </c>
      <c r="K76" s="430">
        <f>tlInputLOB2SpecProg3_R2</f>
        <v>0</v>
      </c>
      <c r="L76" s="690">
        <v>0</v>
      </c>
      <c r="M76" s="690">
        <v>0</v>
      </c>
      <c r="N76" s="302" t="s">
        <v>1411</v>
      </c>
      <c r="R76">
        <v>2</v>
      </c>
      <c r="S76">
        <v>11</v>
      </c>
      <c r="T76">
        <v>17</v>
      </c>
      <c r="U76">
        <v>5</v>
      </c>
      <c r="V76">
        <v>5</v>
      </c>
    </row>
    <row r="77" spans="1:22">
      <c r="B77" t="s">
        <v>560</v>
      </c>
      <c r="E77" s="430">
        <f>tlInputLOB2SpecProg4_R1</f>
        <v>0</v>
      </c>
      <c r="F77" s="690">
        <v>0</v>
      </c>
      <c r="G77" s="690">
        <v>0</v>
      </c>
      <c r="H77" s="302" t="s">
        <v>1412</v>
      </c>
      <c r="K77" s="430">
        <f>tlInputLOB2SpecProg4_R2</f>
        <v>0</v>
      </c>
      <c r="L77" s="690">
        <v>0</v>
      </c>
      <c r="M77" s="690">
        <v>0</v>
      </c>
      <c r="N77" s="302" t="s">
        <v>1413</v>
      </c>
      <c r="R77">
        <v>14</v>
      </c>
      <c r="S77">
        <v>20</v>
      </c>
      <c r="T77">
        <v>12</v>
      </c>
      <c r="U77">
        <v>18</v>
      </c>
      <c r="V77">
        <v>12</v>
      </c>
    </row>
    <row r="78" spans="1:22">
      <c r="B78" t="s">
        <v>561</v>
      </c>
      <c r="E78" s="318">
        <f>tlInputLOB2DOOAdjTime1_R1</f>
        <v>0</v>
      </c>
      <c r="F78" s="690">
        <v>0</v>
      </c>
      <c r="G78" s="690">
        <v>0</v>
      </c>
      <c r="H78" s="302" t="s">
        <v>1414</v>
      </c>
      <c r="K78" s="318">
        <f>tlInputLOB2DOOAdjTime1_R2</f>
        <v>0</v>
      </c>
      <c r="L78" s="690">
        <v>0</v>
      </c>
      <c r="M78" s="690">
        <v>0</v>
      </c>
      <c r="N78" s="302" t="s">
        <v>1415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:22">
      <c r="B79" t="s">
        <v>562</v>
      </c>
      <c r="E79" s="318">
        <f>tlInputLOB2DOOAdjTime2_R1</f>
        <v>0</v>
      </c>
      <c r="F79" s="690">
        <v>0</v>
      </c>
      <c r="G79" s="690">
        <v>0</v>
      </c>
      <c r="H79" s="302" t="s">
        <v>1416</v>
      </c>
      <c r="K79" s="318">
        <f>tlInputLOB2DOOAdjTime2_R2</f>
        <v>0</v>
      </c>
      <c r="L79" s="690">
        <v>0</v>
      </c>
      <c r="M79" s="690">
        <v>0</v>
      </c>
      <c r="N79" s="302" t="s">
        <v>1417</v>
      </c>
      <c r="R79">
        <v>0</v>
      </c>
      <c r="S79">
        <v>0</v>
      </c>
      <c r="T79">
        <v>0</v>
      </c>
      <c r="U79">
        <v>0.01</v>
      </c>
      <c r="V79">
        <v>0.01</v>
      </c>
    </row>
    <row r="80" spans="1:22">
      <c r="B80" t="s">
        <v>563</v>
      </c>
      <c r="E80" s="318">
        <f>tlInputLOB2DOOAdjTime3_R1</f>
        <v>0</v>
      </c>
      <c r="F80" s="685">
        <v>0.05</v>
      </c>
      <c r="G80" s="685">
        <v>0.08</v>
      </c>
      <c r="H80" s="302" t="s">
        <v>1418</v>
      </c>
      <c r="K80" s="318">
        <f>tlInputLOB2DOOAdjTime3_R2</f>
        <v>0</v>
      </c>
      <c r="L80" s="685">
        <v>0.05</v>
      </c>
      <c r="M80" s="685">
        <v>0.08</v>
      </c>
      <c r="N80" s="302" t="s">
        <v>1419</v>
      </c>
      <c r="R80">
        <v>0</v>
      </c>
      <c r="S80">
        <v>0</v>
      </c>
      <c r="T80">
        <v>0.01</v>
      </c>
      <c r="U80">
        <v>0.02</v>
      </c>
      <c r="V80">
        <v>0</v>
      </c>
    </row>
    <row r="81" spans="1:22">
      <c r="B81" t="s">
        <v>564</v>
      </c>
      <c r="E81" s="318">
        <f>tlInputLOB2DOOAdjTime4_R1</f>
        <v>0</v>
      </c>
      <c r="F81" s="690">
        <v>0</v>
      </c>
      <c r="G81" s="690">
        <v>0</v>
      </c>
      <c r="H81" s="302" t="s">
        <v>1420</v>
      </c>
      <c r="K81" s="318">
        <f>tlInputLOB2DOOAdjTime4_R2</f>
        <v>0</v>
      </c>
      <c r="L81" s="690">
        <v>0</v>
      </c>
      <c r="M81" s="690">
        <v>0</v>
      </c>
      <c r="N81" s="302" t="s">
        <v>1421</v>
      </c>
      <c r="R81">
        <v>0.03</v>
      </c>
      <c r="S81">
        <v>0</v>
      </c>
      <c r="T81">
        <v>0</v>
      </c>
      <c r="U81">
        <v>0.02</v>
      </c>
      <c r="V81">
        <v>0</v>
      </c>
    </row>
    <row r="82" spans="1:22">
      <c r="B82" t="s">
        <v>565</v>
      </c>
      <c r="E82" s="318">
        <f>tlInputLOB2DOOAdjTime5_R1</f>
        <v>0</v>
      </c>
      <c r="F82" s="690">
        <v>0</v>
      </c>
      <c r="G82" s="690">
        <v>0</v>
      </c>
      <c r="H82" s="302" t="s">
        <v>1422</v>
      </c>
      <c r="K82" s="318">
        <f>tlInputLOB2DOOAdjTime5_R2</f>
        <v>0</v>
      </c>
      <c r="L82" s="690">
        <v>0</v>
      </c>
      <c r="M82" s="690">
        <v>0</v>
      </c>
      <c r="N82" s="302" t="s">
        <v>1423</v>
      </c>
      <c r="R82">
        <v>0</v>
      </c>
      <c r="S82">
        <v>0</v>
      </c>
      <c r="T82">
        <v>0.03</v>
      </c>
      <c r="U82">
        <v>0.01</v>
      </c>
      <c r="V82">
        <v>0</v>
      </c>
    </row>
    <row r="83" spans="1:22">
      <c r="B83" t="s">
        <v>566</v>
      </c>
      <c r="E83" s="318">
        <f>tlInputLOB2DOOAdjTime6_R1</f>
        <v>0</v>
      </c>
      <c r="F83" s="690">
        <v>0</v>
      </c>
      <c r="G83" s="690">
        <v>0</v>
      </c>
      <c r="H83" s="302" t="s">
        <v>1424</v>
      </c>
      <c r="K83" s="318">
        <f>tlInputLOB2DOOAdjTime6_R2</f>
        <v>0</v>
      </c>
      <c r="L83" s="690">
        <v>0</v>
      </c>
      <c r="M83" s="690">
        <v>0</v>
      </c>
      <c r="N83" s="302" t="s">
        <v>1425</v>
      </c>
      <c r="R83">
        <v>0</v>
      </c>
      <c r="S83">
        <v>0.03</v>
      </c>
      <c r="T83">
        <v>0</v>
      </c>
      <c r="U83">
        <v>0</v>
      </c>
      <c r="V83">
        <v>0</v>
      </c>
    </row>
    <row r="84" spans="1:22">
      <c r="A84" t="s">
        <v>251</v>
      </c>
      <c r="E84" s="303"/>
      <c r="F84" s="303"/>
      <c r="G84" s="303"/>
      <c r="K84" s="303"/>
      <c r="L84" s="303"/>
      <c r="M84" s="303"/>
    </row>
    <row r="85" spans="1:22">
      <c r="B85" t="s">
        <v>534</v>
      </c>
      <c r="E85" s="318">
        <f>tlInputLOB2Prod1Seg1Adj_R1</f>
        <v>134</v>
      </c>
      <c r="F85" s="690">
        <v>100</v>
      </c>
      <c r="G85" s="690">
        <v>200</v>
      </c>
      <c r="H85" s="302" t="s">
        <v>1448</v>
      </c>
      <c r="K85" s="318">
        <f>tlInputLOB2Prod1Seg1Adj_R2</f>
        <v>138</v>
      </c>
      <c r="L85" s="690">
        <v>100</v>
      </c>
      <c r="M85" s="690">
        <v>200</v>
      </c>
      <c r="N85" s="302" t="s">
        <v>1449</v>
      </c>
      <c r="R85">
        <v>140</v>
      </c>
      <c r="S85">
        <v>145</v>
      </c>
      <c r="T85">
        <v>140</v>
      </c>
      <c r="U85">
        <v>150</v>
      </c>
      <c r="V85">
        <v>140</v>
      </c>
    </row>
    <row r="86" spans="1:22">
      <c r="B86" t="s">
        <v>535</v>
      </c>
      <c r="E86" s="318">
        <f>tlInputLOB2Prod1Seg2Adj_R1</f>
        <v>7</v>
      </c>
      <c r="F86" s="690">
        <v>8</v>
      </c>
      <c r="G86" s="690">
        <v>10</v>
      </c>
      <c r="H86" s="302" t="s">
        <v>1452</v>
      </c>
      <c r="K86" s="318">
        <f>tlInputLOB2Prod1Seg2Adj_R2</f>
        <v>8</v>
      </c>
      <c r="L86" s="690">
        <v>8</v>
      </c>
      <c r="M86" s="690">
        <v>10</v>
      </c>
      <c r="N86" s="302" t="s">
        <v>1453</v>
      </c>
      <c r="R86">
        <v>25</v>
      </c>
      <c r="S86">
        <v>36</v>
      </c>
      <c r="T86">
        <v>25</v>
      </c>
      <c r="U86">
        <v>26</v>
      </c>
      <c r="V86">
        <v>30</v>
      </c>
    </row>
    <row r="87" spans="1:22">
      <c r="B87" t="s">
        <v>536</v>
      </c>
      <c r="E87" s="318">
        <f>tlInputLOB2Prod1Seg3Adj_R1</f>
        <v>4</v>
      </c>
      <c r="F87" s="690">
        <v>3</v>
      </c>
      <c r="G87" s="690">
        <v>8</v>
      </c>
      <c r="H87" s="302" t="s">
        <v>1456</v>
      </c>
      <c r="K87" s="318">
        <f>tlInputLOB2Prod1Seg3Adj_R2</f>
        <v>5</v>
      </c>
      <c r="L87" s="690">
        <v>3</v>
      </c>
      <c r="M87" s="690">
        <v>8</v>
      </c>
      <c r="N87" s="302" t="s">
        <v>1457</v>
      </c>
      <c r="R87">
        <v>75</v>
      </c>
      <c r="S87">
        <v>80</v>
      </c>
      <c r="T87">
        <v>72</v>
      </c>
      <c r="U87">
        <v>77</v>
      </c>
      <c r="V87">
        <v>70</v>
      </c>
    </row>
    <row r="88" spans="1:22">
      <c r="B88" t="s">
        <v>537</v>
      </c>
      <c r="E88" s="318">
        <f>tlInputLOB2Prod2Seg1Adj_R1</f>
        <v>40</v>
      </c>
      <c r="F88" s="690">
        <v>30</v>
      </c>
      <c r="G88" s="690">
        <v>60</v>
      </c>
      <c r="H88" s="302" t="s">
        <v>1460</v>
      </c>
      <c r="K88" s="318">
        <f>tlInputLOB2Prod2Seg1Adj_R2</f>
        <v>42</v>
      </c>
      <c r="L88" s="690">
        <v>30</v>
      </c>
      <c r="M88" s="690">
        <v>60</v>
      </c>
      <c r="N88" s="302" t="s">
        <v>1461</v>
      </c>
      <c r="R88">
        <v>45</v>
      </c>
      <c r="S88">
        <v>45</v>
      </c>
      <c r="T88">
        <v>40</v>
      </c>
      <c r="U88">
        <v>42</v>
      </c>
      <c r="V88">
        <v>42</v>
      </c>
    </row>
    <row r="89" spans="1:22">
      <c r="B89" t="s">
        <v>538</v>
      </c>
      <c r="E89" s="318">
        <f>tlInputLOB2Prod2Seg2Adj_R1</f>
        <v>2</v>
      </c>
      <c r="F89" s="690">
        <v>2</v>
      </c>
      <c r="G89" s="690">
        <v>5</v>
      </c>
      <c r="H89" s="302" t="s">
        <v>1464</v>
      </c>
      <c r="K89" s="318">
        <f>tlInputLOB2Prod2Seg2Adj_R2</f>
        <v>2</v>
      </c>
      <c r="L89" s="690">
        <v>2</v>
      </c>
      <c r="M89" s="690">
        <v>5</v>
      </c>
      <c r="N89" s="302" t="s">
        <v>1465</v>
      </c>
      <c r="R89">
        <v>10</v>
      </c>
      <c r="S89">
        <v>10</v>
      </c>
      <c r="T89">
        <v>8</v>
      </c>
      <c r="U89">
        <v>9</v>
      </c>
      <c r="V89">
        <v>9</v>
      </c>
    </row>
    <row r="90" spans="1:22">
      <c r="B90" t="s">
        <v>539</v>
      </c>
      <c r="E90" s="318">
        <f>tlInputLOB2Prod2Seg3Adj_R1</f>
        <v>1</v>
      </c>
      <c r="F90" s="690">
        <v>1</v>
      </c>
      <c r="G90" s="690">
        <v>4</v>
      </c>
      <c r="H90" s="302" t="s">
        <v>1468</v>
      </c>
      <c r="K90" s="318">
        <f>tlInputLOB2Prod2Seg3Adj_R2</f>
        <v>1</v>
      </c>
      <c r="L90" s="690">
        <v>1</v>
      </c>
      <c r="M90" s="690">
        <v>4</v>
      </c>
      <c r="N90" s="302" t="s">
        <v>1469</v>
      </c>
      <c r="R90">
        <v>23</v>
      </c>
      <c r="S90">
        <v>23</v>
      </c>
      <c r="T90">
        <v>22</v>
      </c>
      <c r="U90">
        <v>25</v>
      </c>
      <c r="V90">
        <v>20</v>
      </c>
    </row>
    <row r="91" spans="1:22">
      <c r="A91" t="s">
        <v>594</v>
      </c>
      <c r="E91" s="303"/>
      <c r="F91" s="303"/>
      <c r="G91" s="303"/>
      <c r="K91" s="303"/>
      <c r="L91" s="303"/>
      <c r="M91" s="303"/>
    </row>
    <row r="92" spans="1:22">
      <c r="B92" t="s">
        <v>595</v>
      </c>
      <c r="E92" s="528">
        <f>tlInputLOB2Cln1WeekProdMod_R1</f>
        <v>0</v>
      </c>
      <c r="F92" s="689">
        <v>0</v>
      </c>
      <c r="G92" s="689">
        <v>0</v>
      </c>
      <c r="H92" s="302" t="s">
        <v>3564</v>
      </c>
      <c r="K92" s="528">
        <f>tlInputLOB2Cln1WeekProdMod_R2</f>
        <v>0</v>
      </c>
      <c r="L92" s="689">
        <v>0</v>
      </c>
      <c r="M92" s="689">
        <v>0</v>
      </c>
      <c r="N92" s="302" t="s">
        <v>3565</v>
      </c>
      <c r="R92">
        <v>0</v>
      </c>
      <c r="S92">
        <v>2</v>
      </c>
      <c r="T92">
        <v>0</v>
      </c>
      <c r="U92">
        <v>4</v>
      </c>
      <c r="V92">
        <v>0</v>
      </c>
    </row>
    <row r="93" spans="1:22">
      <c r="B93" t="s">
        <v>596</v>
      </c>
      <c r="E93" s="528">
        <f>tlInputLOB2Cln2WeekProdMod_R1</f>
        <v>0</v>
      </c>
      <c r="F93" s="689">
        <v>0</v>
      </c>
      <c r="G93" s="689">
        <v>0</v>
      </c>
      <c r="H93" s="302" t="s">
        <v>3566</v>
      </c>
      <c r="K93" s="528">
        <f>tlInputLOB2Cln2WeekProdMod_R2</f>
        <v>0</v>
      </c>
      <c r="L93" s="689">
        <v>0</v>
      </c>
      <c r="M93" s="689">
        <v>0</v>
      </c>
      <c r="N93" s="302" t="s">
        <v>3567</v>
      </c>
      <c r="R93">
        <v>0</v>
      </c>
      <c r="S93">
        <v>0</v>
      </c>
      <c r="T93">
        <v>0</v>
      </c>
      <c r="U93">
        <v>3</v>
      </c>
      <c r="V93">
        <v>0</v>
      </c>
    </row>
    <row r="94" spans="1:22">
      <c r="B94" t="s">
        <v>597</v>
      </c>
      <c r="E94" s="528">
        <f>tlInputLOB2Cln3WeekProdMod_R1</f>
        <v>0</v>
      </c>
      <c r="F94" s="689">
        <v>0</v>
      </c>
      <c r="G94" s="689">
        <v>0</v>
      </c>
      <c r="H94" s="302" t="s">
        <v>3568</v>
      </c>
      <c r="K94" s="528">
        <f>tlInputLOB2Cln3WeekProdMod_R2</f>
        <v>0</v>
      </c>
      <c r="L94" s="689">
        <v>0</v>
      </c>
      <c r="M94" s="689">
        <v>0</v>
      </c>
      <c r="N94" s="302" t="s">
        <v>3569</v>
      </c>
      <c r="R94">
        <v>0</v>
      </c>
      <c r="S94">
        <v>0</v>
      </c>
      <c r="T94">
        <v>0</v>
      </c>
      <c r="U94">
        <v>2</v>
      </c>
      <c r="V94">
        <v>0</v>
      </c>
    </row>
    <row r="95" spans="1:22">
      <c r="B95" t="s">
        <v>598</v>
      </c>
      <c r="E95" s="528">
        <f>tlInputLOB2Cln4WeekProdMod_R1</f>
        <v>0</v>
      </c>
      <c r="F95" s="689">
        <v>0</v>
      </c>
      <c r="G95" s="689">
        <v>0</v>
      </c>
      <c r="H95" s="302" t="s">
        <v>3570</v>
      </c>
      <c r="K95" s="528">
        <f>tlInputLOB2Cln4WeekProdMod_R2</f>
        <v>0</v>
      </c>
      <c r="L95" s="689">
        <v>0</v>
      </c>
      <c r="M95" s="689">
        <v>0</v>
      </c>
      <c r="N95" s="302" t="s">
        <v>3571</v>
      </c>
      <c r="R95">
        <v>0</v>
      </c>
      <c r="S95">
        <v>0</v>
      </c>
      <c r="T95">
        <v>0</v>
      </c>
      <c r="U95">
        <v>2</v>
      </c>
      <c r="V95">
        <v>0</v>
      </c>
    </row>
    <row r="96" spans="1:22">
      <c r="B96" t="s">
        <v>599</v>
      </c>
      <c r="E96" s="528">
        <f>tlInputLOB2Cln5WeekProdMod_R1</f>
        <v>0</v>
      </c>
      <c r="F96" s="689">
        <v>0</v>
      </c>
      <c r="G96" s="689">
        <v>0</v>
      </c>
      <c r="H96" s="302" t="s">
        <v>3572</v>
      </c>
      <c r="K96" s="528">
        <f>tlInputLOB2Cln5WeekProdMod_R2</f>
        <v>0</v>
      </c>
      <c r="L96" s="689">
        <v>0</v>
      </c>
      <c r="M96" s="689">
        <v>0</v>
      </c>
      <c r="N96" s="302" t="s">
        <v>3573</v>
      </c>
      <c r="R96">
        <v>0</v>
      </c>
      <c r="S96">
        <v>0</v>
      </c>
      <c r="T96">
        <v>0</v>
      </c>
      <c r="U96">
        <v>2</v>
      </c>
      <c r="V96">
        <v>0</v>
      </c>
    </row>
    <row r="97" spans="2:22">
      <c r="B97" t="s">
        <v>600</v>
      </c>
      <c r="E97" s="528">
        <f>tlInputLOB2Cln6WeekProdMod_R1</f>
        <v>0</v>
      </c>
      <c r="F97" s="689">
        <v>0</v>
      </c>
      <c r="G97" s="689">
        <v>0</v>
      </c>
      <c r="H97" s="302" t="s">
        <v>3574</v>
      </c>
      <c r="K97" s="528">
        <f>tlInputLOB2Cln6WeekProdMod_R2</f>
        <v>0</v>
      </c>
      <c r="L97" s="689">
        <v>0</v>
      </c>
      <c r="M97" s="689">
        <v>0</v>
      </c>
      <c r="N97" s="302" t="s">
        <v>3575</v>
      </c>
      <c r="R97">
        <v>0</v>
      </c>
      <c r="S97">
        <v>0</v>
      </c>
      <c r="T97">
        <v>0</v>
      </c>
      <c r="U97">
        <v>3</v>
      </c>
      <c r="V97">
        <v>2</v>
      </c>
    </row>
    <row r="98" spans="2:22">
      <c r="B98" t="s">
        <v>601</v>
      </c>
      <c r="E98" s="528">
        <f>tlInputLOB2Cln7WeekProdMod_R1</f>
        <v>0</v>
      </c>
      <c r="F98" s="689">
        <v>0</v>
      </c>
      <c r="G98" s="689">
        <v>0</v>
      </c>
      <c r="H98" s="302" t="s">
        <v>3576</v>
      </c>
      <c r="K98" s="528">
        <f>tlInputLOB2Cln7WeekProdMod_R2</f>
        <v>0</v>
      </c>
      <c r="L98" s="689">
        <v>0</v>
      </c>
      <c r="M98" s="689">
        <v>0</v>
      </c>
      <c r="N98" s="302" t="s">
        <v>3577</v>
      </c>
      <c r="R98">
        <v>0</v>
      </c>
      <c r="S98">
        <v>0</v>
      </c>
      <c r="T98">
        <v>3</v>
      </c>
      <c r="U98">
        <v>3</v>
      </c>
      <c r="V98">
        <v>4</v>
      </c>
    </row>
    <row r="99" spans="2:22">
      <c r="B99" t="s">
        <v>602</v>
      </c>
      <c r="E99" s="528">
        <f>tlInputLOB2Cln8WeekProdMod_R1</f>
        <v>0</v>
      </c>
      <c r="F99" s="689">
        <v>0</v>
      </c>
      <c r="G99" s="689">
        <v>0</v>
      </c>
      <c r="H99" s="302" t="s">
        <v>3578</v>
      </c>
      <c r="K99" s="528">
        <f>tlInputLOB2Cln8WeekProdMod_R2</f>
        <v>0</v>
      </c>
      <c r="L99" s="689">
        <v>0</v>
      </c>
      <c r="M99" s="689">
        <v>0</v>
      </c>
      <c r="N99" s="302" t="s">
        <v>3579</v>
      </c>
      <c r="R99">
        <v>0</v>
      </c>
      <c r="S99">
        <v>0</v>
      </c>
      <c r="T99">
        <v>0</v>
      </c>
      <c r="U99">
        <v>4</v>
      </c>
      <c r="V99">
        <v>3</v>
      </c>
    </row>
    <row r="100" spans="2:22">
      <c r="B100" t="s">
        <v>603</v>
      </c>
      <c r="E100" s="528">
        <f>tlInputLOB2Cln9WeekProdMod_R1</f>
        <v>0</v>
      </c>
      <c r="F100" s="689">
        <v>0</v>
      </c>
      <c r="G100" s="689">
        <v>0</v>
      </c>
      <c r="H100" s="302" t="s">
        <v>3580</v>
      </c>
      <c r="K100" s="528">
        <f>tlInputLOB2Cln9WeekProdMod_R2</f>
        <v>0</v>
      </c>
      <c r="L100" s="689">
        <v>0</v>
      </c>
      <c r="M100" s="689">
        <v>0</v>
      </c>
      <c r="N100" s="302" t="s">
        <v>3581</v>
      </c>
      <c r="R100">
        <v>0</v>
      </c>
      <c r="S100">
        <v>0</v>
      </c>
      <c r="T100">
        <v>0</v>
      </c>
      <c r="U100">
        <v>4</v>
      </c>
      <c r="V100">
        <v>3</v>
      </c>
    </row>
    <row r="101" spans="2:22">
      <c r="B101" t="s">
        <v>604</v>
      </c>
      <c r="E101" s="528">
        <f>tlInputLOB2Cln10WeekProdMod_R1</f>
        <v>0</v>
      </c>
      <c r="F101" s="689">
        <v>0</v>
      </c>
      <c r="G101" s="689">
        <v>0</v>
      </c>
      <c r="H101" s="302" t="s">
        <v>3582</v>
      </c>
      <c r="K101" s="528">
        <f>tlInputLOB2Cln10WeekProdMod_R2</f>
        <v>0</v>
      </c>
      <c r="L101" s="689">
        <v>0</v>
      </c>
      <c r="M101" s="689">
        <v>0</v>
      </c>
      <c r="N101" s="302" t="s">
        <v>3583</v>
      </c>
      <c r="R101">
        <v>5</v>
      </c>
      <c r="S101">
        <v>0</v>
      </c>
      <c r="T101">
        <v>0</v>
      </c>
      <c r="U101">
        <v>0</v>
      </c>
      <c r="V101">
        <v>4</v>
      </c>
    </row>
    <row r="102" spans="2:22">
      <c r="B102" t="s">
        <v>1497</v>
      </c>
      <c r="E102" s="528">
        <f>tlInputLOB2Cln11WeekProdMod_R1</f>
        <v>0</v>
      </c>
      <c r="F102" s="689">
        <v>0</v>
      </c>
      <c r="G102" s="689">
        <v>0</v>
      </c>
      <c r="H102" s="302" t="s">
        <v>3584</v>
      </c>
      <c r="K102" s="528">
        <f>tlInputLOB2Cln11WeekProdMod_R2</f>
        <v>0</v>
      </c>
      <c r="L102" s="689">
        <v>0</v>
      </c>
      <c r="M102" s="689">
        <v>0</v>
      </c>
      <c r="N102" s="302" t="s">
        <v>3585</v>
      </c>
      <c r="R102">
        <v>5</v>
      </c>
      <c r="S102">
        <v>3</v>
      </c>
      <c r="T102">
        <v>3</v>
      </c>
      <c r="U102">
        <v>0</v>
      </c>
      <c r="V102">
        <v>0</v>
      </c>
    </row>
    <row r="103" spans="2:22">
      <c r="B103" t="s">
        <v>1498</v>
      </c>
      <c r="E103" s="528">
        <f>tlInputLOB2Cln12WeekProdMod_R1</f>
        <v>0</v>
      </c>
      <c r="F103" s="689">
        <v>0</v>
      </c>
      <c r="G103" s="689">
        <v>0</v>
      </c>
      <c r="H103" s="302" t="s">
        <v>3586</v>
      </c>
      <c r="K103" s="528">
        <f>tlInputLOB2Cln12WeekProdMod_R2</f>
        <v>0</v>
      </c>
      <c r="L103" s="689">
        <v>0</v>
      </c>
      <c r="M103" s="689">
        <v>0</v>
      </c>
      <c r="N103" s="302" t="s">
        <v>3587</v>
      </c>
      <c r="R103">
        <v>0</v>
      </c>
      <c r="S103">
        <v>0</v>
      </c>
      <c r="T103">
        <v>0</v>
      </c>
      <c r="U103">
        <v>0</v>
      </c>
      <c r="V103">
        <v>0</v>
      </c>
    </row>
    <row r="104" spans="2:22">
      <c r="B104" t="s">
        <v>595</v>
      </c>
      <c r="E104" s="318">
        <f>tlInputLOB2Cln1Mtng_R1</f>
        <v>0</v>
      </c>
      <c r="F104" s="690">
        <v>0</v>
      </c>
      <c r="G104" s="690">
        <v>0</v>
      </c>
      <c r="H104" s="302" t="s">
        <v>1426</v>
      </c>
      <c r="K104" s="318">
        <f>tlInputLOB2Cln1Mtng_R2</f>
        <v>0</v>
      </c>
      <c r="L104" s="690">
        <v>0</v>
      </c>
      <c r="M104" s="690">
        <v>0</v>
      </c>
      <c r="N104" s="302" t="s">
        <v>1427</v>
      </c>
      <c r="R104">
        <v>0</v>
      </c>
      <c r="S104">
        <v>0</v>
      </c>
      <c r="T104">
        <v>0</v>
      </c>
      <c r="U104">
        <v>0</v>
      </c>
      <c r="V104">
        <v>0</v>
      </c>
    </row>
    <row r="105" spans="2:22">
      <c r="B105" t="s">
        <v>596</v>
      </c>
      <c r="E105" s="318">
        <f>tlInputLOB2Cln2Mtng_R1</f>
        <v>0</v>
      </c>
      <c r="F105" s="690">
        <v>0</v>
      </c>
      <c r="G105" s="690">
        <v>0</v>
      </c>
      <c r="H105" s="302" t="s">
        <v>1428</v>
      </c>
      <c r="K105" s="318">
        <f>tlInputLOB2Cln2Mtng_R2</f>
        <v>0</v>
      </c>
      <c r="L105" s="690">
        <v>0</v>
      </c>
      <c r="M105" s="690">
        <v>0</v>
      </c>
      <c r="N105" s="302" t="s">
        <v>1429</v>
      </c>
      <c r="R105">
        <v>1</v>
      </c>
      <c r="S105">
        <v>0</v>
      </c>
      <c r="T105">
        <v>0</v>
      </c>
      <c r="U105">
        <v>0</v>
      </c>
      <c r="V105">
        <v>0</v>
      </c>
    </row>
    <row r="106" spans="2:22">
      <c r="B106" t="s">
        <v>597</v>
      </c>
      <c r="E106" s="318">
        <f>tlInputLOB2Cln3Mtng_R1</f>
        <v>0</v>
      </c>
      <c r="F106" s="690">
        <v>0</v>
      </c>
      <c r="G106" s="690">
        <v>0</v>
      </c>
      <c r="H106" s="302" t="s">
        <v>1430</v>
      </c>
      <c r="K106" s="318">
        <f>tlInputLOB2Cln3Mtng_R2</f>
        <v>0</v>
      </c>
      <c r="L106" s="690">
        <v>0</v>
      </c>
      <c r="M106" s="690">
        <v>0</v>
      </c>
      <c r="N106" s="302" t="s">
        <v>1431</v>
      </c>
      <c r="R106">
        <v>0</v>
      </c>
      <c r="S106">
        <v>0</v>
      </c>
      <c r="T106">
        <v>0</v>
      </c>
      <c r="U106">
        <v>0</v>
      </c>
      <c r="V106">
        <v>0</v>
      </c>
    </row>
    <row r="107" spans="2:22">
      <c r="B107" t="s">
        <v>598</v>
      </c>
      <c r="E107" s="318">
        <f>tlInputLOB2Cln4Mtng_R1</f>
        <v>0</v>
      </c>
      <c r="F107" s="690">
        <v>0</v>
      </c>
      <c r="G107" s="690">
        <v>0</v>
      </c>
      <c r="H107" s="302" t="s">
        <v>1432</v>
      </c>
      <c r="K107" s="318">
        <f>tlInputLOB2Cln4Mtng_R2</f>
        <v>0</v>
      </c>
      <c r="L107" s="690">
        <v>0</v>
      </c>
      <c r="M107" s="690">
        <v>0</v>
      </c>
      <c r="N107" s="302" t="s">
        <v>1433</v>
      </c>
      <c r="R107">
        <v>0</v>
      </c>
      <c r="S107">
        <v>0</v>
      </c>
      <c r="T107">
        <v>0</v>
      </c>
      <c r="U107">
        <v>0</v>
      </c>
      <c r="V107">
        <v>0</v>
      </c>
    </row>
    <row r="108" spans="2:22">
      <c r="B108" t="s">
        <v>599</v>
      </c>
      <c r="E108" s="318">
        <f>tlInputLOB2Cln5Mtng_R1</f>
        <v>0</v>
      </c>
      <c r="F108" s="690">
        <v>0</v>
      </c>
      <c r="G108" s="690">
        <v>0</v>
      </c>
      <c r="H108" s="302" t="s">
        <v>1434</v>
      </c>
      <c r="K108" s="318">
        <f>tlInputLOB2Cln5Mtng_R2</f>
        <v>0</v>
      </c>
      <c r="L108" s="690">
        <v>0</v>
      </c>
      <c r="M108" s="690">
        <v>0</v>
      </c>
      <c r="N108" s="302" t="s">
        <v>1435</v>
      </c>
      <c r="R108">
        <v>0</v>
      </c>
      <c r="S108">
        <v>0</v>
      </c>
      <c r="T108">
        <v>0</v>
      </c>
      <c r="U108">
        <v>0</v>
      </c>
      <c r="V108">
        <v>0</v>
      </c>
    </row>
    <row r="109" spans="2:22">
      <c r="B109" t="s">
        <v>600</v>
      </c>
      <c r="E109" s="318">
        <f>tlInputLOB2Cln6Mtng_R1</f>
        <v>0</v>
      </c>
      <c r="F109" s="690">
        <v>0</v>
      </c>
      <c r="G109" s="690">
        <v>0</v>
      </c>
      <c r="H109" s="302" t="s">
        <v>1436</v>
      </c>
      <c r="K109" s="318">
        <f>tlInputLOB2Cln6Mtng_R2</f>
        <v>0</v>
      </c>
      <c r="L109" s="690">
        <v>0</v>
      </c>
      <c r="M109" s="690">
        <v>0</v>
      </c>
      <c r="N109" s="302" t="s">
        <v>1437</v>
      </c>
      <c r="R109">
        <v>0</v>
      </c>
      <c r="S109">
        <v>0</v>
      </c>
      <c r="T109">
        <v>0</v>
      </c>
      <c r="U109">
        <v>0</v>
      </c>
      <c r="V109">
        <v>0</v>
      </c>
    </row>
    <row r="110" spans="2:22">
      <c r="B110" t="s">
        <v>601</v>
      </c>
      <c r="E110" s="318">
        <f>tlInputLOB2Cln7Mtng_R1</f>
        <v>0</v>
      </c>
      <c r="F110" s="690">
        <v>0</v>
      </c>
      <c r="G110" s="690">
        <v>0</v>
      </c>
      <c r="H110" s="302" t="s">
        <v>1438</v>
      </c>
      <c r="K110" s="318">
        <f>tlInputLOB2Cln7Mtng_R2</f>
        <v>0</v>
      </c>
      <c r="L110" s="690">
        <v>0</v>
      </c>
      <c r="M110" s="690">
        <v>0</v>
      </c>
      <c r="N110" s="302" t="s">
        <v>1439</v>
      </c>
      <c r="R110">
        <v>0</v>
      </c>
      <c r="S110">
        <v>0</v>
      </c>
      <c r="T110">
        <v>0</v>
      </c>
      <c r="U110">
        <v>0</v>
      </c>
      <c r="V110">
        <v>0</v>
      </c>
    </row>
    <row r="111" spans="2:22">
      <c r="B111" t="s">
        <v>602</v>
      </c>
      <c r="E111" s="318">
        <f>tlInputLOB2Cln8Mtng_R1</f>
        <v>0</v>
      </c>
      <c r="F111" s="690">
        <v>0</v>
      </c>
      <c r="G111" s="690">
        <v>0</v>
      </c>
      <c r="H111" s="302" t="s">
        <v>1440</v>
      </c>
      <c r="K111" s="318">
        <f>tlInputLOB2Cln8Mtng_R2</f>
        <v>0</v>
      </c>
      <c r="L111" s="690">
        <v>0</v>
      </c>
      <c r="M111" s="690">
        <v>0</v>
      </c>
      <c r="N111" s="302" t="s">
        <v>1441</v>
      </c>
      <c r="R111">
        <v>1</v>
      </c>
      <c r="S111">
        <v>0</v>
      </c>
      <c r="T111">
        <v>0</v>
      </c>
      <c r="U111">
        <v>0</v>
      </c>
      <c r="V111">
        <v>0</v>
      </c>
    </row>
    <row r="112" spans="2:22">
      <c r="B112" t="s">
        <v>603</v>
      </c>
      <c r="E112" s="318">
        <f>tlInputLOB2Cln9Mtng_R1</f>
        <v>0</v>
      </c>
      <c r="F112" s="690">
        <v>0</v>
      </c>
      <c r="G112" s="690">
        <v>0</v>
      </c>
      <c r="H112" s="302" t="s">
        <v>1442</v>
      </c>
      <c r="K112" s="318">
        <f>tlInputLOB2Cln9Mtng_R2</f>
        <v>0</v>
      </c>
      <c r="L112" s="690">
        <v>0</v>
      </c>
      <c r="M112" s="690">
        <v>0</v>
      </c>
      <c r="N112" s="302" t="s">
        <v>1443</v>
      </c>
      <c r="R112">
        <v>0</v>
      </c>
      <c r="S112">
        <v>0</v>
      </c>
      <c r="T112">
        <v>0</v>
      </c>
      <c r="U112">
        <v>0</v>
      </c>
      <c r="V112">
        <v>0</v>
      </c>
    </row>
    <row r="113" spans="2:22">
      <c r="B113" t="s">
        <v>604</v>
      </c>
      <c r="E113" s="318">
        <f>tlInputLOB2Cln10Mtng_R1</f>
        <v>0</v>
      </c>
      <c r="F113" s="690">
        <v>0</v>
      </c>
      <c r="G113" s="690">
        <v>0</v>
      </c>
      <c r="H113" s="302" t="s">
        <v>1444</v>
      </c>
      <c r="K113" s="318">
        <f>tlInputLOB2Cln10Mtng_R2</f>
        <v>0</v>
      </c>
      <c r="L113" s="690">
        <v>0</v>
      </c>
      <c r="M113" s="690">
        <v>0</v>
      </c>
      <c r="N113" s="302" t="s">
        <v>1445</v>
      </c>
      <c r="R113">
        <v>1</v>
      </c>
      <c r="S113">
        <v>0</v>
      </c>
      <c r="T113">
        <v>0</v>
      </c>
      <c r="U113">
        <v>0</v>
      </c>
      <c r="V113">
        <v>0</v>
      </c>
    </row>
    <row r="114" spans="2:22">
      <c r="B114" t="s">
        <v>1497</v>
      </c>
      <c r="E114" s="318">
        <f>tlInputLOB2Cln11Mtng_R1</f>
        <v>0</v>
      </c>
      <c r="F114" s="690">
        <v>0</v>
      </c>
      <c r="G114" s="690">
        <v>0</v>
      </c>
      <c r="H114" s="302" t="s">
        <v>3532</v>
      </c>
      <c r="K114" s="318">
        <f>tlInputLOB2Cln11Mtng_R2</f>
        <v>0</v>
      </c>
      <c r="L114" s="690">
        <v>0</v>
      </c>
      <c r="M114" s="690">
        <v>0</v>
      </c>
      <c r="N114" s="302" t="s">
        <v>3533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2:22">
      <c r="B115" t="s">
        <v>1498</v>
      </c>
      <c r="E115" s="318">
        <f>tlInputLOB2Cln12Mtng_R1</f>
        <v>0</v>
      </c>
      <c r="F115" s="690">
        <v>0</v>
      </c>
      <c r="G115" s="690">
        <v>0</v>
      </c>
      <c r="H115" s="302" t="s">
        <v>3534</v>
      </c>
      <c r="K115" s="318">
        <f>tlInputLOB2Cln12Mtng_R2</f>
        <v>0</v>
      </c>
      <c r="L115" s="690">
        <v>0</v>
      </c>
      <c r="M115" s="690">
        <v>0</v>
      </c>
      <c r="N115" s="302" t="s">
        <v>3535</v>
      </c>
      <c r="R115">
        <v>0</v>
      </c>
      <c r="S115">
        <v>0</v>
      </c>
      <c r="T115">
        <v>0</v>
      </c>
      <c r="U115">
        <v>0</v>
      </c>
      <c r="V115">
        <v>0</v>
      </c>
    </row>
    <row r="116" spans="2:22">
      <c r="B116" t="s">
        <v>595</v>
      </c>
      <c r="E116" s="318" t="str">
        <f>tlInputLOB2Cln1Text_R1</f>
        <v>Enter feedback here</v>
      </c>
      <c r="F116" s="690">
        <v>0</v>
      </c>
      <c r="G116" s="690">
        <v>0</v>
      </c>
      <c r="H116" s="302" t="s">
        <v>3084</v>
      </c>
      <c r="K116" s="318" t="str">
        <f>tlInputLOB2Cln1Text_R2</f>
        <v>Enter feedback here</v>
      </c>
      <c r="L116" s="690">
        <v>0</v>
      </c>
      <c r="M116" s="690">
        <v>0</v>
      </c>
      <c r="N116" s="302" t="s">
        <v>3085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2:22">
      <c r="B117" t="s">
        <v>596</v>
      </c>
      <c r="E117" s="318" t="str">
        <f>tlInputLOB2Cln2Text_R1</f>
        <v>Enter feedback here</v>
      </c>
      <c r="F117" s="690">
        <v>0</v>
      </c>
      <c r="G117" s="690">
        <v>0</v>
      </c>
      <c r="H117" s="302" t="s">
        <v>3086</v>
      </c>
      <c r="K117" s="318" t="str">
        <f>tlInputLOB2Cln2Text_R2</f>
        <v>Enter feedback here</v>
      </c>
      <c r="L117" s="690">
        <v>0</v>
      </c>
      <c r="M117" s="690">
        <v>0</v>
      </c>
      <c r="N117" s="302" t="s">
        <v>3087</v>
      </c>
      <c r="R117">
        <v>0</v>
      </c>
      <c r="S117">
        <v>0</v>
      </c>
      <c r="T117">
        <v>0</v>
      </c>
      <c r="U117">
        <v>0</v>
      </c>
      <c r="V117">
        <v>0</v>
      </c>
    </row>
    <row r="118" spans="2:22">
      <c r="B118" t="s">
        <v>597</v>
      </c>
      <c r="E118" s="318" t="str">
        <f>tlInputLOB2Cln3Text_R1</f>
        <v>Enter feedback here</v>
      </c>
      <c r="F118" s="690">
        <v>0</v>
      </c>
      <c r="G118" s="690">
        <v>0</v>
      </c>
      <c r="H118" s="302" t="s">
        <v>3088</v>
      </c>
      <c r="K118" s="318" t="str">
        <f>tlInputLOB2Cln3Text_R2</f>
        <v>Enter feedback here</v>
      </c>
      <c r="L118" s="690">
        <v>0</v>
      </c>
      <c r="M118" s="690">
        <v>0</v>
      </c>
      <c r="N118" s="302" t="s">
        <v>3089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2:22">
      <c r="B119" t="s">
        <v>598</v>
      </c>
      <c r="E119" s="318" t="str">
        <f>tlInputLOB2Cln4Text_R1</f>
        <v>Enter feedback here</v>
      </c>
      <c r="F119" s="690">
        <v>0</v>
      </c>
      <c r="G119" s="690">
        <v>0</v>
      </c>
      <c r="H119" s="302" t="s">
        <v>3090</v>
      </c>
      <c r="K119" s="318" t="str">
        <f>tlInputLOB2Cln4Text_R2</f>
        <v>Enter feedback here</v>
      </c>
      <c r="L119" s="690">
        <v>0</v>
      </c>
      <c r="M119" s="690">
        <v>0</v>
      </c>
      <c r="N119" s="302" t="s">
        <v>3091</v>
      </c>
      <c r="R119">
        <v>0</v>
      </c>
      <c r="S119">
        <v>0</v>
      </c>
      <c r="T119">
        <v>0</v>
      </c>
      <c r="U119">
        <v>0</v>
      </c>
      <c r="V119">
        <v>0</v>
      </c>
    </row>
    <row r="120" spans="2:22">
      <c r="B120" t="s">
        <v>599</v>
      </c>
      <c r="E120" s="318" t="str">
        <f>tlInputLOB2Cln5Text_R1</f>
        <v>Enter feedback here</v>
      </c>
      <c r="F120" s="690">
        <v>0</v>
      </c>
      <c r="G120" s="690">
        <v>0</v>
      </c>
      <c r="H120" s="302" t="s">
        <v>3092</v>
      </c>
      <c r="K120" s="318" t="str">
        <f>tlInputLOB2Cln5Text_R2</f>
        <v>Enter feedback here</v>
      </c>
      <c r="L120" s="690">
        <v>0</v>
      </c>
      <c r="M120" s="690">
        <v>0</v>
      </c>
      <c r="N120" s="302" t="s">
        <v>3093</v>
      </c>
      <c r="R120">
        <v>0</v>
      </c>
      <c r="S120">
        <v>0</v>
      </c>
      <c r="T120">
        <v>0</v>
      </c>
      <c r="U120">
        <v>0</v>
      </c>
      <c r="V120">
        <v>0</v>
      </c>
    </row>
    <row r="121" spans="2:22">
      <c r="B121" t="s">
        <v>600</v>
      </c>
      <c r="E121" s="318" t="str">
        <f>tlInputLOB2Cln6Text_R1</f>
        <v>Enter feedback here</v>
      </c>
      <c r="F121" s="690">
        <v>0</v>
      </c>
      <c r="G121" s="690">
        <v>0</v>
      </c>
      <c r="H121" s="302" t="s">
        <v>3094</v>
      </c>
      <c r="K121" s="318" t="str">
        <f>tlInputLOB2Cln6Text_R2</f>
        <v>Enter feedback here</v>
      </c>
      <c r="L121" s="690">
        <v>0</v>
      </c>
      <c r="M121" s="690">
        <v>0</v>
      </c>
      <c r="N121" s="302" t="s">
        <v>3095</v>
      </c>
      <c r="R121">
        <v>0</v>
      </c>
      <c r="S121">
        <v>0</v>
      </c>
      <c r="T121">
        <v>0</v>
      </c>
      <c r="U121">
        <v>0</v>
      </c>
      <c r="V121">
        <v>0</v>
      </c>
    </row>
    <row r="122" spans="2:22">
      <c r="B122" t="s">
        <v>601</v>
      </c>
      <c r="E122" s="318" t="str">
        <f>tlInputLOB2Cln7Text_R1</f>
        <v>Enter feedback here</v>
      </c>
      <c r="F122" s="690">
        <v>0</v>
      </c>
      <c r="G122" s="690">
        <v>0</v>
      </c>
      <c r="H122" s="302" t="s">
        <v>3096</v>
      </c>
      <c r="K122" s="318" t="str">
        <f>tlInputLOB2Cln7Text_R2</f>
        <v>Enter feedback here</v>
      </c>
      <c r="L122" s="690">
        <v>0</v>
      </c>
      <c r="M122" s="690">
        <v>0</v>
      </c>
      <c r="N122" s="302" t="s">
        <v>3097</v>
      </c>
      <c r="R122">
        <v>0</v>
      </c>
      <c r="S122">
        <v>0</v>
      </c>
      <c r="T122">
        <v>0</v>
      </c>
      <c r="U122">
        <v>0</v>
      </c>
      <c r="V122">
        <v>0</v>
      </c>
    </row>
    <row r="123" spans="2:22">
      <c r="B123" t="s">
        <v>602</v>
      </c>
      <c r="E123" s="318" t="str">
        <f>tlInputLOB2Cln8Text_R1</f>
        <v>Enter feedback here</v>
      </c>
      <c r="F123" s="690">
        <v>0</v>
      </c>
      <c r="G123" s="690">
        <v>0</v>
      </c>
      <c r="H123" s="302" t="s">
        <v>3098</v>
      </c>
      <c r="K123" s="318" t="str">
        <f>tlInputLOB2Cln8Text_R2</f>
        <v>Enter feedback here</v>
      </c>
      <c r="L123" s="690">
        <v>0</v>
      </c>
      <c r="M123" s="690">
        <v>0</v>
      </c>
      <c r="N123" s="302" t="s">
        <v>3099</v>
      </c>
      <c r="R123">
        <v>0</v>
      </c>
      <c r="S123">
        <v>0</v>
      </c>
      <c r="T123">
        <v>0</v>
      </c>
      <c r="U123">
        <v>0</v>
      </c>
      <c r="V123">
        <v>0</v>
      </c>
    </row>
    <row r="124" spans="2:22">
      <c r="B124" t="s">
        <v>603</v>
      </c>
      <c r="E124" s="318" t="str">
        <f>tlInputLOB2Cln9Text_R1</f>
        <v>Enter feedback here</v>
      </c>
      <c r="F124" s="690">
        <v>0</v>
      </c>
      <c r="G124" s="690">
        <v>0</v>
      </c>
      <c r="H124" s="302" t="s">
        <v>3100</v>
      </c>
      <c r="K124" s="318" t="str">
        <f>tlInputLOB2Cln9Text_R2</f>
        <v>Enter feedback here</v>
      </c>
      <c r="L124" s="690">
        <v>0</v>
      </c>
      <c r="M124" s="690">
        <v>0</v>
      </c>
      <c r="N124" s="302" t="s">
        <v>3101</v>
      </c>
      <c r="R124">
        <v>0</v>
      </c>
      <c r="S124">
        <v>0</v>
      </c>
      <c r="T124">
        <v>0</v>
      </c>
      <c r="U124">
        <v>0</v>
      </c>
      <c r="V124">
        <v>0</v>
      </c>
    </row>
    <row r="125" spans="2:22">
      <c r="B125" t="s">
        <v>604</v>
      </c>
      <c r="E125" s="318" t="str">
        <f>tlInputLOB2Cln10Text_R1</f>
        <v>Enter feedback here</v>
      </c>
      <c r="F125" s="690">
        <v>0</v>
      </c>
      <c r="G125" s="690">
        <v>0</v>
      </c>
      <c r="H125" s="302" t="s">
        <v>3102</v>
      </c>
      <c r="K125" s="318" t="str">
        <f>tlInputLOB2Cln10Text_R2</f>
        <v>Enter feedback here</v>
      </c>
      <c r="L125" s="690">
        <v>0</v>
      </c>
      <c r="M125" s="690">
        <v>0</v>
      </c>
      <c r="N125" s="302" t="s">
        <v>3103</v>
      </c>
      <c r="R125">
        <v>0</v>
      </c>
      <c r="S125">
        <v>0</v>
      </c>
      <c r="T125">
        <v>0</v>
      </c>
      <c r="U125">
        <v>0</v>
      </c>
      <c r="V125">
        <v>0</v>
      </c>
    </row>
    <row r="126" spans="2:22">
      <c r="B126" t="s">
        <v>1497</v>
      </c>
      <c r="E126" s="318" t="str">
        <f>tlInputLOB2Cln11Text_R1</f>
        <v>Enter feedback here</v>
      </c>
      <c r="F126" s="690">
        <v>0</v>
      </c>
      <c r="G126" s="690">
        <v>0</v>
      </c>
      <c r="H126" s="302" t="s">
        <v>3536</v>
      </c>
      <c r="K126" s="318" t="str">
        <f>tlInputLOB2Cln11Text_R2</f>
        <v>Enter feedback here</v>
      </c>
      <c r="L126" s="690">
        <v>0</v>
      </c>
      <c r="M126" s="690">
        <v>0</v>
      </c>
      <c r="N126" s="302" t="s">
        <v>3537</v>
      </c>
      <c r="R126">
        <v>0</v>
      </c>
      <c r="S126">
        <v>0</v>
      </c>
      <c r="T126">
        <v>0</v>
      </c>
      <c r="U126">
        <v>0</v>
      </c>
      <c r="V126">
        <v>0</v>
      </c>
    </row>
    <row r="127" spans="2:22">
      <c r="B127" t="s">
        <v>1498</v>
      </c>
      <c r="E127" s="318" t="str">
        <f>tlInputLOB2Cln12Text_R1</f>
        <v>Enter feedback here</v>
      </c>
      <c r="F127" s="690">
        <v>0</v>
      </c>
      <c r="G127" s="690">
        <v>0</v>
      </c>
      <c r="H127" s="302" t="s">
        <v>3538</v>
      </c>
      <c r="K127" s="318" t="str">
        <f>tlInputLOB2Cln12Text_R2</f>
        <v>Enter feedback here</v>
      </c>
      <c r="L127" s="690">
        <v>0</v>
      </c>
      <c r="M127" s="690">
        <v>0</v>
      </c>
      <c r="N127" s="302" t="s">
        <v>3539</v>
      </c>
      <c r="R127">
        <v>0</v>
      </c>
      <c r="S127">
        <v>0</v>
      </c>
      <c r="T127">
        <v>0</v>
      </c>
      <c r="U127">
        <v>0</v>
      </c>
      <c r="V127">
        <v>0</v>
      </c>
    </row>
    <row r="128" spans="2:22">
      <c r="B128" t="s">
        <v>2855</v>
      </c>
      <c r="E128" s="318" t="str">
        <f>tlInputLOB2Cln11Dis_R1</f>
        <v>Open</v>
      </c>
      <c r="F128" s="690" t="s">
        <v>32</v>
      </c>
      <c r="G128" s="690" t="s">
        <v>32</v>
      </c>
      <c r="H128" s="302" t="s">
        <v>2861</v>
      </c>
      <c r="K128" s="318" t="str">
        <f>tlInputLOB2Cln11Dis_R2</f>
        <v>Open</v>
      </c>
      <c r="L128" s="690" t="s">
        <v>32</v>
      </c>
      <c r="M128" s="690" t="s">
        <v>32</v>
      </c>
      <c r="N128" s="302" t="s">
        <v>2862</v>
      </c>
      <c r="R128" t="s">
        <v>556</v>
      </c>
      <c r="S128" t="s">
        <v>556</v>
      </c>
      <c r="T128" t="s">
        <v>556</v>
      </c>
      <c r="U128" t="s">
        <v>555</v>
      </c>
      <c r="V128" t="s">
        <v>32</v>
      </c>
    </row>
    <row r="129" spans="1:22">
      <c r="B129" t="s">
        <v>2856</v>
      </c>
      <c r="E129" s="318" t="str">
        <f>tlInputLOB2Cln11Status_R1</f>
        <v>Open</v>
      </c>
      <c r="F129" s="690" t="s">
        <v>32</v>
      </c>
      <c r="G129" s="690" t="s">
        <v>32</v>
      </c>
      <c r="H129" s="302" t="s">
        <v>2863</v>
      </c>
      <c r="K129" s="318" t="str">
        <f>tlInputLOB2Cln11Status_R2</f>
        <v>Open</v>
      </c>
      <c r="L129" s="690" t="s">
        <v>32</v>
      </c>
      <c r="M129" s="690" t="s">
        <v>32</v>
      </c>
      <c r="N129" s="302" t="s">
        <v>2864</v>
      </c>
      <c r="R129" t="s">
        <v>551</v>
      </c>
      <c r="S129" t="s">
        <v>551</v>
      </c>
      <c r="T129" t="s">
        <v>553</v>
      </c>
      <c r="U129" t="s">
        <v>551</v>
      </c>
      <c r="V129" t="s">
        <v>32</v>
      </c>
    </row>
    <row r="130" spans="1:22">
      <c r="B130" t="s">
        <v>2908</v>
      </c>
      <c r="E130" s="318" t="str">
        <f>tlInputLOB2Cln12Dis_R1</f>
        <v>Open</v>
      </c>
      <c r="F130" s="690" t="s">
        <v>32</v>
      </c>
      <c r="G130" s="690" t="s">
        <v>32</v>
      </c>
      <c r="H130" s="302" t="s">
        <v>2914</v>
      </c>
      <c r="K130" s="318" t="str">
        <f>tlInputLOB2Cln12Dis_R2</f>
        <v>Open</v>
      </c>
      <c r="L130" s="690" t="s">
        <v>32</v>
      </c>
      <c r="M130" s="690" t="s">
        <v>32</v>
      </c>
      <c r="N130" s="302" t="s">
        <v>2915</v>
      </c>
      <c r="R130" t="s">
        <v>32</v>
      </c>
      <c r="S130" t="s">
        <v>32</v>
      </c>
      <c r="T130" t="s">
        <v>32</v>
      </c>
      <c r="U130" t="s">
        <v>32</v>
      </c>
      <c r="V130" t="s">
        <v>32</v>
      </c>
    </row>
    <row r="131" spans="1:22">
      <c r="B131" t="s">
        <v>2911</v>
      </c>
      <c r="E131" s="318" t="str">
        <f>tlInputLOB2Cln12Status_R1</f>
        <v>Open</v>
      </c>
      <c r="F131" s="690" t="s">
        <v>32</v>
      </c>
      <c r="G131" s="690" t="s">
        <v>32</v>
      </c>
      <c r="H131" s="302" t="s">
        <v>2916</v>
      </c>
      <c r="K131" s="318" t="str">
        <f>tlInputLOB2Cln12Status_R2</f>
        <v>Open</v>
      </c>
      <c r="L131" s="690" t="s">
        <v>32</v>
      </c>
      <c r="M131" s="690" t="s">
        <v>32</v>
      </c>
      <c r="N131" s="302" t="s">
        <v>2917</v>
      </c>
      <c r="R131" t="s">
        <v>32</v>
      </c>
      <c r="S131" t="s">
        <v>32</v>
      </c>
      <c r="T131" t="s">
        <v>32</v>
      </c>
      <c r="U131" t="s">
        <v>32</v>
      </c>
      <c r="V131" t="s">
        <v>32</v>
      </c>
    </row>
    <row r="132" spans="1:22">
      <c r="E132" s="303"/>
      <c r="F132" s="303"/>
      <c r="G132" s="303"/>
      <c r="K132" s="303"/>
      <c r="L132" s="303"/>
      <c r="M132" s="303"/>
    </row>
    <row r="133" spans="1:22" ht="10.5">
      <c r="A133" s="67" t="str">
        <f>nmLOB2</f>
        <v>Pleasentville</v>
      </c>
      <c r="E133" s="303"/>
      <c r="F133" s="303"/>
      <c r="G133" s="303"/>
      <c r="K133" s="303"/>
      <c r="L133" s="303"/>
      <c r="M133" s="303"/>
    </row>
    <row r="134" spans="1:22" ht="10.5">
      <c r="A134" s="67"/>
      <c r="B134" t="s">
        <v>570</v>
      </c>
      <c r="E134" s="318">
        <f>tlOutputR1Event1</f>
        <v>0</v>
      </c>
      <c r="F134" s="688">
        <v>51</v>
      </c>
      <c r="G134" s="688">
        <v>50</v>
      </c>
      <c r="H134" s="302" t="s">
        <v>609</v>
      </c>
      <c r="K134" s="318">
        <f>tlOutputR2Event1</f>
        <v>0</v>
      </c>
      <c r="L134" s="688">
        <v>51</v>
      </c>
      <c r="M134" s="688">
        <v>50</v>
      </c>
      <c r="N134" s="302" t="s">
        <v>611</v>
      </c>
      <c r="R134">
        <v>51</v>
      </c>
      <c r="S134">
        <v>51</v>
      </c>
      <c r="T134">
        <v>50</v>
      </c>
      <c r="U134">
        <v>51</v>
      </c>
      <c r="V134">
        <v>51</v>
      </c>
    </row>
    <row r="135" spans="1:22" ht="10.5">
      <c r="A135" s="67"/>
      <c r="B135" t="s">
        <v>605</v>
      </c>
      <c r="E135" s="318">
        <f>tlOutputR1Event2</f>
        <v>0</v>
      </c>
      <c r="F135" s="688">
        <v>53</v>
      </c>
      <c r="G135" s="688">
        <v>53</v>
      </c>
      <c r="H135" s="302" t="s">
        <v>481</v>
      </c>
      <c r="K135" s="318">
        <f>tlOutputR2Event2</f>
        <v>0</v>
      </c>
      <c r="L135" s="688">
        <v>53</v>
      </c>
      <c r="M135" s="688">
        <v>53</v>
      </c>
      <c r="N135" s="302" t="s">
        <v>612</v>
      </c>
      <c r="R135">
        <v>53</v>
      </c>
      <c r="S135">
        <v>53</v>
      </c>
      <c r="T135">
        <v>54</v>
      </c>
      <c r="U135">
        <v>53</v>
      </c>
      <c r="V135">
        <v>54</v>
      </c>
    </row>
    <row r="136" spans="1:22" ht="10.5">
      <c r="A136" s="67"/>
      <c r="B136" t="s">
        <v>606</v>
      </c>
      <c r="E136" s="318">
        <f>tlOutputR1Event3</f>
        <v>0</v>
      </c>
      <c r="F136" s="688">
        <v>56</v>
      </c>
      <c r="G136" s="688">
        <v>57</v>
      </c>
      <c r="H136" s="302" t="s">
        <v>482</v>
      </c>
      <c r="K136" s="318">
        <f>tlOutputR2Event3</f>
        <v>0</v>
      </c>
      <c r="L136" s="688">
        <v>56</v>
      </c>
      <c r="M136" s="688">
        <v>57</v>
      </c>
      <c r="N136" s="302" t="s">
        <v>613</v>
      </c>
      <c r="R136">
        <v>58</v>
      </c>
      <c r="S136">
        <v>57</v>
      </c>
      <c r="T136">
        <v>56</v>
      </c>
      <c r="U136">
        <v>58</v>
      </c>
      <c r="V136">
        <v>57</v>
      </c>
    </row>
    <row r="137" spans="1:22" ht="10.5">
      <c r="A137" s="67"/>
      <c r="B137" t="s">
        <v>607</v>
      </c>
      <c r="E137" s="318">
        <f>tlOutputR1Event4</f>
        <v>0</v>
      </c>
      <c r="F137" s="318">
        <f>tlOutputR1Event4</f>
        <v>0</v>
      </c>
      <c r="G137" s="318">
        <f>tlOutputR1Event4</f>
        <v>0</v>
      </c>
      <c r="H137" s="302" t="s">
        <v>610</v>
      </c>
      <c r="K137" s="318">
        <f>tlOutputR2Event4</f>
        <v>0</v>
      </c>
      <c r="L137" s="318">
        <f>tlOutputR2Event4</f>
        <v>0</v>
      </c>
      <c r="M137" s="318">
        <f>tlOutputR2Event4</f>
        <v>0</v>
      </c>
      <c r="N137" s="302" t="s">
        <v>614</v>
      </c>
      <c r="R137">
        <v>0</v>
      </c>
      <c r="S137">
        <v>0</v>
      </c>
      <c r="T137">
        <v>0</v>
      </c>
      <c r="U137">
        <v>0</v>
      </c>
      <c r="V137">
        <v>0</v>
      </c>
    </row>
    <row r="138" spans="1:22">
      <c r="B138" t="s">
        <v>608</v>
      </c>
      <c r="E138" s="318"/>
      <c r="F138" s="318"/>
      <c r="G138" s="318"/>
      <c r="K138" s="318">
        <f>tlOutputR2Event5</f>
        <v>0</v>
      </c>
      <c r="L138" s="318">
        <f>tlOutputR2Event5</f>
        <v>0</v>
      </c>
      <c r="M138" s="318">
        <f>tlOutputR2Event5</f>
        <v>0</v>
      </c>
      <c r="N138" s="302" t="s">
        <v>615</v>
      </c>
    </row>
    <row r="139" spans="1:22">
      <c r="E139" s="14"/>
      <c r="F139" s="14"/>
      <c r="G139" s="14"/>
      <c r="K139" s="14"/>
      <c r="L139" s="14"/>
      <c r="M139" s="14"/>
    </row>
    <row r="140" spans="1:22" s="144" customFormat="1">
      <c r="A140" s="145" t="s">
        <v>236</v>
      </c>
      <c r="B140" s="145"/>
      <c r="E140" s="146"/>
    </row>
    <row r="141" spans="1:22" s="181" customFormat="1">
      <c r="B141" s="133"/>
      <c r="E141" s="181" t="s">
        <v>238</v>
      </c>
      <c r="R141" s="181" t="s">
        <v>238</v>
      </c>
      <c r="S141" s="181" t="s">
        <v>238</v>
      </c>
      <c r="T141" s="181" t="s">
        <v>238</v>
      </c>
      <c r="U141" s="181" t="s">
        <v>238</v>
      </c>
      <c r="V141" s="181" t="s">
        <v>238</v>
      </c>
    </row>
  </sheetData>
  <conditionalFormatting sqref="E7:G9">
    <cfRule type="expression" dxfId="109" priority="233">
      <formula>decSimulationType="Hybrid"</formula>
    </cfRule>
  </conditionalFormatting>
  <conditionalFormatting sqref="K9:M9 K7:M7">
    <cfRule type="expression" dxfId="108" priority="229">
      <formula>decSimulationType="Hybrid"</formula>
    </cfRule>
  </conditionalFormatting>
  <conditionalFormatting sqref="E13:G15">
    <cfRule type="expression" dxfId="107" priority="105">
      <formula>decSimulationType="Hybrid"</formula>
    </cfRule>
  </conditionalFormatting>
  <conditionalFormatting sqref="E17:G22">
    <cfRule type="expression" dxfId="106" priority="104">
      <formula>decSimulationType="Hybrid"</formula>
    </cfRule>
  </conditionalFormatting>
  <conditionalFormatting sqref="E24:E29">
    <cfRule type="expression" dxfId="105" priority="103">
      <formula>decSimulationType="Hybrid"</formula>
    </cfRule>
  </conditionalFormatting>
  <conditionalFormatting sqref="E43:G52">
    <cfRule type="expression" dxfId="104" priority="102">
      <formula>decSimulationType="Hybrid"</formula>
    </cfRule>
  </conditionalFormatting>
  <conditionalFormatting sqref="E74:G76">
    <cfRule type="expression" dxfId="103" priority="101">
      <formula>decSimulationType="Hybrid"</formula>
    </cfRule>
  </conditionalFormatting>
  <conditionalFormatting sqref="E78:G83">
    <cfRule type="expression" dxfId="102" priority="100">
      <formula>decSimulationType="Hybrid"</formula>
    </cfRule>
  </conditionalFormatting>
  <conditionalFormatting sqref="E85:E90">
    <cfRule type="expression" dxfId="101" priority="99">
      <formula>decSimulationType="Hybrid"</formula>
    </cfRule>
  </conditionalFormatting>
  <conditionalFormatting sqref="E104:G113">
    <cfRule type="expression" dxfId="100" priority="98">
      <formula>decSimulationType="Hybrid"</formula>
    </cfRule>
  </conditionalFormatting>
  <conditionalFormatting sqref="E137:G138 E134:E136">
    <cfRule type="expression" dxfId="99" priority="97">
      <formula>decSimulationType="Hybrid"</formula>
    </cfRule>
  </conditionalFormatting>
  <conditionalFormatting sqref="K13:K15">
    <cfRule type="expression" dxfId="98" priority="96">
      <formula>decSimulationType="Hybrid"</formula>
    </cfRule>
  </conditionalFormatting>
  <conditionalFormatting sqref="K17:K22">
    <cfRule type="expression" dxfId="97" priority="95">
      <formula>decSimulationType="Hybrid"</formula>
    </cfRule>
  </conditionalFormatting>
  <conditionalFormatting sqref="K24:K29">
    <cfRule type="expression" dxfId="96" priority="94">
      <formula>decSimulationType="Hybrid"</formula>
    </cfRule>
  </conditionalFormatting>
  <conditionalFormatting sqref="K43:K52">
    <cfRule type="expression" dxfId="95" priority="93">
      <formula>decSimulationType="Hybrid"</formula>
    </cfRule>
  </conditionalFormatting>
  <conditionalFormatting sqref="K74:K76">
    <cfRule type="expression" dxfId="94" priority="92">
      <formula>decSimulationType="Hybrid"</formula>
    </cfRule>
  </conditionalFormatting>
  <conditionalFormatting sqref="K78:K83">
    <cfRule type="expression" dxfId="93" priority="91">
      <formula>decSimulationType="Hybrid"</formula>
    </cfRule>
  </conditionalFormatting>
  <conditionalFormatting sqref="K85:K90">
    <cfRule type="expression" dxfId="92" priority="90">
      <formula>decSimulationType="Hybrid"</formula>
    </cfRule>
  </conditionalFormatting>
  <conditionalFormatting sqref="K104:K113">
    <cfRule type="expression" dxfId="91" priority="89">
      <formula>decSimulationType="Hybrid"</formula>
    </cfRule>
  </conditionalFormatting>
  <conditionalFormatting sqref="K137:M138 K134:K136">
    <cfRule type="expression" dxfId="90" priority="88">
      <formula>decSimulationType="Hybrid"</formula>
    </cfRule>
  </conditionalFormatting>
  <conditionalFormatting sqref="E16:G16">
    <cfRule type="expression" dxfId="89" priority="87">
      <formula>decSimulationType="Hybrid"</formula>
    </cfRule>
  </conditionalFormatting>
  <conditionalFormatting sqref="K16">
    <cfRule type="expression" dxfId="88" priority="86">
      <formula>decSimulationType="Hybrid"</formula>
    </cfRule>
  </conditionalFormatting>
  <conditionalFormatting sqref="E77:G77">
    <cfRule type="expression" dxfId="87" priority="85">
      <formula>decSimulationType="Hybrid"</formula>
    </cfRule>
  </conditionalFormatting>
  <conditionalFormatting sqref="K77">
    <cfRule type="expression" dxfId="86" priority="84">
      <formula>decSimulationType="Hybrid"</formula>
    </cfRule>
  </conditionalFormatting>
  <conditionalFormatting sqref="E67:G67">
    <cfRule type="expression" dxfId="85" priority="83">
      <formula>decSimulationType="Hybrid"</formula>
    </cfRule>
  </conditionalFormatting>
  <conditionalFormatting sqref="E129:G129">
    <cfRule type="expression" dxfId="84" priority="76">
      <formula>decSimulationType="Hybrid"</formula>
    </cfRule>
  </conditionalFormatting>
  <conditionalFormatting sqref="E68:G68">
    <cfRule type="expression" dxfId="83" priority="81">
      <formula>decSimulationType="Hybrid"</formula>
    </cfRule>
  </conditionalFormatting>
  <conditionalFormatting sqref="K68">
    <cfRule type="expression" dxfId="82" priority="78">
      <formula>decSimulationType="Hybrid"</formula>
    </cfRule>
  </conditionalFormatting>
  <conditionalFormatting sqref="K67">
    <cfRule type="expression" dxfId="81" priority="79">
      <formula>decSimulationType="Hybrid"</formula>
    </cfRule>
  </conditionalFormatting>
  <conditionalFormatting sqref="K129">
    <cfRule type="expression" dxfId="80" priority="74">
      <formula>decSimulationType="Hybrid"</formula>
    </cfRule>
  </conditionalFormatting>
  <conditionalFormatting sqref="E128:G128">
    <cfRule type="expression" dxfId="79" priority="77">
      <formula>decSimulationType="Hybrid"</formula>
    </cfRule>
  </conditionalFormatting>
  <conditionalFormatting sqref="K128">
    <cfRule type="expression" dxfId="78" priority="75">
      <formula>decSimulationType="Hybrid"</formula>
    </cfRule>
  </conditionalFormatting>
  <conditionalFormatting sqref="E69:G69">
    <cfRule type="expression" dxfId="77" priority="73">
      <formula>decSimulationType="Hybrid"</formula>
    </cfRule>
  </conditionalFormatting>
  <conditionalFormatting sqref="E70:G70">
    <cfRule type="expression" dxfId="76" priority="72">
      <formula>decSimulationType="Hybrid"</formula>
    </cfRule>
  </conditionalFormatting>
  <conditionalFormatting sqref="K70">
    <cfRule type="expression" dxfId="75" priority="70">
      <formula>decSimulationType="Hybrid"</formula>
    </cfRule>
  </conditionalFormatting>
  <conditionalFormatting sqref="K69">
    <cfRule type="expression" dxfId="74" priority="71">
      <formula>decSimulationType="Hybrid"</formula>
    </cfRule>
  </conditionalFormatting>
  <conditionalFormatting sqref="E130:G130">
    <cfRule type="expression" dxfId="73" priority="69">
      <formula>decSimulationType="Hybrid"</formula>
    </cfRule>
  </conditionalFormatting>
  <conditionalFormatting sqref="E131:G131">
    <cfRule type="expression" dxfId="72" priority="68">
      <formula>decSimulationType="Hybrid"</formula>
    </cfRule>
  </conditionalFormatting>
  <conditionalFormatting sqref="K131">
    <cfRule type="expression" dxfId="71" priority="66">
      <formula>decSimulationType="Hybrid"</formula>
    </cfRule>
  </conditionalFormatting>
  <conditionalFormatting sqref="K130">
    <cfRule type="expression" dxfId="70" priority="67">
      <formula>decSimulationType="Hybrid"</formula>
    </cfRule>
  </conditionalFormatting>
  <conditionalFormatting sqref="E55:G64">
    <cfRule type="expression" dxfId="69" priority="65">
      <formula>decSimulationType="Hybrid"</formula>
    </cfRule>
  </conditionalFormatting>
  <conditionalFormatting sqref="K55:K64">
    <cfRule type="expression" dxfId="68" priority="64">
      <formula>decSimulationType="Hybrid"</formula>
    </cfRule>
  </conditionalFormatting>
  <conditionalFormatting sqref="E116:G125">
    <cfRule type="expression" dxfId="67" priority="63">
      <formula>decSimulationType="Hybrid"</formula>
    </cfRule>
  </conditionalFormatting>
  <conditionalFormatting sqref="K116:K125">
    <cfRule type="expression" dxfId="66" priority="62">
      <formula>decSimulationType="Hybrid"</formula>
    </cfRule>
  </conditionalFormatting>
  <conditionalFormatting sqref="E53:G53">
    <cfRule type="expression" dxfId="65" priority="61">
      <formula>decSimulationType="Hybrid"</formula>
    </cfRule>
  </conditionalFormatting>
  <conditionalFormatting sqref="K53">
    <cfRule type="expression" dxfId="64" priority="60">
      <formula>decSimulationType="Hybrid"</formula>
    </cfRule>
  </conditionalFormatting>
  <conditionalFormatting sqref="E54:G54">
    <cfRule type="expression" dxfId="63" priority="59">
      <formula>decSimulationType="Hybrid"</formula>
    </cfRule>
  </conditionalFormatting>
  <conditionalFormatting sqref="K54">
    <cfRule type="expression" dxfId="62" priority="58">
      <formula>decSimulationType="Hybrid"</formula>
    </cfRule>
  </conditionalFormatting>
  <conditionalFormatting sqref="E65:G65">
    <cfRule type="expression" dxfId="61" priority="57">
      <formula>decSimulationType="Hybrid"</formula>
    </cfRule>
  </conditionalFormatting>
  <conditionalFormatting sqref="K65">
    <cfRule type="expression" dxfId="60" priority="56">
      <formula>decSimulationType="Hybrid"</formula>
    </cfRule>
  </conditionalFormatting>
  <conditionalFormatting sqref="E66:G66">
    <cfRule type="expression" dxfId="59" priority="55">
      <formula>decSimulationType="Hybrid"</formula>
    </cfRule>
  </conditionalFormatting>
  <conditionalFormatting sqref="K66">
    <cfRule type="expression" dxfId="58" priority="54">
      <formula>decSimulationType="Hybrid"</formula>
    </cfRule>
  </conditionalFormatting>
  <conditionalFormatting sqref="E114:G114">
    <cfRule type="expression" dxfId="57" priority="53">
      <formula>decSimulationType="Hybrid"</formula>
    </cfRule>
  </conditionalFormatting>
  <conditionalFormatting sqref="K114">
    <cfRule type="expression" dxfId="56" priority="52">
      <formula>decSimulationType="Hybrid"</formula>
    </cfRule>
  </conditionalFormatting>
  <conditionalFormatting sqref="E115:G115">
    <cfRule type="expression" dxfId="55" priority="51">
      <formula>decSimulationType="Hybrid"</formula>
    </cfRule>
  </conditionalFormatting>
  <conditionalFormatting sqref="K115">
    <cfRule type="expression" dxfId="54" priority="50">
      <formula>decSimulationType="Hybrid"</formula>
    </cfRule>
  </conditionalFormatting>
  <conditionalFormatting sqref="E126:G126">
    <cfRule type="expression" dxfId="53" priority="49">
      <formula>decSimulationType="Hybrid"</formula>
    </cfRule>
  </conditionalFormatting>
  <conditionalFormatting sqref="K126">
    <cfRule type="expression" dxfId="52" priority="48">
      <formula>decSimulationType="Hybrid"</formula>
    </cfRule>
  </conditionalFormatting>
  <conditionalFormatting sqref="E127:G127">
    <cfRule type="expression" dxfId="51" priority="47">
      <formula>decSimulationType="Hybrid"</formula>
    </cfRule>
  </conditionalFormatting>
  <conditionalFormatting sqref="K127">
    <cfRule type="expression" dxfId="50" priority="46">
      <formula>decSimulationType="Hybrid"</formula>
    </cfRule>
  </conditionalFormatting>
  <conditionalFormatting sqref="E31:G42">
    <cfRule type="expression" dxfId="49" priority="45">
      <formula>decSimulationType="Hybrid"</formula>
    </cfRule>
  </conditionalFormatting>
  <conditionalFormatting sqref="K31:K42">
    <cfRule type="expression" dxfId="48" priority="39">
      <formula>decSimulationType="Hybrid"</formula>
    </cfRule>
  </conditionalFormatting>
  <conditionalFormatting sqref="E92:G103">
    <cfRule type="expression" dxfId="47" priority="38">
      <formula>decSimulationType="Hybrid"</formula>
    </cfRule>
  </conditionalFormatting>
  <conditionalFormatting sqref="K92:K103">
    <cfRule type="expression" dxfId="46" priority="37">
      <formula>decSimulationType="Hybrid"</formula>
    </cfRule>
  </conditionalFormatting>
  <conditionalFormatting sqref="L8:M8">
    <cfRule type="expression" dxfId="45" priority="36">
      <formula>decSimulationType="Hybrid"</formula>
    </cfRule>
  </conditionalFormatting>
  <conditionalFormatting sqref="K8">
    <cfRule type="expression" dxfId="44" priority="35">
      <formula>decSimulationType="Hybrid"</formula>
    </cfRule>
  </conditionalFormatting>
  <conditionalFormatting sqref="F134:G136">
    <cfRule type="expression" dxfId="43" priority="34">
      <formula>decSimulationType="Hybrid"</formula>
    </cfRule>
  </conditionalFormatting>
  <conditionalFormatting sqref="F24:G29">
    <cfRule type="expression" dxfId="42" priority="33">
      <formula>decSimulationType="Hybrid"</formula>
    </cfRule>
  </conditionalFormatting>
  <conditionalFormatting sqref="F85:G90">
    <cfRule type="expression" dxfId="41" priority="32">
      <formula>decSimulationType="Hybrid"</formula>
    </cfRule>
  </conditionalFormatting>
  <conditionalFormatting sqref="L13:M15">
    <cfRule type="expression" dxfId="40" priority="31">
      <formula>decSimulationType="Hybrid"</formula>
    </cfRule>
  </conditionalFormatting>
  <conditionalFormatting sqref="L17:M22">
    <cfRule type="expression" dxfId="39" priority="30">
      <formula>decSimulationType="Hybrid"</formula>
    </cfRule>
  </conditionalFormatting>
  <conditionalFormatting sqref="L16:M16">
    <cfRule type="expression" dxfId="38" priority="29">
      <formula>decSimulationType="Hybrid"</formula>
    </cfRule>
  </conditionalFormatting>
  <conditionalFormatting sqref="L24:M29">
    <cfRule type="expression" dxfId="37" priority="28">
      <formula>decSimulationType="Hybrid"</formula>
    </cfRule>
  </conditionalFormatting>
  <conditionalFormatting sqref="L43:M52">
    <cfRule type="expression" dxfId="36" priority="27">
      <formula>decSimulationType="Hybrid"</formula>
    </cfRule>
  </conditionalFormatting>
  <conditionalFormatting sqref="L67:M67">
    <cfRule type="expression" dxfId="35" priority="26">
      <formula>decSimulationType="Hybrid"</formula>
    </cfRule>
  </conditionalFormatting>
  <conditionalFormatting sqref="L68:M68">
    <cfRule type="expression" dxfId="34" priority="25">
      <formula>decSimulationType="Hybrid"</formula>
    </cfRule>
  </conditionalFormatting>
  <conditionalFormatting sqref="L69:M69">
    <cfRule type="expression" dxfId="33" priority="24">
      <formula>decSimulationType="Hybrid"</formula>
    </cfRule>
  </conditionalFormatting>
  <conditionalFormatting sqref="L70:M70">
    <cfRule type="expression" dxfId="32" priority="23">
      <formula>decSimulationType="Hybrid"</formula>
    </cfRule>
  </conditionalFormatting>
  <conditionalFormatting sqref="L55:M64">
    <cfRule type="expression" dxfId="31" priority="22">
      <formula>decSimulationType="Hybrid"</formula>
    </cfRule>
  </conditionalFormatting>
  <conditionalFormatting sqref="L53:M53">
    <cfRule type="expression" dxfId="30" priority="21">
      <formula>decSimulationType="Hybrid"</formula>
    </cfRule>
  </conditionalFormatting>
  <conditionalFormatting sqref="L54:M54">
    <cfRule type="expression" dxfId="29" priority="20">
      <formula>decSimulationType="Hybrid"</formula>
    </cfRule>
  </conditionalFormatting>
  <conditionalFormatting sqref="L65:M65">
    <cfRule type="expression" dxfId="28" priority="19">
      <formula>decSimulationType="Hybrid"</formula>
    </cfRule>
  </conditionalFormatting>
  <conditionalFormatting sqref="L66:M66">
    <cfRule type="expression" dxfId="27" priority="18">
      <formula>decSimulationType="Hybrid"</formula>
    </cfRule>
  </conditionalFormatting>
  <conditionalFormatting sqref="L31:M42">
    <cfRule type="expression" dxfId="26" priority="17">
      <formula>decSimulationType="Hybrid"</formula>
    </cfRule>
  </conditionalFormatting>
  <conditionalFormatting sqref="L74:M76">
    <cfRule type="expression" dxfId="25" priority="16">
      <formula>decSimulationType="Hybrid"</formula>
    </cfRule>
  </conditionalFormatting>
  <conditionalFormatting sqref="L78:M83">
    <cfRule type="expression" dxfId="24" priority="15">
      <formula>decSimulationType="Hybrid"</formula>
    </cfRule>
  </conditionalFormatting>
  <conditionalFormatting sqref="L104:M113">
    <cfRule type="expression" dxfId="23" priority="14">
      <formula>decSimulationType="Hybrid"</formula>
    </cfRule>
  </conditionalFormatting>
  <conditionalFormatting sqref="L77:M77">
    <cfRule type="expression" dxfId="22" priority="13">
      <formula>decSimulationType="Hybrid"</formula>
    </cfRule>
  </conditionalFormatting>
  <conditionalFormatting sqref="L129:M129">
    <cfRule type="expression" dxfId="21" priority="11">
      <formula>decSimulationType="Hybrid"</formula>
    </cfRule>
  </conditionalFormatting>
  <conditionalFormatting sqref="L128:M128">
    <cfRule type="expression" dxfId="20" priority="12">
      <formula>decSimulationType="Hybrid"</formula>
    </cfRule>
  </conditionalFormatting>
  <conditionalFormatting sqref="L130:M130">
    <cfRule type="expression" dxfId="19" priority="10">
      <formula>decSimulationType="Hybrid"</formula>
    </cfRule>
  </conditionalFormatting>
  <conditionalFormatting sqref="L131:M131">
    <cfRule type="expression" dxfId="18" priority="9">
      <formula>decSimulationType="Hybrid"</formula>
    </cfRule>
  </conditionalFormatting>
  <conditionalFormatting sqref="L116:M125">
    <cfRule type="expression" dxfId="17" priority="8">
      <formula>decSimulationType="Hybrid"</formula>
    </cfRule>
  </conditionalFormatting>
  <conditionalFormatting sqref="L114:M114">
    <cfRule type="expression" dxfId="16" priority="7">
      <formula>decSimulationType="Hybrid"</formula>
    </cfRule>
  </conditionalFormatting>
  <conditionalFormatting sqref="L115:M115">
    <cfRule type="expression" dxfId="15" priority="6">
      <formula>decSimulationType="Hybrid"</formula>
    </cfRule>
  </conditionalFormatting>
  <conditionalFormatting sqref="L126:M126">
    <cfRule type="expression" dxfId="14" priority="5">
      <formula>decSimulationType="Hybrid"</formula>
    </cfRule>
  </conditionalFormatting>
  <conditionalFormatting sqref="L127:M127">
    <cfRule type="expression" dxfId="13" priority="4">
      <formula>decSimulationType="Hybrid"</formula>
    </cfRule>
  </conditionalFormatting>
  <conditionalFormatting sqref="L92:M103">
    <cfRule type="expression" dxfId="12" priority="3">
      <formula>decSimulationType="Hybrid"</formula>
    </cfRule>
  </conditionalFormatting>
  <conditionalFormatting sqref="L134:M136">
    <cfRule type="expression" dxfId="11" priority="2">
      <formula>decSimulationType="Hybrid"</formula>
    </cfRule>
  </conditionalFormatting>
  <conditionalFormatting sqref="L85:M90">
    <cfRule type="expression" dxfId="10" priority="1">
      <formula>decSimulationType="Hybrid"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/>
  </sheetPr>
  <dimension ref="A1:O162"/>
  <sheetViews>
    <sheetView topLeftCell="F118" zoomScaleNormal="100" workbookViewId="0">
      <selection activeCell="K130" sqref="K130"/>
    </sheetView>
  </sheetViews>
  <sheetFormatPr defaultColWidth="21.77734375" defaultRowHeight="12.75" customHeight="1"/>
  <cols>
    <col min="1" max="1" width="2" style="83" customWidth="1"/>
    <col min="2" max="2" width="1.109375" style="83" customWidth="1"/>
    <col min="3" max="3" width="3.77734375" style="83" customWidth="1"/>
    <col min="4" max="4" width="37.109375" style="83" customWidth="1"/>
    <col min="5" max="7" width="21.109375" style="180" customWidth="1"/>
    <col min="8" max="8" width="32.44140625" style="83" customWidth="1"/>
    <col min="9" max="9" width="10.6640625" style="83" customWidth="1"/>
    <col min="10" max="10" width="21.77734375" style="83"/>
    <col min="11" max="13" width="21.109375" style="180" customWidth="1"/>
    <col min="14" max="14" width="32.44140625" style="83" customWidth="1"/>
    <col min="15" max="16384" width="21.77734375" style="83"/>
  </cols>
  <sheetData>
    <row r="1" spans="1:15" s="78" customFormat="1" ht="10">
      <c r="A1" s="78" t="s">
        <v>374</v>
      </c>
      <c r="E1" s="169"/>
      <c r="F1" s="169"/>
      <c r="G1" s="169"/>
      <c r="K1" s="169"/>
      <c r="L1" s="169"/>
      <c r="M1" s="169"/>
    </row>
    <row r="2" spans="1:15" ht="10"/>
    <row r="3" spans="1:15" s="85" customFormat="1" ht="10">
      <c r="B3" s="85" t="str">
        <f>nmLOB1</f>
        <v>Riverside</v>
      </c>
    </row>
    <row r="4" spans="1:15" ht="10">
      <c r="A4" s="461"/>
    </row>
    <row r="5" spans="1:15" ht="10.5">
      <c r="A5" s="461"/>
      <c r="C5" s="87" t="s">
        <v>4400</v>
      </c>
    </row>
    <row r="6" spans="1:15" ht="10">
      <c r="A6" s="461"/>
      <c r="C6" s="131" t="str">
        <f>nmSeg1</f>
        <v>Medicare</v>
      </c>
    </row>
    <row r="7" spans="1:15" ht="10">
      <c r="A7" s="461"/>
      <c r="D7" s="83" t="str">
        <f>nmEmp1</f>
        <v>Skilled Nursing</v>
      </c>
      <c r="E7" s="578">
        <f>obalLOB1Emp1Seg1RevPVisit*obalLOB1Emp1VisitPEp</f>
        <v>1224</v>
      </c>
      <c r="F7" s="578">
        <f>obalLOB1Emp1Seg1RevPVisit*obalLOB1Emp1VisitPEp</f>
        <v>1224</v>
      </c>
      <c r="G7" s="578">
        <f>obalLOB1Emp1Seg1RevPVisit*obalLOB1Emp1VisitPEp</f>
        <v>1224</v>
      </c>
      <c r="I7" s="131" t="b">
        <f t="shared" ref="I7:I70" si="0">MAX(E7:G7)=MIN(E7:G7)</f>
        <v>1</v>
      </c>
      <c r="K7" s="578">
        <f>obalR2LOB1Emp1Seg1RevPVisit*obalR2LOB1Emp1VisitPEp</f>
        <v>1224</v>
      </c>
      <c r="L7" s="578">
        <f>obalR2LOB1Emp1Seg1RevPVisit*obalR2LOB1Emp1VisitPEp</f>
        <v>1224</v>
      </c>
      <c r="M7" s="578">
        <f>obalR2LOB1Emp1Seg1RevPVisit*obalR2LOB1Emp1VisitPEp</f>
        <v>1224</v>
      </c>
      <c r="O7" s="131" t="b">
        <f t="shared" ref="O7:O70" si="1">MAX(K7:M7)=MIN(K7:M7)</f>
        <v>1</v>
      </c>
    </row>
    <row r="8" spans="1:15" ht="10">
      <c r="A8" s="461"/>
      <c r="D8" s="83" t="str">
        <f>nmEmp2</f>
        <v>Occupational Therapy</v>
      </c>
      <c r="E8" s="578">
        <f>obalLOB1Emp2Seg1RevPVisit*obalLOB1Emp2VisitPEp</f>
        <v>315</v>
      </c>
      <c r="F8" s="578">
        <f>obalLOB1Emp2Seg1RevPVisit*obalLOB1Emp2VisitPEp</f>
        <v>315</v>
      </c>
      <c r="G8" s="578">
        <f>obalLOB1Emp2Seg1RevPVisit*obalLOB1Emp2VisitPEp</f>
        <v>315</v>
      </c>
      <c r="I8" s="131" t="b">
        <f t="shared" si="0"/>
        <v>1</v>
      </c>
      <c r="K8" s="578">
        <f>obalR2LOB1Emp2Seg1RevPVisit*obalR2LOB1Emp2VisitPEp</f>
        <v>315</v>
      </c>
      <c r="L8" s="578">
        <f>obalR2LOB1Emp2Seg1RevPVisit*obalR2LOB1Emp2VisitPEp</f>
        <v>315</v>
      </c>
      <c r="M8" s="578">
        <f>obalR2LOB1Emp2Seg1RevPVisit*obalR2LOB1Emp2VisitPEp</f>
        <v>315</v>
      </c>
      <c r="O8" s="131" t="b">
        <f t="shared" si="1"/>
        <v>1</v>
      </c>
    </row>
    <row r="9" spans="1:15" ht="10">
      <c r="A9" s="461"/>
      <c r="D9" s="83" t="str">
        <f>nmEmp3</f>
        <v>Physical Therapy</v>
      </c>
      <c r="E9" s="578">
        <f>obalLOB1Emp3Seg1RevPVisit*obalLOB1Emp3VisitPEp</f>
        <v>1224</v>
      </c>
      <c r="F9" s="578">
        <f>obalLOB1Emp3Seg1RevPVisit*obalLOB1Emp3VisitPEp</f>
        <v>1224</v>
      </c>
      <c r="G9" s="578">
        <f>obalLOB1Emp3Seg1RevPVisit*obalLOB1Emp3VisitPEp</f>
        <v>1224</v>
      </c>
      <c r="I9" s="131" t="b">
        <f t="shared" si="0"/>
        <v>1</v>
      </c>
      <c r="K9" s="578">
        <f>obalR2LOB1Emp3Seg1RevPVisit*obalR2LOB1Emp3VisitPEp</f>
        <v>1224</v>
      </c>
      <c r="L9" s="578">
        <f>obalR2LOB1Emp3Seg1RevPVisit*obalR2LOB1Emp3VisitPEp</f>
        <v>1224</v>
      </c>
      <c r="M9" s="578">
        <f>obalR2LOB1Emp3Seg1RevPVisit*obalR2LOB1Emp3VisitPEp</f>
        <v>1224</v>
      </c>
      <c r="O9" s="131" t="b">
        <f t="shared" si="1"/>
        <v>1</v>
      </c>
    </row>
    <row r="10" spans="1:15" s="170" customFormat="1" ht="1.5" customHeight="1">
      <c r="A10" s="461"/>
      <c r="B10" s="83"/>
      <c r="C10" s="476"/>
      <c r="D10" s="449"/>
      <c r="E10" s="579"/>
      <c r="F10" s="579"/>
      <c r="G10" s="579"/>
      <c r="H10" s="131"/>
      <c r="I10" s="131" t="b">
        <f t="shared" si="0"/>
        <v>1</v>
      </c>
      <c r="K10" s="579"/>
      <c r="L10" s="579"/>
      <c r="M10" s="579"/>
      <c r="N10" s="131"/>
      <c r="O10" s="131" t="b">
        <f t="shared" si="1"/>
        <v>1</v>
      </c>
    </row>
    <row r="11" spans="1:15" s="170" customFormat="1" ht="12.75" customHeight="1">
      <c r="A11" s="461"/>
      <c r="B11" s="83"/>
      <c r="C11" s="476"/>
      <c r="D11" s="482" t="str">
        <f>"Total "&amp; nmSeg1</f>
        <v>Total Medicare</v>
      </c>
      <c r="E11" s="453">
        <f>SUM(E7:E10)</f>
        <v>2763</v>
      </c>
      <c r="F11" s="453">
        <f t="shared" ref="F11:G11" si="2">SUM(F7:F10)</f>
        <v>2763</v>
      </c>
      <c r="G11" s="453">
        <f t="shared" si="2"/>
        <v>2763</v>
      </c>
      <c r="H11" s="131" t="s">
        <v>4401</v>
      </c>
      <c r="I11" s="131" t="b">
        <f t="shared" si="0"/>
        <v>1</v>
      </c>
      <c r="K11" s="453">
        <f>SUM(K7:K10)</f>
        <v>2763</v>
      </c>
      <c r="L11" s="453">
        <f t="shared" ref="L11:M11" si="3">SUM(L7:L10)</f>
        <v>2763</v>
      </c>
      <c r="M11" s="453">
        <f t="shared" si="3"/>
        <v>2763</v>
      </c>
      <c r="N11" s="131" t="s">
        <v>7604</v>
      </c>
      <c r="O11" s="131" t="b">
        <f t="shared" si="1"/>
        <v>1</v>
      </c>
    </row>
    <row r="12" spans="1:15" ht="10">
      <c r="A12" s="461"/>
      <c r="I12" s="131" t="b">
        <f t="shared" si="0"/>
        <v>1</v>
      </c>
      <c r="O12" s="131" t="b">
        <f t="shared" si="1"/>
        <v>1</v>
      </c>
    </row>
    <row r="13" spans="1:15" ht="10">
      <c r="A13" s="461"/>
      <c r="C13" s="131" t="str">
        <f>nmSeg2</f>
        <v>PPS</v>
      </c>
      <c r="I13" s="131" t="b">
        <f t="shared" si="0"/>
        <v>1</v>
      </c>
      <c r="O13" s="131" t="b">
        <f t="shared" si="1"/>
        <v>1</v>
      </c>
    </row>
    <row r="14" spans="1:15" ht="10">
      <c r="A14" s="461"/>
      <c r="D14" s="83" t="str">
        <f>nmEmp1</f>
        <v>Skilled Nursing</v>
      </c>
      <c r="E14" s="578">
        <f>obalLOB1Emp1Seg2RevPVisit*obalLOB1Emp1VisitPEp</f>
        <v>1088</v>
      </c>
      <c r="F14" s="578">
        <f>obalLOB1Emp1Seg2RevPVisit*obalLOB1Emp1VisitPEp</f>
        <v>1088</v>
      </c>
      <c r="G14" s="578">
        <f>obalLOB1Emp1Seg2RevPVisit*obalLOB1Emp1VisitPEp</f>
        <v>1088</v>
      </c>
      <c r="I14" s="131" t="b">
        <f t="shared" si="0"/>
        <v>1</v>
      </c>
      <c r="K14" s="578">
        <f>obalR2LOB1Emp1Seg2RevPVisit*obalR2LOB1Emp1VisitPEp</f>
        <v>1088</v>
      </c>
      <c r="L14" s="578">
        <f>obalR2LOB1Emp1Seg2RevPVisit*obalR2LOB1Emp1VisitPEp</f>
        <v>1088</v>
      </c>
      <c r="M14" s="578">
        <f>obalR2LOB1Emp1Seg2RevPVisit*obalR2LOB1Emp1VisitPEp</f>
        <v>1088</v>
      </c>
      <c r="O14" s="131" t="b">
        <f t="shared" si="1"/>
        <v>1</v>
      </c>
    </row>
    <row r="15" spans="1:15" ht="10">
      <c r="A15" s="461"/>
      <c r="D15" s="83" t="str">
        <f>nmEmp2</f>
        <v>Occupational Therapy</v>
      </c>
      <c r="E15" s="578">
        <f>obalLOB1Emp2Seg2RevPVisit*obalLOB1Emp2VisitPEp</f>
        <v>288.75</v>
      </c>
      <c r="F15" s="578">
        <f>obalLOB1Emp2Seg2RevPVisit*obalLOB1Emp2VisitPEp</f>
        <v>288.75</v>
      </c>
      <c r="G15" s="578">
        <f>obalLOB1Emp2Seg2RevPVisit*obalLOB1Emp2VisitPEp</f>
        <v>288.75</v>
      </c>
      <c r="I15" s="131" t="b">
        <f t="shared" si="0"/>
        <v>1</v>
      </c>
      <c r="K15" s="578">
        <f>obalR2LOB1Emp2Seg2RevPVisit*obalR2LOB1Emp2VisitPEp</f>
        <v>288.75</v>
      </c>
      <c r="L15" s="578">
        <f>obalR2LOB1Emp2Seg2RevPVisit*obalR2LOB1Emp2VisitPEp</f>
        <v>288.75</v>
      </c>
      <c r="M15" s="578">
        <f>obalR2LOB1Emp2Seg2RevPVisit*obalR2LOB1Emp2VisitPEp</f>
        <v>288.75</v>
      </c>
      <c r="O15" s="131" t="b">
        <f t="shared" si="1"/>
        <v>1</v>
      </c>
    </row>
    <row r="16" spans="1:15" ht="10">
      <c r="A16" s="461"/>
      <c r="D16" s="83" t="str">
        <f>nmEmp3</f>
        <v>Physical Therapy</v>
      </c>
      <c r="E16" s="578">
        <f>obalLOB1Emp3Seg2RevPVisit*obalLOB1Emp3VisitPEp</f>
        <v>1122</v>
      </c>
      <c r="F16" s="578">
        <f>obalLOB1Emp3Seg2RevPVisit*obalLOB1Emp3VisitPEp</f>
        <v>1122</v>
      </c>
      <c r="G16" s="578">
        <f>obalLOB1Emp3Seg2RevPVisit*obalLOB1Emp3VisitPEp</f>
        <v>1122</v>
      </c>
      <c r="I16" s="131" t="b">
        <f t="shared" si="0"/>
        <v>1</v>
      </c>
      <c r="K16" s="578">
        <f>obalR2LOB1Emp3Seg2RevPVisit*obalR2LOB1Emp3VisitPEp</f>
        <v>1122</v>
      </c>
      <c r="L16" s="578">
        <f>obalR2LOB1Emp3Seg2RevPVisit*obalR2LOB1Emp3VisitPEp</f>
        <v>1122</v>
      </c>
      <c r="M16" s="578">
        <f>obalR2LOB1Emp3Seg2RevPVisit*obalR2LOB1Emp3VisitPEp</f>
        <v>1122</v>
      </c>
      <c r="O16" s="131" t="b">
        <f t="shared" si="1"/>
        <v>1</v>
      </c>
    </row>
    <row r="17" spans="1:15" s="170" customFormat="1" ht="1.5" customHeight="1">
      <c r="A17" s="461"/>
      <c r="B17" s="83"/>
      <c r="C17" s="476"/>
      <c r="D17" s="449"/>
      <c r="E17" s="579"/>
      <c r="F17" s="579"/>
      <c r="G17" s="579"/>
      <c r="H17" s="131"/>
      <c r="I17" s="131" t="b">
        <f t="shared" si="0"/>
        <v>1</v>
      </c>
      <c r="K17" s="579"/>
      <c r="L17" s="579"/>
      <c r="M17" s="579"/>
      <c r="N17" s="131"/>
      <c r="O17" s="131" t="b">
        <f t="shared" si="1"/>
        <v>1</v>
      </c>
    </row>
    <row r="18" spans="1:15" s="170" customFormat="1" ht="12.75" customHeight="1">
      <c r="A18" s="461"/>
      <c r="B18" s="83"/>
      <c r="C18" s="476"/>
      <c r="D18" s="482" t="str">
        <f>"Total "&amp; nmSeg2</f>
        <v>Total PPS</v>
      </c>
      <c r="E18" s="453">
        <f>SUM(E14:E17)</f>
        <v>2498.75</v>
      </c>
      <c r="F18" s="453">
        <f t="shared" ref="F18:G18" si="4">SUM(F14:F17)</f>
        <v>2498.75</v>
      </c>
      <c r="G18" s="453">
        <f t="shared" si="4"/>
        <v>2498.75</v>
      </c>
      <c r="H18" s="131" t="s">
        <v>4402</v>
      </c>
      <c r="I18" s="131" t="b">
        <f t="shared" si="0"/>
        <v>1</v>
      </c>
      <c r="K18" s="453">
        <f>SUM(K14:K17)</f>
        <v>2498.75</v>
      </c>
      <c r="L18" s="453">
        <f t="shared" ref="L18:M18" si="5">SUM(L14:L17)</f>
        <v>2498.75</v>
      </c>
      <c r="M18" s="453">
        <f t="shared" si="5"/>
        <v>2498.75</v>
      </c>
      <c r="N18" s="131" t="s">
        <v>7605</v>
      </c>
      <c r="O18" s="131" t="b">
        <f t="shared" si="1"/>
        <v>1</v>
      </c>
    </row>
    <row r="19" spans="1:15" ht="10">
      <c r="A19" s="461"/>
      <c r="I19" s="131" t="b">
        <f t="shared" si="0"/>
        <v>1</v>
      </c>
      <c r="O19" s="131" t="b">
        <f t="shared" si="1"/>
        <v>1</v>
      </c>
    </row>
    <row r="20" spans="1:15" ht="10">
      <c r="A20" s="461"/>
      <c r="C20" s="131" t="str">
        <f>nmSeg3</f>
        <v>Other</v>
      </c>
      <c r="I20" s="131" t="b">
        <f t="shared" si="0"/>
        <v>1</v>
      </c>
      <c r="O20" s="131" t="b">
        <f t="shared" si="1"/>
        <v>1</v>
      </c>
    </row>
    <row r="21" spans="1:15" ht="10">
      <c r="A21" s="461"/>
      <c r="D21" s="83" t="str">
        <f>nmEmp1</f>
        <v>Skilled Nursing</v>
      </c>
      <c r="E21" s="578">
        <f>obalLOB1Emp1Seg3RevPVisit*obalLOB1Emp1VisitPEp</f>
        <v>680</v>
      </c>
      <c r="F21" s="578">
        <f>obalLOB1Emp1Seg3RevPVisit*obalLOB1Emp1VisitPEp</f>
        <v>680</v>
      </c>
      <c r="G21" s="578">
        <f>obalLOB1Emp1Seg3RevPVisit*obalLOB1Emp1VisitPEp</f>
        <v>680</v>
      </c>
      <c r="I21" s="131" t="b">
        <f t="shared" si="0"/>
        <v>1</v>
      </c>
      <c r="K21" s="578">
        <f>obalR2LOB1Emp1Seg3RevPVisit*obalR2LOB1Emp1VisitPEp</f>
        <v>680</v>
      </c>
      <c r="L21" s="578">
        <f>obalR2LOB1Emp1Seg3RevPVisit*obalR2LOB1Emp1VisitPEp</f>
        <v>680</v>
      </c>
      <c r="M21" s="578">
        <f>obalR2LOB1Emp1Seg3RevPVisit*obalR2LOB1Emp1VisitPEp</f>
        <v>680</v>
      </c>
      <c r="O21" s="131" t="b">
        <f t="shared" si="1"/>
        <v>1</v>
      </c>
    </row>
    <row r="22" spans="1:15" ht="10">
      <c r="A22" s="461"/>
      <c r="D22" s="83" t="str">
        <f>nmEmp2</f>
        <v>Occupational Therapy</v>
      </c>
      <c r="E22" s="578">
        <f>obalLOB1Emp2Seg3RevPVisit*obalLOB1Emp2VisitPEp</f>
        <v>175</v>
      </c>
      <c r="F22" s="578">
        <f>obalLOB1Emp2Seg3RevPVisit*obalLOB1Emp2VisitPEp</f>
        <v>175</v>
      </c>
      <c r="G22" s="578">
        <f>obalLOB1Emp2Seg3RevPVisit*obalLOB1Emp2VisitPEp</f>
        <v>175</v>
      </c>
      <c r="I22" s="131" t="b">
        <f t="shared" si="0"/>
        <v>1</v>
      </c>
      <c r="K22" s="578">
        <f>obalR2LOB1Emp2Seg3RevPVisit*obalR2LOB1Emp2VisitPEp</f>
        <v>175</v>
      </c>
      <c r="L22" s="578">
        <f>obalR2LOB1Emp2Seg3RevPVisit*obalR2LOB1Emp2VisitPEp</f>
        <v>175</v>
      </c>
      <c r="M22" s="578">
        <f>obalR2LOB1Emp2Seg3RevPVisit*obalR2LOB1Emp2VisitPEp</f>
        <v>175</v>
      </c>
      <c r="O22" s="131" t="b">
        <f t="shared" si="1"/>
        <v>1</v>
      </c>
    </row>
    <row r="23" spans="1:15" ht="10">
      <c r="A23" s="461"/>
      <c r="D23" s="83" t="str">
        <f>nmEmp3</f>
        <v>Physical Therapy</v>
      </c>
      <c r="E23" s="578">
        <f>obalLOB1Emp3Seg3RevPVisit*obalLOB1Emp3VisitPEp</f>
        <v>680</v>
      </c>
      <c r="F23" s="578">
        <f>obalLOB1Emp3Seg3RevPVisit*obalLOB1Emp3VisitPEp</f>
        <v>680</v>
      </c>
      <c r="G23" s="578">
        <f>obalLOB1Emp3Seg3RevPVisit*obalLOB1Emp3VisitPEp</f>
        <v>680</v>
      </c>
      <c r="I23" s="131" t="b">
        <f t="shared" si="0"/>
        <v>1</v>
      </c>
      <c r="K23" s="578">
        <f>obalR2LOB1Emp3Seg3RevPVisit*obalR2LOB1Emp3VisitPEp</f>
        <v>680</v>
      </c>
      <c r="L23" s="578">
        <f>obalR2LOB1Emp3Seg3RevPVisit*obalR2LOB1Emp3VisitPEp</f>
        <v>680</v>
      </c>
      <c r="M23" s="578">
        <f>obalR2LOB1Emp3Seg3RevPVisit*obalR2LOB1Emp3VisitPEp</f>
        <v>680</v>
      </c>
      <c r="O23" s="131" t="b">
        <f t="shared" si="1"/>
        <v>1</v>
      </c>
    </row>
    <row r="24" spans="1:15" s="170" customFormat="1" ht="1.5" customHeight="1">
      <c r="A24" s="461"/>
      <c r="B24" s="83"/>
      <c r="C24" s="476"/>
      <c r="D24" s="449"/>
      <c r="E24" s="579"/>
      <c r="F24" s="579"/>
      <c r="G24" s="579"/>
      <c r="H24" s="131"/>
      <c r="I24" s="131" t="b">
        <f t="shared" si="0"/>
        <v>1</v>
      </c>
      <c r="K24" s="579"/>
      <c r="L24" s="579"/>
      <c r="M24" s="579"/>
      <c r="N24" s="131"/>
      <c r="O24" s="131" t="b">
        <f t="shared" si="1"/>
        <v>1</v>
      </c>
    </row>
    <row r="25" spans="1:15" s="170" customFormat="1" ht="12.75" customHeight="1">
      <c r="A25" s="461"/>
      <c r="B25" s="83"/>
      <c r="C25" s="476"/>
      <c r="D25" s="482" t="str">
        <f>"Total "&amp; nmSeg3</f>
        <v>Total Other</v>
      </c>
      <c r="E25" s="453">
        <f>SUM(E21:E24)</f>
        <v>1535</v>
      </c>
      <c r="F25" s="453">
        <f t="shared" ref="F25:G25" si="6">SUM(F21:F24)</f>
        <v>1535</v>
      </c>
      <c r="G25" s="453">
        <f t="shared" si="6"/>
        <v>1535</v>
      </c>
      <c r="H25" s="131" t="s">
        <v>4403</v>
      </c>
      <c r="I25" s="131" t="b">
        <f t="shared" si="0"/>
        <v>1</v>
      </c>
      <c r="K25" s="453">
        <f>SUM(K21:K24)</f>
        <v>1535</v>
      </c>
      <c r="L25" s="453">
        <f t="shared" ref="L25:M25" si="7">SUM(L21:L24)</f>
        <v>1535</v>
      </c>
      <c r="M25" s="453">
        <f t="shared" si="7"/>
        <v>1535</v>
      </c>
      <c r="N25" s="131" t="s">
        <v>7606</v>
      </c>
      <c r="O25" s="131" t="b">
        <f t="shared" si="1"/>
        <v>1</v>
      </c>
    </row>
    <row r="26" spans="1:15" ht="10">
      <c r="A26" s="461"/>
      <c r="I26" s="131" t="b">
        <f t="shared" si="0"/>
        <v>1</v>
      </c>
      <c r="O26" s="131" t="b">
        <f t="shared" si="1"/>
        <v>1</v>
      </c>
    </row>
    <row r="27" spans="1:15" ht="10.5">
      <c r="A27" s="461"/>
      <c r="C27" s="87" t="s">
        <v>347</v>
      </c>
      <c r="I27" s="131" t="b">
        <f t="shared" si="0"/>
        <v>1</v>
      </c>
      <c r="O27" s="131" t="b">
        <f t="shared" si="1"/>
        <v>1</v>
      </c>
    </row>
    <row r="28" spans="1:15" ht="10">
      <c r="A28" s="461"/>
      <c r="C28" s="131" t="str">
        <f>nmSeg1 &amp; " Revenue"</f>
        <v>Medicare Revenue</v>
      </c>
      <c r="I28" s="131" t="b">
        <f t="shared" si="0"/>
        <v>1</v>
      </c>
      <c r="O28" s="131" t="b">
        <f t="shared" si="1"/>
        <v>1</v>
      </c>
    </row>
    <row r="29" spans="1:15" ht="10">
      <c r="A29" s="461"/>
      <c r="D29" s="83" t="str">
        <f>nmProd1</f>
        <v>Admits</v>
      </c>
      <c r="E29" s="578">
        <f>calcLOB1Prod1Seg1Patients*finPNLLOB1Seg1RevPEpisode</f>
        <v>4011876</v>
      </c>
      <c r="F29" s="578">
        <f>calcLOB1Prod1Seg1Patients*finPNLLOB1Seg1RevPEpisode</f>
        <v>5503896</v>
      </c>
      <c r="G29" s="578">
        <f>calcLOB1Prod1Seg1Patients*finPNLLOB1Seg1RevPEpisode</f>
        <v>2950884</v>
      </c>
      <c r="H29" s="131" t="s">
        <v>4404</v>
      </c>
      <c r="I29" s="131" t="b">
        <f t="shared" si="0"/>
        <v>0</v>
      </c>
      <c r="K29" s="578">
        <f>calcR2LOB1Prod1Seg1Patients*finR2PNLLOB1Seg1RevPEpisode</f>
        <v>4078188</v>
      </c>
      <c r="L29" s="578">
        <f>calcR2LOB1Prod1Seg1Patients*finR2PNLLOB1Seg1RevPEpisode</f>
        <v>5503896</v>
      </c>
      <c r="M29" s="578">
        <f>calcR2LOB1Prod1Seg1Patients*finR2PNLLOB1Seg1RevPEpisode</f>
        <v>2950884</v>
      </c>
      <c r="N29" s="131" t="s">
        <v>7607</v>
      </c>
      <c r="O29" s="131" t="b">
        <f t="shared" si="1"/>
        <v>0</v>
      </c>
    </row>
    <row r="30" spans="1:15" ht="10">
      <c r="A30" s="461"/>
      <c r="D30" s="83" t="str">
        <f>nmProd2</f>
        <v>Recerts</v>
      </c>
      <c r="E30" s="578">
        <f>calcLOB1Prod2Seg1Patients*finPNLLOB1Seg1RevPEpisode</f>
        <v>994680</v>
      </c>
      <c r="F30" s="578">
        <f>calcLOB1Prod2Seg1Patients*finPNLLOB1Seg1RevPEpisode</f>
        <v>1359396</v>
      </c>
      <c r="G30" s="578">
        <f>calcLOB1Prod2Seg1Patients*finPNLLOB1Seg1RevPEpisode</f>
        <v>729432</v>
      </c>
      <c r="H30" s="131" t="s">
        <v>4407</v>
      </c>
      <c r="I30" s="131" t="b">
        <f t="shared" si="0"/>
        <v>0</v>
      </c>
      <c r="K30" s="578">
        <f>calcR2LOB1Prod2Seg1Patients*finR2PNLLOB1Seg1RevPEpisode</f>
        <v>1027836</v>
      </c>
      <c r="L30" s="578">
        <f>calcR2LOB1Prod2Seg1Patients*finR2PNLLOB1Seg1RevPEpisode</f>
        <v>1359396</v>
      </c>
      <c r="M30" s="578">
        <f>calcR2LOB1Prod2Seg1Patients*finR2PNLLOB1Seg1RevPEpisode</f>
        <v>729432</v>
      </c>
      <c r="N30" s="131" t="s">
        <v>7608</v>
      </c>
      <c r="O30" s="131" t="b">
        <f t="shared" si="1"/>
        <v>0</v>
      </c>
    </row>
    <row r="31" spans="1:15" s="170" customFormat="1" ht="1.5" customHeight="1">
      <c r="A31" s="461"/>
      <c r="B31" s="83"/>
      <c r="C31" s="476"/>
      <c r="D31" s="449"/>
      <c r="E31" s="579"/>
      <c r="F31" s="579"/>
      <c r="G31" s="579"/>
      <c r="H31" s="131"/>
      <c r="I31" s="131" t="b">
        <f t="shared" si="0"/>
        <v>1</v>
      </c>
      <c r="K31" s="579"/>
      <c r="L31" s="579"/>
      <c r="M31" s="579"/>
      <c r="N31" s="131"/>
      <c r="O31" s="131" t="b">
        <f t="shared" si="1"/>
        <v>1</v>
      </c>
    </row>
    <row r="32" spans="1:15" s="170" customFormat="1" ht="12.75" customHeight="1">
      <c r="A32" s="461"/>
      <c r="B32" s="83"/>
      <c r="C32" s="476"/>
      <c r="D32" s="482" t="str">
        <f>"Total "&amp; nmSeg1</f>
        <v>Total Medicare</v>
      </c>
      <c r="E32" s="453">
        <f>SUM(E29:E31)</f>
        <v>5006556</v>
      </c>
      <c r="F32" s="453">
        <f>SUM(F29:F31)</f>
        <v>6863292</v>
      </c>
      <c r="G32" s="453">
        <f>SUM(G29:G31)</f>
        <v>3680316</v>
      </c>
      <c r="H32" s="131" t="s">
        <v>4406</v>
      </c>
      <c r="I32" s="131" t="b">
        <f t="shared" si="0"/>
        <v>0</v>
      </c>
      <c r="K32" s="453">
        <f>SUM(K29:K31)</f>
        <v>5106024</v>
      </c>
      <c r="L32" s="453">
        <f>SUM(L29:L31)</f>
        <v>6863292</v>
      </c>
      <c r="M32" s="453">
        <f>SUM(M29:M31)</f>
        <v>3680316</v>
      </c>
      <c r="N32" s="131" t="s">
        <v>7609</v>
      </c>
      <c r="O32" s="131" t="b">
        <f t="shared" si="1"/>
        <v>0</v>
      </c>
    </row>
    <row r="33" spans="1:15" ht="10">
      <c r="A33" s="461"/>
      <c r="I33" s="131" t="b">
        <f t="shared" si="0"/>
        <v>1</v>
      </c>
      <c r="O33" s="131" t="b">
        <f t="shared" si="1"/>
        <v>1</v>
      </c>
    </row>
    <row r="34" spans="1:15" ht="10">
      <c r="A34" s="461"/>
      <c r="C34" s="131" t="str">
        <f>nmSeg2 &amp; " Revenue"</f>
        <v>PPS Revenue</v>
      </c>
      <c r="I34" s="131" t="b">
        <f t="shared" si="0"/>
        <v>1</v>
      </c>
      <c r="O34" s="131" t="b">
        <f t="shared" si="1"/>
        <v>1</v>
      </c>
    </row>
    <row r="35" spans="1:15" ht="10">
      <c r="A35" s="461"/>
      <c r="D35" s="83" t="str">
        <f>nmProd1</f>
        <v>Admits</v>
      </c>
      <c r="E35" s="578">
        <f>calcLOB1Prod1Seg2Patients*finPNLLOB1Seg2RevPEpisode</f>
        <v>629685</v>
      </c>
      <c r="F35" s="578">
        <f>calcLOB1Prod1Seg2Patients*finPNLLOB1Seg2RevPEpisode</f>
        <v>839580</v>
      </c>
      <c r="G35" s="578">
        <f>calcLOB1Prod1Seg2Patients*finPNLLOB1Seg2RevPEpisode</f>
        <v>449775</v>
      </c>
      <c r="H35" s="131" t="s">
        <v>4405</v>
      </c>
      <c r="I35" s="131" t="b">
        <f t="shared" si="0"/>
        <v>0</v>
      </c>
      <c r="K35" s="578">
        <f>calcR2LOB1Prod1Seg2Patients*finR2PNLLOB1Seg2RevPEpisode</f>
        <v>629685</v>
      </c>
      <c r="L35" s="578">
        <f>calcR2LOB1Prod1Seg2Patients*finR2PNLLOB1Seg2RevPEpisode</f>
        <v>839580</v>
      </c>
      <c r="M35" s="578">
        <f>calcR2LOB1Prod1Seg2Patients*finR2PNLLOB1Seg2RevPEpisode</f>
        <v>449775</v>
      </c>
      <c r="N35" s="131" t="s">
        <v>7610</v>
      </c>
      <c r="O35" s="131" t="b">
        <f t="shared" si="1"/>
        <v>0</v>
      </c>
    </row>
    <row r="36" spans="1:15" ht="10">
      <c r="A36" s="461"/>
      <c r="D36" s="83" t="str">
        <f>nmProd2</f>
        <v>Recerts</v>
      </c>
      <c r="E36" s="578">
        <f>calcLOB1Prod2Seg2Patients*finPNLLOB1Seg2RevPEpisode</f>
        <v>149925</v>
      </c>
      <c r="F36" s="578">
        <f>calcLOB1Prod2Seg2Patients*finPNLLOB1Seg2RevPEpisode</f>
        <v>209895</v>
      </c>
      <c r="G36" s="578">
        <f>calcLOB1Prod2Seg2Patients*finPNLLOB1Seg2RevPEpisode</f>
        <v>119940</v>
      </c>
      <c r="H36" s="131" t="s">
        <v>4408</v>
      </c>
      <c r="I36" s="131" t="b">
        <f t="shared" si="0"/>
        <v>0</v>
      </c>
      <c r="K36" s="578">
        <f>calcR2LOB1Prod2Seg2Patients*finR2PNLLOB1Seg2RevPEpisode</f>
        <v>149925</v>
      </c>
      <c r="L36" s="578">
        <f>calcR2LOB1Prod2Seg2Patients*finR2PNLLOB1Seg2RevPEpisode</f>
        <v>209895</v>
      </c>
      <c r="M36" s="578">
        <f>calcR2LOB1Prod2Seg2Patients*finR2PNLLOB1Seg2RevPEpisode</f>
        <v>119940</v>
      </c>
      <c r="N36" s="131" t="s">
        <v>7611</v>
      </c>
      <c r="O36" s="131" t="b">
        <f t="shared" si="1"/>
        <v>0</v>
      </c>
    </row>
    <row r="37" spans="1:15" s="170" customFormat="1" ht="1.5" customHeight="1">
      <c r="A37" s="461"/>
      <c r="B37" s="83"/>
      <c r="C37" s="476"/>
      <c r="D37" s="449"/>
      <c r="E37" s="579"/>
      <c r="F37" s="579"/>
      <c r="G37" s="579"/>
      <c r="H37" s="131"/>
      <c r="I37" s="131" t="b">
        <f t="shared" si="0"/>
        <v>1</v>
      </c>
      <c r="K37" s="579"/>
      <c r="L37" s="579"/>
      <c r="M37" s="579"/>
      <c r="N37" s="131"/>
      <c r="O37" s="131" t="b">
        <f t="shared" si="1"/>
        <v>1</v>
      </c>
    </row>
    <row r="38" spans="1:15" s="170" customFormat="1" ht="12.75" customHeight="1">
      <c r="A38" s="461"/>
      <c r="B38" s="83"/>
      <c r="C38" s="476"/>
      <c r="D38" s="482" t="str">
        <f>"Total "&amp; nmSeg2</f>
        <v>Total PPS</v>
      </c>
      <c r="E38" s="453">
        <f>SUM(E35:E37)</f>
        <v>779610</v>
      </c>
      <c r="F38" s="453">
        <f>SUM(F35:F37)</f>
        <v>1049475</v>
      </c>
      <c r="G38" s="453">
        <f>SUM(G35:G37)</f>
        <v>569715</v>
      </c>
      <c r="H38" s="131" t="s">
        <v>4409</v>
      </c>
      <c r="I38" s="131" t="b">
        <f t="shared" si="0"/>
        <v>0</v>
      </c>
      <c r="K38" s="453">
        <f>SUM(K35:K37)</f>
        <v>779610</v>
      </c>
      <c r="L38" s="453">
        <f>SUM(L35:L37)</f>
        <v>1049475</v>
      </c>
      <c r="M38" s="453">
        <f>SUM(M35:M37)</f>
        <v>569715</v>
      </c>
      <c r="N38" s="131" t="s">
        <v>7612</v>
      </c>
      <c r="O38" s="131" t="b">
        <f t="shared" si="1"/>
        <v>0</v>
      </c>
    </row>
    <row r="39" spans="1:15" ht="10">
      <c r="A39" s="461"/>
      <c r="I39" s="131" t="b">
        <f t="shared" si="0"/>
        <v>1</v>
      </c>
      <c r="O39" s="131" t="b">
        <f t="shared" si="1"/>
        <v>1</v>
      </c>
    </row>
    <row r="40" spans="1:15" ht="10">
      <c r="A40" s="461"/>
      <c r="C40" s="131" t="str">
        <f>nmSeg3 &amp; " Revenue"</f>
        <v>Other Revenue</v>
      </c>
      <c r="I40" s="131" t="b">
        <f t="shared" si="0"/>
        <v>1</v>
      </c>
      <c r="O40" s="131" t="b">
        <f t="shared" si="1"/>
        <v>1</v>
      </c>
    </row>
    <row r="41" spans="1:15" ht="10">
      <c r="A41" s="461"/>
      <c r="D41" s="83" t="str">
        <f>nmProd1</f>
        <v>Admits</v>
      </c>
      <c r="E41" s="578">
        <f>calcLOB1Prod1Seg3Patients*finPNLLOB1Seg3RevPEpisode</f>
        <v>1234140</v>
      </c>
      <c r="F41" s="578">
        <f>calcLOB1Prod1Seg3Patients*finPNLLOB1Seg3RevPEpisode</f>
        <v>1694640</v>
      </c>
      <c r="G41" s="578">
        <f>calcLOB1Prod1Seg3Patients*finPNLLOB1Seg3RevPEpisode</f>
        <v>921000</v>
      </c>
      <c r="H41" s="131" t="s">
        <v>4410</v>
      </c>
      <c r="I41" s="131" t="b">
        <f t="shared" si="0"/>
        <v>0</v>
      </c>
      <c r="K41" s="578">
        <f>calcR2LOB1Prod1Seg3Patients*finR2PNLLOB1Seg3RevPEpisode</f>
        <v>1252560</v>
      </c>
      <c r="L41" s="578">
        <f>calcR2LOB1Prod1Seg3Patients*finR2PNLLOB1Seg3RevPEpisode</f>
        <v>1694640</v>
      </c>
      <c r="M41" s="578">
        <f>calcR2LOB1Prod1Seg3Patients*finR2PNLLOB1Seg3RevPEpisode</f>
        <v>921000</v>
      </c>
      <c r="N41" s="131" t="s">
        <v>7613</v>
      </c>
      <c r="O41" s="131" t="b">
        <f t="shared" si="1"/>
        <v>0</v>
      </c>
    </row>
    <row r="42" spans="1:15" ht="10">
      <c r="A42" s="461"/>
      <c r="D42" s="83" t="str">
        <f>nmProd2</f>
        <v>Recerts</v>
      </c>
      <c r="E42" s="578">
        <f>calcLOB1Prod2Seg3Patients*finPNLLOB1Seg3RevPEpisode</f>
        <v>313140</v>
      </c>
      <c r="F42" s="578">
        <f>calcLOB1Prod2Seg3Patients*finPNLLOB1Seg3RevPEpisode</f>
        <v>423660</v>
      </c>
      <c r="G42" s="578">
        <f>calcLOB1Prod2Seg3Patients*finPNLLOB1Seg3RevPEpisode</f>
        <v>221040</v>
      </c>
      <c r="H42" s="131" t="s">
        <v>4411</v>
      </c>
      <c r="I42" s="131" t="b">
        <f t="shared" si="0"/>
        <v>0</v>
      </c>
      <c r="K42" s="578">
        <f>calcR2LOB1Prod2Seg3Patients*finR2PNLLOB1Seg3RevPEpisode</f>
        <v>313140</v>
      </c>
      <c r="L42" s="578">
        <f>calcR2LOB1Prod2Seg3Patients*finR2PNLLOB1Seg3RevPEpisode</f>
        <v>423660</v>
      </c>
      <c r="M42" s="578">
        <f>calcR2LOB1Prod2Seg3Patients*finR2PNLLOB1Seg3RevPEpisode</f>
        <v>221040</v>
      </c>
      <c r="N42" s="131" t="s">
        <v>7614</v>
      </c>
      <c r="O42" s="131" t="b">
        <f t="shared" si="1"/>
        <v>0</v>
      </c>
    </row>
    <row r="43" spans="1:15" s="170" customFormat="1" ht="1.5" customHeight="1">
      <c r="A43" s="461"/>
      <c r="B43" s="83"/>
      <c r="C43" s="476"/>
      <c r="D43" s="449"/>
      <c r="E43" s="579"/>
      <c r="F43" s="579"/>
      <c r="G43" s="579"/>
      <c r="H43" s="131"/>
      <c r="I43" s="131" t="b">
        <f t="shared" si="0"/>
        <v>1</v>
      </c>
      <c r="K43" s="579"/>
      <c r="L43" s="579"/>
      <c r="M43" s="579"/>
      <c r="N43" s="131"/>
      <c r="O43" s="131" t="b">
        <f t="shared" si="1"/>
        <v>1</v>
      </c>
    </row>
    <row r="44" spans="1:15" s="170" customFormat="1" ht="12.75" customHeight="1">
      <c r="A44" s="461"/>
      <c r="B44" s="83"/>
      <c r="C44" s="476"/>
      <c r="D44" s="482" t="str">
        <f>"Total "&amp; nmSeg3</f>
        <v>Total Other</v>
      </c>
      <c r="E44" s="453">
        <f>SUM(E41:E43)</f>
        <v>1547280</v>
      </c>
      <c r="F44" s="453">
        <f>SUM(F41:F43)</f>
        <v>2118300</v>
      </c>
      <c r="G44" s="453">
        <f>SUM(G41:G43)</f>
        <v>1142040</v>
      </c>
      <c r="H44" s="131" t="s">
        <v>4412</v>
      </c>
      <c r="I44" s="131" t="b">
        <f t="shared" si="0"/>
        <v>0</v>
      </c>
      <c r="K44" s="453">
        <f>SUM(K41:K43)</f>
        <v>1565700</v>
      </c>
      <c r="L44" s="453">
        <f>SUM(L41:L43)</f>
        <v>2118300</v>
      </c>
      <c r="M44" s="453">
        <f>SUM(M41:M43)</f>
        <v>1142040</v>
      </c>
      <c r="N44" s="131" t="s">
        <v>7615</v>
      </c>
      <c r="O44" s="131" t="b">
        <f t="shared" si="1"/>
        <v>0</v>
      </c>
    </row>
    <row r="45" spans="1:15" ht="10">
      <c r="A45" s="461"/>
      <c r="I45" s="131" t="b">
        <f t="shared" si="0"/>
        <v>1</v>
      </c>
      <c r="O45" s="131" t="b">
        <f t="shared" si="1"/>
        <v>1</v>
      </c>
    </row>
    <row r="46" spans="1:15" ht="12.75" customHeight="1">
      <c r="A46" s="461"/>
      <c r="C46" s="87" t="s">
        <v>347</v>
      </c>
      <c r="I46" s="131" t="b">
        <f t="shared" si="0"/>
        <v>1</v>
      </c>
      <c r="O46" s="131" t="b">
        <f t="shared" si="1"/>
        <v>1</v>
      </c>
    </row>
    <row r="47" spans="1:15" ht="12.75" customHeight="1">
      <c r="A47" s="461"/>
      <c r="D47" s="170" t="str">
        <f>nmSeg1</f>
        <v>Medicare</v>
      </c>
      <c r="E47" s="479">
        <f>finPNLLOB1Seg1Rev</f>
        <v>5006556</v>
      </c>
      <c r="F47" s="479">
        <f>finPNLLOB1Seg1Rev</f>
        <v>6863292</v>
      </c>
      <c r="G47" s="479">
        <f>finPNLLOB1Seg1Rev</f>
        <v>3680316</v>
      </c>
      <c r="H47" s="131"/>
      <c r="I47" s="131" t="b">
        <f t="shared" si="0"/>
        <v>0</v>
      </c>
      <c r="K47" s="479">
        <f>finR2PNLLOB1Seg1Rev</f>
        <v>5106024</v>
      </c>
      <c r="L47" s="479">
        <f>finR2PNLLOB1Seg1Rev</f>
        <v>6863292</v>
      </c>
      <c r="M47" s="479">
        <f>finR2PNLLOB1Seg1Rev</f>
        <v>3680316</v>
      </c>
      <c r="N47" s="131"/>
      <c r="O47" s="131" t="b">
        <f t="shared" si="1"/>
        <v>0</v>
      </c>
    </row>
    <row r="48" spans="1:15" ht="12.75" customHeight="1">
      <c r="A48" s="461"/>
      <c r="D48" s="170" t="str">
        <f>nmSeg2</f>
        <v>PPS</v>
      </c>
      <c r="E48" s="479">
        <f>finPNLLOB1Seg2Rev</f>
        <v>779610</v>
      </c>
      <c r="F48" s="479">
        <f>finPNLLOB1Seg2Rev</f>
        <v>1049475</v>
      </c>
      <c r="G48" s="479">
        <f>finPNLLOB1Seg2Rev</f>
        <v>569715</v>
      </c>
      <c r="H48" s="131"/>
      <c r="I48" s="131" t="b">
        <f t="shared" si="0"/>
        <v>0</v>
      </c>
      <c r="K48" s="479">
        <f>finR2PNLLOB1Seg2Rev</f>
        <v>779610</v>
      </c>
      <c r="L48" s="479">
        <f>finR2PNLLOB1Seg2Rev</f>
        <v>1049475</v>
      </c>
      <c r="M48" s="479">
        <f>finR2PNLLOB1Seg2Rev</f>
        <v>569715</v>
      </c>
      <c r="N48" s="131"/>
      <c r="O48" s="131" t="b">
        <f t="shared" si="1"/>
        <v>0</v>
      </c>
    </row>
    <row r="49" spans="1:15" ht="12.75" customHeight="1">
      <c r="A49" s="461"/>
      <c r="D49" s="170" t="str">
        <f>nmSeg3</f>
        <v>Other</v>
      </c>
      <c r="E49" s="479">
        <f>finPNLLOB1Seg3Rev</f>
        <v>1547280</v>
      </c>
      <c r="F49" s="479">
        <f>finPNLLOB1Seg3Rev</f>
        <v>2118300</v>
      </c>
      <c r="G49" s="479">
        <f>finPNLLOB1Seg3Rev</f>
        <v>1142040</v>
      </c>
      <c r="H49" s="131"/>
      <c r="I49" s="131" t="b">
        <f t="shared" si="0"/>
        <v>0</v>
      </c>
      <c r="K49" s="479">
        <f>finR2PNLLOB1Seg3Rev</f>
        <v>1565700</v>
      </c>
      <c r="L49" s="479">
        <f>finR2PNLLOB1Seg3Rev</f>
        <v>2118300</v>
      </c>
      <c r="M49" s="479">
        <f>finR2PNLLOB1Seg3Rev</f>
        <v>1142040</v>
      </c>
      <c r="N49" s="131"/>
      <c r="O49" s="131" t="b">
        <f t="shared" si="1"/>
        <v>0</v>
      </c>
    </row>
    <row r="50" spans="1:15" s="170" customFormat="1" ht="1.5" customHeight="1">
      <c r="A50" s="461"/>
      <c r="B50" s="83"/>
      <c r="C50" s="476"/>
      <c r="D50" s="449"/>
      <c r="E50" s="450"/>
      <c r="F50" s="450"/>
      <c r="G50" s="450"/>
      <c r="H50" s="131"/>
      <c r="I50" s="131" t="b">
        <f t="shared" si="0"/>
        <v>1</v>
      </c>
      <c r="K50" s="450"/>
      <c r="L50" s="450"/>
      <c r="M50" s="450"/>
      <c r="N50" s="131"/>
      <c r="O50" s="131" t="b">
        <f t="shared" si="1"/>
        <v>1</v>
      </c>
    </row>
    <row r="51" spans="1:15" s="170" customFormat="1" ht="12.75" customHeight="1">
      <c r="A51" s="461"/>
      <c r="B51" s="83"/>
      <c r="C51" s="476"/>
      <c r="D51" s="482" t="s">
        <v>406</v>
      </c>
      <c r="E51" s="448">
        <f>SUM(E47:E50)</f>
        <v>7333446</v>
      </c>
      <c r="F51" s="448">
        <f t="shared" ref="F51:G51" si="8">SUM(F47:F50)</f>
        <v>10031067</v>
      </c>
      <c r="G51" s="448">
        <f t="shared" si="8"/>
        <v>5392071</v>
      </c>
      <c r="H51" s="131" t="s">
        <v>2674</v>
      </c>
      <c r="I51" s="131" t="b">
        <f t="shared" si="0"/>
        <v>0</v>
      </c>
      <c r="K51" s="448">
        <f>SUM(K47:K50)</f>
        <v>7451334</v>
      </c>
      <c r="L51" s="448">
        <f t="shared" ref="L51:M51" si="9">SUM(L47:L50)</f>
        <v>10031067</v>
      </c>
      <c r="M51" s="448">
        <f t="shared" si="9"/>
        <v>5392071</v>
      </c>
      <c r="N51" s="131" t="s">
        <v>7616</v>
      </c>
      <c r="O51" s="131" t="b">
        <f t="shared" si="1"/>
        <v>0</v>
      </c>
    </row>
    <row r="52" spans="1:15" ht="12.75" customHeight="1">
      <c r="A52" s="461"/>
      <c r="I52" s="131" t="b">
        <f t="shared" si="0"/>
        <v>1</v>
      </c>
      <c r="O52" s="131" t="b">
        <f t="shared" si="1"/>
        <v>1</v>
      </c>
    </row>
    <row r="53" spans="1:15" ht="12.75" customHeight="1">
      <c r="A53" s="461"/>
      <c r="C53" s="87" t="s">
        <v>2675</v>
      </c>
      <c r="I53" s="131" t="b">
        <f t="shared" si="0"/>
        <v>1</v>
      </c>
      <c r="O53" s="131" t="b">
        <f t="shared" si="1"/>
        <v>1</v>
      </c>
    </row>
    <row r="54" spans="1:15" ht="12.75" customHeight="1">
      <c r="A54" s="461"/>
      <c r="D54" s="83" t="str">
        <f>nmEmp1</f>
        <v>Skilled Nursing</v>
      </c>
      <c r="E54" s="481">
        <f>(calcLOB1Emp1ActualVisits*cbalLOB1Emp1CostPVisit)*calcLOB1Emp1PercNonSalaried+(calcLOB1Clinician2Disc1Emp1NetProd*cbalLOB1Emp1CostPVisit/3)</f>
        <v>1478576.9407499996</v>
      </c>
      <c r="F54" s="481">
        <f>(calcLOB1Emp1ActualVisits*cbalLOB1Emp1CostPVisit)*calcLOB1Emp1PercNonSalaried+(calcLOB1Clinician2Disc1Emp1NetProd*cbalLOB1Emp1CostPVisit/3)</f>
        <v>2405124.9128577015</v>
      </c>
      <c r="G54" s="481">
        <f>(calcLOB1Emp1ActualVisits*cbalLOB1Emp1CostPVisit)*calcLOB1Emp1PercNonSalaried+(calcLOB1Clinician2Disc1Emp1NetProd*cbalLOB1Emp1CostPVisit/3)</f>
        <v>1430163.0098072884</v>
      </c>
      <c r="H54" s="131" t="s">
        <v>2766</v>
      </c>
      <c r="I54" s="131" t="b">
        <f t="shared" si="0"/>
        <v>0</v>
      </c>
      <c r="J54" s="490"/>
      <c r="K54" s="481">
        <f>(calcR2LOB1Emp1ActualVisits*cbalR2LOB1Emp1CostPVisit)*calcR2LOB1Emp1PercNonSalaried+(calcR2LOB1Clinician2Disc1Emp1NetProd*cbalR2LOB1Emp1CostPVisit/3)</f>
        <v>1284146.5988816808</v>
      </c>
      <c r="L54" s="481">
        <f>(calcR2LOB1Emp1ActualVisits*cbalR2LOB1Emp1CostPVisit)*calcR2LOB1Emp1PercNonSalaried+(calcR2LOB1Clinician2Disc1Emp1NetProd*cbalR2LOB1Emp1CostPVisit/3)</f>
        <v>2293854.5933648832</v>
      </c>
      <c r="M54" s="481">
        <f>(calcR2LOB1Emp1ActualVisits*cbalR2LOB1Emp1CostPVisit)*calcR2LOB1Emp1PercNonSalaried+(calcR2LOB1Clinician2Disc1Emp1NetProd*cbalR2LOB1Emp1CostPVisit/3)</f>
        <v>1315546.4836389914</v>
      </c>
      <c r="N54" s="131" t="s">
        <v>7617</v>
      </c>
      <c r="O54" s="131" t="b">
        <f t="shared" si="1"/>
        <v>0</v>
      </c>
    </row>
    <row r="55" spans="1:15" ht="12.75" customHeight="1">
      <c r="A55" s="461"/>
      <c r="D55" s="83" t="str">
        <f>nmEmp2</f>
        <v>Occupational Therapy</v>
      </c>
      <c r="E55" s="481">
        <f>calcLOB1Emp2ActualVisits*cbalLOB1Emp2CostPVisit</f>
        <v>439439.93280000013</v>
      </c>
      <c r="F55" s="481">
        <f>calcLOB1Emp2ActualVisits*cbalLOB1Emp2CostPVisit</f>
        <v>750831.87740400003</v>
      </c>
      <c r="G55" s="481">
        <f>calcLOB1Emp2ActualVisits*cbalLOB1Emp2CostPVisit</f>
        <v>483354.69820560003</v>
      </c>
      <c r="H55" s="131" t="s">
        <v>2767</v>
      </c>
      <c r="I55" s="131" t="b">
        <f t="shared" si="0"/>
        <v>0</v>
      </c>
      <c r="J55" s="490"/>
      <c r="K55" s="481">
        <f>calcR2LOB1Emp2ActualVisits*cbalR2LOB1Emp2CostPVisit</f>
        <v>382446.6112141721</v>
      </c>
      <c r="L55" s="481">
        <f>calcR2LOB1Emp2ActualVisits*cbalR2LOB1Emp2CostPVisit</f>
        <v>745996.75861426</v>
      </c>
      <c r="M55" s="481">
        <f>calcR2LOB1Emp2ActualVisits*cbalR2LOB1Emp2CostPVisit</f>
        <v>460258.12268033432</v>
      </c>
      <c r="N55" s="131" t="s">
        <v>7618</v>
      </c>
      <c r="O55" s="131" t="b">
        <f t="shared" si="1"/>
        <v>0</v>
      </c>
    </row>
    <row r="56" spans="1:15" ht="12.75" customHeight="1">
      <c r="A56" s="461"/>
      <c r="D56" s="83" t="str">
        <f>nmEmp3</f>
        <v>Physical Therapy</v>
      </c>
      <c r="E56" s="481">
        <f>calcLOB1Emp3ActualVisits*cbalLOB1Emp3CostPVisit</f>
        <v>1763106.2400000005</v>
      </c>
      <c r="F56" s="481">
        <f>calcLOB1Emp3ActualVisits*cbalLOB1Emp3CostPVisit</f>
        <v>3116783.9639999997</v>
      </c>
      <c r="G56" s="481">
        <f>calcLOB1Emp3ActualVisits*cbalLOB1Emp3CostPVisit</f>
        <v>1767798.4800000002</v>
      </c>
      <c r="H56" s="131" t="s">
        <v>2768</v>
      </c>
      <c r="I56" s="131" t="b">
        <f t="shared" si="0"/>
        <v>0</v>
      </c>
      <c r="J56" s="490"/>
      <c r="K56" s="481">
        <f>calcR2LOB1Emp3ActualVisits*cbalR2LOB1Emp3CostPVisit</f>
        <v>1530880.9541815661</v>
      </c>
      <c r="L56" s="481">
        <f>calcR2LOB1Emp3ActualVisits*cbalR2LOB1Emp3CostPVisit</f>
        <v>3101225.5967336898</v>
      </c>
      <c r="M56" s="481">
        <f>calcR2LOB1Emp3ActualVisits*cbalR2LOB1Emp3CostPVisit</f>
        <v>1684806.3640494025</v>
      </c>
      <c r="N56" s="131" t="s">
        <v>7619</v>
      </c>
      <c r="O56" s="131" t="b">
        <f t="shared" si="1"/>
        <v>0</v>
      </c>
    </row>
    <row r="57" spans="1:15" s="170" customFormat="1" ht="1.5" customHeight="1">
      <c r="A57" s="461"/>
      <c r="B57" s="83"/>
      <c r="C57" s="476"/>
      <c r="D57" s="449"/>
      <c r="E57" s="450"/>
      <c r="F57" s="450"/>
      <c r="G57" s="450"/>
      <c r="H57" s="131"/>
      <c r="I57" s="131" t="b">
        <f t="shared" si="0"/>
        <v>1</v>
      </c>
      <c r="K57" s="450"/>
      <c r="L57" s="450"/>
      <c r="M57" s="450"/>
      <c r="N57" s="131"/>
      <c r="O57" s="131" t="b">
        <f t="shared" si="1"/>
        <v>1</v>
      </c>
    </row>
    <row r="58" spans="1:15" s="170" customFormat="1" ht="12.75" customHeight="1">
      <c r="A58" s="461"/>
      <c r="B58" s="83"/>
      <c r="C58" s="476"/>
      <c r="D58" s="482" t="s">
        <v>2676</v>
      </c>
      <c r="E58" s="448">
        <f>SUM(E54:E57)</f>
        <v>3681123.1135499999</v>
      </c>
      <c r="F58" s="448">
        <f t="shared" ref="F58:G58" si="10">SUM(F54:F57)</f>
        <v>6272740.7542617014</v>
      </c>
      <c r="G58" s="448">
        <f t="shared" si="10"/>
        <v>3681316.1880128887</v>
      </c>
      <c r="H58" s="131" t="s">
        <v>2677</v>
      </c>
      <c r="I58" s="131" t="b">
        <f t="shared" si="0"/>
        <v>0</v>
      </c>
      <c r="K58" s="448">
        <f>SUM(K54:K57)</f>
        <v>3197474.164277419</v>
      </c>
      <c r="L58" s="448">
        <f t="shared" ref="L58:M58" si="11">SUM(L54:L57)</f>
        <v>6141076.9487128332</v>
      </c>
      <c r="M58" s="448">
        <f t="shared" si="11"/>
        <v>3460610.970368728</v>
      </c>
      <c r="N58" s="131" t="s">
        <v>7620</v>
      </c>
      <c r="O58" s="131" t="b">
        <f t="shared" si="1"/>
        <v>0</v>
      </c>
    </row>
    <row r="59" spans="1:15" s="170" customFormat="1" ht="12.75" customHeight="1">
      <c r="A59" s="461"/>
      <c r="B59" s="83"/>
      <c r="C59" s="476"/>
      <c r="D59" s="482" t="s">
        <v>343</v>
      </c>
      <c r="E59" s="448">
        <f>finPNLLOB1Rev-finPNLLOB1ServiceCost</f>
        <v>3652322.8864500001</v>
      </c>
      <c r="F59" s="448">
        <f>finPNLLOB1Rev-finPNLLOB1ServiceCost</f>
        <v>3758326.2457382986</v>
      </c>
      <c r="G59" s="448">
        <f>finPNLLOB1Rev-finPNLLOB1ServiceCost</f>
        <v>1710754.8119871113</v>
      </c>
      <c r="H59" s="131" t="s">
        <v>2678</v>
      </c>
      <c r="I59" s="131" t="b">
        <f t="shared" si="0"/>
        <v>0</v>
      </c>
      <c r="K59" s="448">
        <f>finR2PNLLOB1Rev-finR2PNLLOB1ServiceCost</f>
        <v>4253859.8357225806</v>
      </c>
      <c r="L59" s="448">
        <f>finR2PNLLOB1Rev-finR2PNLLOB1ServiceCost</f>
        <v>3889990.0512871668</v>
      </c>
      <c r="M59" s="448">
        <f>finR2PNLLOB1Rev-finR2PNLLOB1ServiceCost</f>
        <v>1931460.029631272</v>
      </c>
      <c r="N59" s="131" t="s">
        <v>7621</v>
      </c>
      <c r="O59" s="131" t="b">
        <f t="shared" si="1"/>
        <v>0</v>
      </c>
    </row>
    <row r="60" spans="1:15" ht="12.75" customHeight="1">
      <c r="A60" s="461"/>
      <c r="D60" s="131" t="s">
        <v>341</v>
      </c>
      <c r="E60" s="457">
        <f>finPNLLOB1GrossProfit/finPNLLOB1Rev</f>
        <v>0.49803637832064218</v>
      </c>
      <c r="F60" s="457">
        <f>finPNLLOB1GrossProfit/finPNLLOB1Rev</f>
        <v>0.37466864150526547</v>
      </c>
      <c r="G60" s="457">
        <f>finPNLLOB1GrossProfit/finPNLLOB1Rev</f>
        <v>0.31727230817010965</v>
      </c>
      <c r="H60" s="131" t="s">
        <v>4706</v>
      </c>
      <c r="I60" s="131" t="b">
        <f t="shared" si="0"/>
        <v>0</v>
      </c>
      <c r="K60" s="457">
        <f>finR2PNLLOB1GrossProfit/finR2PNLLOB1Rev</f>
        <v>0.5708856743936831</v>
      </c>
      <c r="L60" s="457">
        <f>finR2PNLLOB1GrossProfit/finR2PNLLOB1Rev</f>
        <v>0.38779424474855634</v>
      </c>
      <c r="M60" s="457">
        <f>finR2PNLLOB1GrossProfit/finR2PNLLOB1Rev</f>
        <v>0.35820374576508207</v>
      </c>
      <c r="N60" s="131" t="s">
        <v>7622</v>
      </c>
      <c r="O60" s="131" t="b">
        <f t="shared" si="1"/>
        <v>0</v>
      </c>
    </row>
    <row r="61" spans="1:15" ht="12.75" customHeight="1">
      <c r="A61" s="461"/>
      <c r="I61" s="131" t="b">
        <f t="shared" si="0"/>
        <v>1</v>
      </c>
      <c r="O61" s="131" t="b">
        <f t="shared" si="1"/>
        <v>1</v>
      </c>
    </row>
    <row r="62" spans="1:15" ht="12.75" customHeight="1">
      <c r="A62" s="461"/>
      <c r="C62" s="87" t="s">
        <v>693</v>
      </c>
      <c r="I62" s="131" t="b">
        <f t="shared" si="0"/>
        <v>1</v>
      </c>
      <c r="O62" s="131" t="b">
        <f t="shared" si="1"/>
        <v>1</v>
      </c>
    </row>
    <row r="63" spans="1:15" ht="12.75" customHeight="1">
      <c r="A63" s="461"/>
      <c r="D63" s="131" t="s">
        <v>551</v>
      </c>
      <c r="E63" s="479">
        <f>calLOB1FullEmp*cbalLOB1FullEmpOverhead</f>
        <v>2220000</v>
      </c>
      <c r="F63" s="479">
        <f>calLOB1FullEmp*cbalLOB1FullEmpOverhead</f>
        <v>2365000</v>
      </c>
      <c r="G63" s="479">
        <f>calLOB1FullEmp*cbalLOB1FullEmpOverhead</f>
        <v>1680000</v>
      </c>
      <c r="H63" s="131" t="s">
        <v>2689</v>
      </c>
      <c r="I63" s="131" t="b">
        <f t="shared" si="0"/>
        <v>0</v>
      </c>
      <c r="K63" s="479">
        <f>calcR2LOB1FullEmp*cbalR2LOB1FullEmpOverhead</f>
        <v>2220000</v>
      </c>
      <c r="L63" s="479">
        <f>calcR2LOB1FullEmp*cbalR2LOB1FullEmpOverhead</f>
        <v>2365000</v>
      </c>
      <c r="M63" s="479">
        <f>calcR2LOB1FullEmp*cbalR2LOB1FullEmpOverhead</f>
        <v>1680000</v>
      </c>
      <c r="N63" s="131" t="s">
        <v>7623</v>
      </c>
      <c r="O63" s="131" t="b">
        <f t="shared" si="1"/>
        <v>0</v>
      </c>
    </row>
    <row r="64" spans="1:15" ht="12.75" customHeight="1">
      <c r="A64" s="461"/>
      <c r="D64" s="131" t="s">
        <v>553</v>
      </c>
      <c r="E64" s="479">
        <f>calLOB1PartEmp*cbalLOB1PartEmpOverhead</f>
        <v>296000</v>
      </c>
      <c r="F64" s="479">
        <f>calLOB1PartEmp*cbalLOB1PartEmpOverhead</f>
        <v>420000</v>
      </c>
      <c r="G64" s="479">
        <f>calLOB1PartEmp*cbalLOB1PartEmpOverhead</f>
        <v>280000</v>
      </c>
      <c r="H64" s="131" t="s">
        <v>2690</v>
      </c>
      <c r="I64" s="131" t="b">
        <f t="shared" si="0"/>
        <v>0</v>
      </c>
      <c r="K64" s="479">
        <f>calcR2LOB1PartEmp*cbalR2LOB1PartEmpOverhead</f>
        <v>296000</v>
      </c>
      <c r="L64" s="479">
        <f>calcR2LOB1PartEmp*cbalR2LOB1PartEmpOverhead</f>
        <v>420000</v>
      </c>
      <c r="M64" s="479">
        <f>calcR2LOB1PartEmp*cbalR2LOB1PartEmpOverhead</f>
        <v>280000</v>
      </c>
      <c r="N64" s="131" t="s">
        <v>7624</v>
      </c>
      <c r="O64" s="131" t="b">
        <f t="shared" si="1"/>
        <v>0</v>
      </c>
    </row>
    <row r="65" spans="1:15" s="170" customFormat="1" ht="1.5" customHeight="1">
      <c r="A65" s="461"/>
      <c r="B65" s="83"/>
      <c r="C65" s="476"/>
      <c r="D65" s="449"/>
      <c r="E65" s="450"/>
      <c r="F65" s="450"/>
      <c r="G65" s="450"/>
      <c r="H65" s="131"/>
      <c r="I65" s="131" t="b">
        <f t="shared" si="0"/>
        <v>1</v>
      </c>
      <c r="J65" s="83"/>
      <c r="K65" s="450"/>
      <c r="L65" s="450"/>
      <c r="M65" s="450"/>
      <c r="N65" s="131"/>
      <c r="O65" s="131" t="b">
        <f t="shared" si="1"/>
        <v>1</v>
      </c>
    </row>
    <row r="66" spans="1:15" s="170" customFormat="1" ht="12.75" customHeight="1">
      <c r="A66" s="461"/>
      <c r="B66" s="83"/>
      <c r="C66" s="476"/>
      <c r="D66" s="482" t="s">
        <v>2688</v>
      </c>
      <c r="E66" s="448">
        <f>SUM(E63:E65)</f>
        <v>2516000</v>
      </c>
      <c r="F66" s="448">
        <f t="shared" ref="F66:G66" si="12">SUM(F63:F65)</f>
        <v>2785000</v>
      </c>
      <c r="G66" s="448">
        <f t="shared" si="12"/>
        <v>1960000</v>
      </c>
      <c r="H66" s="131" t="s">
        <v>2694</v>
      </c>
      <c r="I66" s="131" t="b">
        <f t="shared" si="0"/>
        <v>0</v>
      </c>
      <c r="J66" s="83"/>
      <c r="K66" s="448">
        <f>SUM(K63:K65)</f>
        <v>2516000</v>
      </c>
      <c r="L66" s="448">
        <f t="shared" ref="L66:M66" si="13">SUM(L63:L65)</f>
        <v>2785000</v>
      </c>
      <c r="M66" s="448">
        <f t="shared" si="13"/>
        <v>1960000</v>
      </c>
      <c r="N66" s="131" t="s">
        <v>7625</v>
      </c>
      <c r="O66" s="131" t="b">
        <f t="shared" si="1"/>
        <v>0</v>
      </c>
    </row>
    <row r="67" spans="1:15" ht="12.75" customHeight="1">
      <c r="A67" s="461"/>
      <c r="D67" s="131" t="s">
        <v>2692</v>
      </c>
      <c r="E67" s="479">
        <f>finPNLLOB1GrossProfit-finPNLLOB1EmpOverhead</f>
        <v>1136322.8864500001</v>
      </c>
      <c r="F67" s="479">
        <f>finPNLLOB1GrossProfit-finPNLLOB1EmpOverhead</f>
        <v>973326.24573829863</v>
      </c>
      <c r="G67" s="479">
        <f>finPNLLOB1GrossProfit-finPNLLOB1EmpOverhead</f>
        <v>-249245.18801288866</v>
      </c>
      <c r="H67" s="131" t="s">
        <v>2695</v>
      </c>
      <c r="I67" s="131" t="b">
        <f t="shared" si="0"/>
        <v>0</v>
      </c>
      <c r="K67" s="479">
        <f>finR2PNLLOB1GrossProfit-finR2PNLLOB1EmpOverhead</f>
        <v>1737859.8357225806</v>
      </c>
      <c r="L67" s="479">
        <f>finR2PNLLOB1GrossProfit-finR2PNLLOB1EmpOverhead</f>
        <v>1104990.0512871668</v>
      </c>
      <c r="M67" s="479">
        <f>finR2PNLLOB1GrossProfit-finR2PNLLOB1EmpOverhead</f>
        <v>-28539.970368728042</v>
      </c>
      <c r="N67" s="131" t="s">
        <v>7626</v>
      </c>
      <c r="O67" s="131" t="b">
        <f t="shared" si="1"/>
        <v>0</v>
      </c>
    </row>
    <row r="68" spans="1:15" ht="12.75" customHeight="1">
      <c r="A68" s="461"/>
      <c r="D68" s="131" t="s">
        <v>2693</v>
      </c>
      <c r="E68" s="457">
        <f>finPNLLOB1OpProfit/finPNLLOB1Rev</f>
        <v>0.15495074027271763</v>
      </c>
      <c r="F68" s="457">
        <f>finPNLLOB1OpProfit/finPNLLOB1Rev</f>
        <v>9.7031177813715994E-2</v>
      </c>
      <c r="G68" s="457">
        <f>finPNLLOB1OpProfit/finPNLLOB1Rev</f>
        <v>-4.6224389110026305E-2</v>
      </c>
      <c r="H68" s="131" t="s">
        <v>2696</v>
      </c>
      <c r="I68" s="131" t="b">
        <f t="shared" si="0"/>
        <v>0</v>
      </c>
      <c r="K68" s="457">
        <f>finR2PNLLOB1OpProfit/finR2PNLLOB1Rev</f>
        <v>0.23322801470482743</v>
      </c>
      <c r="L68" s="457">
        <f>finR2PNLLOB1OpProfit/finR2PNLLOB1Rev</f>
        <v>0.11015678105700688</v>
      </c>
      <c r="M68" s="457">
        <f>finR2PNLLOB1OpProfit/finR2PNLLOB1Rev</f>
        <v>-5.2929515150538708E-3</v>
      </c>
      <c r="N68" s="131" t="s">
        <v>7627</v>
      </c>
      <c r="O68" s="131" t="b">
        <f t="shared" si="1"/>
        <v>0</v>
      </c>
    </row>
    <row r="69" spans="1:15" ht="12.75" customHeight="1">
      <c r="I69" s="131" t="b">
        <f t="shared" si="0"/>
        <v>1</v>
      </c>
      <c r="O69" s="131" t="b">
        <f t="shared" si="1"/>
        <v>1</v>
      </c>
    </row>
    <row r="70" spans="1:15" s="85" customFormat="1" ht="10">
      <c r="B70" s="85" t="str">
        <f>nmLOB2</f>
        <v>Pleasentville</v>
      </c>
      <c r="I70" s="131" t="b">
        <f t="shared" si="0"/>
        <v>1</v>
      </c>
      <c r="O70" s="131" t="b">
        <f t="shared" si="1"/>
        <v>1</v>
      </c>
    </row>
    <row r="71" spans="1:15" ht="10">
      <c r="A71" s="478"/>
      <c r="I71" s="131" t="b">
        <f t="shared" ref="I71:I134" si="14">MAX(E71:G71)=MIN(E71:G71)</f>
        <v>1</v>
      </c>
      <c r="O71" s="131" t="b">
        <f t="shared" ref="O71:O134" si="15">MAX(K71:M71)=MIN(K71:M71)</f>
        <v>1</v>
      </c>
    </row>
    <row r="72" spans="1:15" ht="10.5">
      <c r="A72" s="478"/>
      <c r="C72" s="87" t="s">
        <v>4400</v>
      </c>
      <c r="I72" s="131" t="b">
        <f t="shared" si="14"/>
        <v>1</v>
      </c>
      <c r="O72" s="131" t="b">
        <f t="shared" si="15"/>
        <v>1</v>
      </c>
    </row>
    <row r="73" spans="1:15" ht="10">
      <c r="A73" s="478"/>
      <c r="C73" s="131" t="str">
        <f>nmSeg1</f>
        <v>Medicare</v>
      </c>
      <c r="I73" s="131" t="b">
        <f t="shared" si="14"/>
        <v>1</v>
      </c>
      <c r="O73" s="131" t="b">
        <f t="shared" si="15"/>
        <v>1</v>
      </c>
    </row>
    <row r="74" spans="1:15" ht="10">
      <c r="A74" s="478"/>
      <c r="D74" s="83" t="str">
        <f>nmEmp1</f>
        <v>Skilled Nursing</v>
      </c>
      <c r="E74" s="578">
        <f>obalLOB2Emp1Seg1RevPVisit*obalLOB2Emp1VisitPEp</f>
        <v>1581.0000000000002</v>
      </c>
      <c r="F74" s="578">
        <f>obalLOB2Emp1Seg1RevPVisit*obalLOB2Emp1VisitPEp</f>
        <v>1581.0000000000002</v>
      </c>
      <c r="G74" s="578">
        <f>obalLOB2Emp1Seg1RevPVisit*obalLOB2Emp1VisitPEp</f>
        <v>1581.0000000000002</v>
      </c>
      <c r="I74" s="131" t="b">
        <f t="shared" si="14"/>
        <v>1</v>
      </c>
      <c r="K74" s="578">
        <f>obalR2LOB2Emp1Seg1RevPVisit*obalR2LOB2Emp1VisitPEp</f>
        <v>1581.0000000000002</v>
      </c>
      <c r="L74" s="578">
        <f>obalR2LOB2Emp1Seg1RevPVisit*obalR2LOB2Emp1VisitPEp</f>
        <v>1581.0000000000002</v>
      </c>
      <c r="M74" s="578">
        <f>obalR2LOB2Emp1Seg1RevPVisit*obalR2LOB2Emp1VisitPEp</f>
        <v>1581.0000000000002</v>
      </c>
      <c r="O74" s="131" t="b">
        <f t="shared" si="15"/>
        <v>1</v>
      </c>
    </row>
    <row r="75" spans="1:15" ht="10">
      <c r="A75" s="478"/>
      <c r="D75" s="83" t="str">
        <f>nmEmp2</f>
        <v>Occupational Therapy</v>
      </c>
      <c r="E75" s="578">
        <f>obalLOB2Emp2Seg1RevPVisit*obalLOB2Emp2VisitPEp</f>
        <v>201.6</v>
      </c>
      <c r="F75" s="578">
        <f>obalLOB2Emp2Seg1RevPVisit*obalLOB2Emp2VisitPEp</f>
        <v>201.6</v>
      </c>
      <c r="G75" s="578">
        <f>obalLOB2Emp2Seg1RevPVisit*obalLOB2Emp2VisitPEp</f>
        <v>201.6</v>
      </c>
      <c r="I75" s="131" t="b">
        <f t="shared" si="14"/>
        <v>1</v>
      </c>
      <c r="K75" s="578">
        <f>obalR2LOB2Emp2Seg1RevPVisit*obalR2LOB2Emp2VisitPEp</f>
        <v>201.6</v>
      </c>
      <c r="L75" s="578">
        <f>obalR2LOB2Emp2Seg1RevPVisit*obalR2LOB2Emp2VisitPEp</f>
        <v>201.6</v>
      </c>
      <c r="M75" s="578">
        <f>obalR2LOB2Emp2Seg1RevPVisit*obalR2LOB2Emp2VisitPEp</f>
        <v>201.6</v>
      </c>
      <c r="O75" s="131" t="b">
        <f t="shared" si="15"/>
        <v>1</v>
      </c>
    </row>
    <row r="76" spans="1:15" ht="10">
      <c r="A76" s="478"/>
      <c r="D76" s="83" t="str">
        <f>nmEmp3</f>
        <v>Physical Therapy</v>
      </c>
      <c r="E76" s="578">
        <f>obalLOB2Emp3Seg1RevPVisit*obalLOB2Emp3VisitPEp</f>
        <v>680</v>
      </c>
      <c r="F76" s="578">
        <f>obalLOB2Emp3Seg1RevPVisit*obalLOB2Emp3VisitPEp</f>
        <v>680</v>
      </c>
      <c r="G76" s="578">
        <f>obalLOB2Emp3Seg1RevPVisit*obalLOB2Emp3VisitPEp</f>
        <v>680</v>
      </c>
      <c r="I76" s="131" t="b">
        <f t="shared" si="14"/>
        <v>1</v>
      </c>
      <c r="K76" s="578">
        <f>obalR2LOB2Emp3Seg1RevPVisit*obalR2LOB2Emp3VisitPEp</f>
        <v>680</v>
      </c>
      <c r="L76" s="578">
        <f>obalR2LOB2Emp3Seg1RevPVisit*obalR2LOB2Emp3VisitPEp</f>
        <v>680</v>
      </c>
      <c r="M76" s="578">
        <f>obalR2LOB2Emp3Seg1RevPVisit*obalR2LOB2Emp3VisitPEp</f>
        <v>680</v>
      </c>
      <c r="O76" s="131" t="b">
        <f t="shared" si="15"/>
        <v>1</v>
      </c>
    </row>
    <row r="77" spans="1:15" s="170" customFormat="1" ht="1.5" customHeight="1">
      <c r="A77" s="478"/>
      <c r="B77" s="83"/>
      <c r="C77" s="476"/>
      <c r="D77" s="449"/>
      <c r="E77" s="579"/>
      <c r="F77" s="579"/>
      <c r="G77" s="579"/>
      <c r="H77" s="131"/>
      <c r="I77" s="131" t="b">
        <f t="shared" si="14"/>
        <v>1</v>
      </c>
      <c r="K77" s="579"/>
      <c r="L77" s="579"/>
      <c r="M77" s="579"/>
      <c r="N77" s="131"/>
      <c r="O77" s="131" t="b">
        <f t="shared" si="15"/>
        <v>1</v>
      </c>
    </row>
    <row r="78" spans="1:15" s="170" customFormat="1" ht="12.75" customHeight="1">
      <c r="A78" s="478"/>
      <c r="B78" s="83"/>
      <c r="C78" s="476"/>
      <c r="D78" s="482" t="str">
        <f>"Total "&amp; nmSeg1</f>
        <v>Total Medicare</v>
      </c>
      <c r="E78" s="453">
        <f>SUM(E74:E77)</f>
        <v>2462.6000000000004</v>
      </c>
      <c r="F78" s="453">
        <f t="shared" ref="F78:G78" si="16">SUM(F74:F77)</f>
        <v>2462.6000000000004</v>
      </c>
      <c r="G78" s="453">
        <f t="shared" si="16"/>
        <v>2462.6000000000004</v>
      </c>
      <c r="H78" s="131" t="s">
        <v>4413</v>
      </c>
      <c r="I78" s="131" t="b">
        <f t="shared" si="14"/>
        <v>1</v>
      </c>
      <c r="K78" s="453">
        <f>SUM(K74:K77)</f>
        <v>2462.6000000000004</v>
      </c>
      <c r="L78" s="453">
        <f t="shared" ref="L78:M78" si="17">SUM(L74:L77)</f>
        <v>2462.6000000000004</v>
      </c>
      <c r="M78" s="453">
        <f t="shared" si="17"/>
        <v>2462.6000000000004</v>
      </c>
      <c r="N78" s="131" t="s">
        <v>7628</v>
      </c>
      <c r="O78" s="131" t="b">
        <f t="shared" si="15"/>
        <v>1</v>
      </c>
    </row>
    <row r="79" spans="1:15" ht="10">
      <c r="A79" s="478"/>
      <c r="I79" s="131" t="b">
        <f t="shared" si="14"/>
        <v>1</v>
      </c>
      <c r="O79" s="131" t="b">
        <f t="shared" si="15"/>
        <v>1</v>
      </c>
    </row>
    <row r="80" spans="1:15" ht="10">
      <c r="A80" s="478"/>
      <c r="C80" s="131" t="str">
        <f>nmSeg2</f>
        <v>PPS</v>
      </c>
      <c r="I80" s="131" t="b">
        <f t="shared" si="14"/>
        <v>1</v>
      </c>
      <c r="O80" s="131" t="b">
        <f t="shared" si="15"/>
        <v>1</v>
      </c>
    </row>
    <row r="81" spans="1:15" ht="10">
      <c r="A81" s="478"/>
      <c r="D81" s="83" t="str">
        <f>nmEmp1</f>
        <v>Skilled Nursing</v>
      </c>
      <c r="E81" s="578">
        <f>obalLOB2Emp1Seg2RevPVisit*obalLOB2Emp1VisitPEp</f>
        <v>1395</v>
      </c>
      <c r="F81" s="578">
        <f>obalLOB2Emp1Seg2RevPVisit*obalLOB2Emp1VisitPEp</f>
        <v>1395</v>
      </c>
      <c r="G81" s="578">
        <f>obalLOB2Emp1Seg2RevPVisit*obalLOB2Emp1VisitPEp</f>
        <v>1395</v>
      </c>
      <c r="I81" s="131" t="b">
        <f t="shared" si="14"/>
        <v>1</v>
      </c>
      <c r="K81" s="578">
        <f>obalR2LOB2Emp1Seg2RevPVisit*obalR2LOB2Emp1VisitPEp</f>
        <v>1395</v>
      </c>
      <c r="L81" s="578">
        <f>obalR2LOB2Emp1Seg2RevPVisit*obalR2LOB2Emp1VisitPEp</f>
        <v>1395</v>
      </c>
      <c r="M81" s="578">
        <f>obalR2LOB2Emp1Seg2RevPVisit*obalR2LOB2Emp1VisitPEp</f>
        <v>1395</v>
      </c>
      <c r="O81" s="131" t="b">
        <f t="shared" si="15"/>
        <v>1</v>
      </c>
    </row>
    <row r="82" spans="1:15" ht="10">
      <c r="A82" s="478"/>
      <c r="D82" s="83" t="str">
        <f>nmEmp2</f>
        <v>Occupational Therapy</v>
      </c>
      <c r="E82" s="578">
        <f>obalLOB2Emp2Seg2RevPVisit*obalLOB2Emp2VisitPEp</f>
        <v>182.4</v>
      </c>
      <c r="F82" s="578">
        <f>obalLOB2Emp2Seg2RevPVisit*obalLOB2Emp2VisitPEp</f>
        <v>182.4</v>
      </c>
      <c r="G82" s="578">
        <f>obalLOB2Emp2Seg2RevPVisit*obalLOB2Emp2VisitPEp</f>
        <v>182.4</v>
      </c>
      <c r="I82" s="131" t="b">
        <f t="shared" si="14"/>
        <v>1</v>
      </c>
      <c r="K82" s="578">
        <f>obalR2LOB2Emp2Seg2RevPVisit*obalR2LOB2Emp2VisitPEp</f>
        <v>182.4</v>
      </c>
      <c r="L82" s="578">
        <f>obalR2LOB2Emp2Seg2RevPVisit*obalR2LOB2Emp2VisitPEp</f>
        <v>182.4</v>
      </c>
      <c r="M82" s="578">
        <f>obalR2LOB2Emp2Seg2RevPVisit*obalR2LOB2Emp2VisitPEp</f>
        <v>182.4</v>
      </c>
      <c r="O82" s="131" t="b">
        <f t="shared" si="15"/>
        <v>1</v>
      </c>
    </row>
    <row r="83" spans="1:15" ht="10">
      <c r="A83" s="478"/>
      <c r="D83" s="83" t="str">
        <f>nmEmp3</f>
        <v>Physical Therapy</v>
      </c>
      <c r="E83" s="578">
        <f>obalLOB2Emp3Seg2RevPVisit*obalLOB2Emp3VisitPEp</f>
        <v>620</v>
      </c>
      <c r="F83" s="578">
        <f>obalLOB2Emp3Seg2RevPVisit*obalLOB2Emp3VisitPEp</f>
        <v>620</v>
      </c>
      <c r="G83" s="578">
        <f>obalLOB2Emp3Seg2RevPVisit*obalLOB2Emp3VisitPEp</f>
        <v>620</v>
      </c>
      <c r="I83" s="131" t="b">
        <f t="shared" si="14"/>
        <v>1</v>
      </c>
      <c r="K83" s="578">
        <f>obalR2LOB2Emp3Seg2RevPVisit*obalR2LOB2Emp3VisitPEp</f>
        <v>620</v>
      </c>
      <c r="L83" s="578">
        <f>obalR2LOB2Emp3Seg2RevPVisit*obalR2LOB2Emp3VisitPEp</f>
        <v>620</v>
      </c>
      <c r="M83" s="578">
        <f>obalR2LOB2Emp3Seg2RevPVisit*obalR2LOB2Emp3VisitPEp</f>
        <v>620</v>
      </c>
      <c r="O83" s="131" t="b">
        <f t="shared" si="15"/>
        <v>1</v>
      </c>
    </row>
    <row r="84" spans="1:15" s="170" customFormat="1" ht="1.5" customHeight="1">
      <c r="A84" s="478"/>
      <c r="B84" s="83"/>
      <c r="C84" s="476"/>
      <c r="D84" s="449"/>
      <c r="E84" s="579"/>
      <c r="F84" s="579"/>
      <c r="G84" s="579"/>
      <c r="H84" s="131"/>
      <c r="I84" s="131" t="b">
        <f t="shared" si="14"/>
        <v>1</v>
      </c>
      <c r="K84" s="579"/>
      <c r="L84" s="579"/>
      <c r="M84" s="579"/>
      <c r="N84" s="131"/>
      <c r="O84" s="131" t="b">
        <f t="shared" si="15"/>
        <v>1</v>
      </c>
    </row>
    <row r="85" spans="1:15" s="170" customFormat="1" ht="12.75" customHeight="1">
      <c r="A85" s="478"/>
      <c r="B85" s="83"/>
      <c r="C85" s="476"/>
      <c r="D85" s="482" t="str">
        <f>"Total "&amp; nmSeg2</f>
        <v>Total PPS</v>
      </c>
      <c r="E85" s="453">
        <f>SUM(E81:E84)</f>
        <v>2197.4</v>
      </c>
      <c r="F85" s="453">
        <f t="shared" ref="F85:G85" si="18">SUM(F81:F84)</f>
        <v>2197.4</v>
      </c>
      <c r="G85" s="453">
        <f t="shared" si="18"/>
        <v>2197.4</v>
      </c>
      <c r="H85" s="131" t="s">
        <v>4414</v>
      </c>
      <c r="I85" s="131" t="b">
        <f t="shared" si="14"/>
        <v>1</v>
      </c>
      <c r="K85" s="453">
        <f>SUM(K81:K84)</f>
        <v>2197.4</v>
      </c>
      <c r="L85" s="453">
        <f t="shared" ref="L85:M85" si="19">SUM(L81:L84)</f>
        <v>2197.4</v>
      </c>
      <c r="M85" s="453">
        <f t="shared" si="19"/>
        <v>2197.4</v>
      </c>
      <c r="N85" s="131" t="s">
        <v>7629</v>
      </c>
      <c r="O85" s="131" t="b">
        <f t="shared" si="15"/>
        <v>1</v>
      </c>
    </row>
    <row r="86" spans="1:15" ht="10">
      <c r="A86" s="478"/>
      <c r="I86" s="131" t="b">
        <f t="shared" si="14"/>
        <v>1</v>
      </c>
      <c r="O86" s="131" t="b">
        <f t="shared" si="15"/>
        <v>1</v>
      </c>
    </row>
    <row r="87" spans="1:15" ht="10">
      <c r="A87" s="478"/>
      <c r="C87" s="131" t="str">
        <f>nmSeg3</f>
        <v>Other</v>
      </c>
      <c r="I87" s="131" t="b">
        <f t="shared" si="14"/>
        <v>1</v>
      </c>
      <c r="O87" s="131" t="b">
        <f t="shared" si="15"/>
        <v>1</v>
      </c>
    </row>
    <row r="88" spans="1:15" ht="10">
      <c r="A88" s="478"/>
      <c r="D88" s="83" t="str">
        <f>nmEmp1</f>
        <v>Skilled Nursing</v>
      </c>
      <c r="E88" s="578">
        <f>obalLOB2Emp1Seg3RevPVisit*obalLOB2Emp1VisitPEp</f>
        <v>883.50000000000011</v>
      </c>
      <c r="F88" s="578">
        <f>obalLOB2Emp1Seg3RevPVisit*obalLOB2Emp1VisitPEp</f>
        <v>883.50000000000011</v>
      </c>
      <c r="G88" s="578">
        <f>obalLOB2Emp1Seg3RevPVisit*obalLOB2Emp1VisitPEp</f>
        <v>883.50000000000011</v>
      </c>
      <c r="I88" s="131" t="b">
        <f t="shared" si="14"/>
        <v>1</v>
      </c>
      <c r="K88" s="578">
        <f>obalR2LOB2Emp1Seg3RevPVisit*obalR2LOB2Emp1VisitPEp</f>
        <v>883.50000000000011</v>
      </c>
      <c r="L88" s="578">
        <f>obalR2LOB2Emp1Seg3RevPVisit*obalR2LOB2Emp1VisitPEp</f>
        <v>883.50000000000011</v>
      </c>
      <c r="M88" s="578">
        <f>obalR2LOB2Emp1Seg3RevPVisit*obalR2LOB2Emp1VisitPEp</f>
        <v>883.50000000000011</v>
      </c>
      <c r="O88" s="131" t="b">
        <f t="shared" si="15"/>
        <v>1</v>
      </c>
    </row>
    <row r="89" spans="1:15" ht="10">
      <c r="A89" s="478"/>
      <c r="D89" s="83" t="str">
        <f>nmEmp2</f>
        <v>Occupational Therapy</v>
      </c>
      <c r="E89" s="578">
        <f>obalLOB2Emp2Seg3RevPVisit*obalLOB2Emp2VisitPEp</f>
        <v>114</v>
      </c>
      <c r="F89" s="578">
        <f>obalLOB2Emp2Seg3RevPVisit*obalLOB2Emp2VisitPEp</f>
        <v>114</v>
      </c>
      <c r="G89" s="578">
        <f>obalLOB2Emp2Seg3RevPVisit*obalLOB2Emp2VisitPEp</f>
        <v>114</v>
      </c>
      <c r="I89" s="131" t="b">
        <f t="shared" si="14"/>
        <v>1</v>
      </c>
      <c r="K89" s="578">
        <f>obalR2LOB2Emp2Seg3RevPVisit*obalR2LOB2Emp2VisitPEp</f>
        <v>114</v>
      </c>
      <c r="L89" s="578">
        <f>obalR2LOB2Emp2Seg3RevPVisit*obalR2LOB2Emp2VisitPEp</f>
        <v>114</v>
      </c>
      <c r="M89" s="578">
        <f>obalR2LOB2Emp2Seg3RevPVisit*obalR2LOB2Emp2VisitPEp</f>
        <v>114</v>
      </c>
      <c r="O89" s="131" t="b">
        <f t="shared" si="15"/>
        <v>1</v>
      </c>
    </row>
    <row r="90" spans="1:15" ht="10">
      <c r="A90" s="478"/>
      <c r="D90" s="83" t="str">
        <f>nmEmp3</f>
        <v>Physical Therapy</v>
      </c>
      <c r="E90" s="578">
        <f>obalLOB2Emp3Seg3RevPVisit*obalLOB2Emp3VisitPEp</f>
        <v>380</v>
      </c>
      <c r="F90" s="578">
        <f>obalLOB2Emp3Seg3RevPVisit*obalLOB2Emp3VisitPEp</f>
        <v>380</v>
      </c>
      <c r="G90" s="578">
        <f>obalLOB2Emp3Seg3RevPVisit*obalLOB2Emp3VisitPEp</f>
        <v>380</v>
      </c>
      <c r="I90" s="131" t="b">
        <f t="shared" si="14"/>
        <v>1</v>
      </c>
      <c r="K90" s="578">
        <f>obalR2LOB2Emp3Seg3RevPVisit*obalR2LOB2Emp3VisitPEp</f>
        <v>380</v>
      </c>
      <c r="L90" s="578">
        <f>obalR2LOB2Emp3Seg3RevPVisit*obalR2LOB2Emp3VisitPEp</f>
        <v>380</v>
      </c>
      <c r="M90" s="578">
        <f>obalR2LOB2Emp3Seg3RevPVisit*obalR2LOB2Emp3VisitPEp</f>
        <v>380</v>
      </c>
      <c r="O90" s="131" t="b">
        <f t="shared" si="15"/>
        <v>1</v>
      </c>
    </row>
    <row r="91" spans="1:15" s="170" customFormat="1" ht="1.5" customHeight="1">
      <c r="A91" s="478"/>
      <c r="B91" s="83"/>
      <c r="C91" s="476"/>
      <c r="D91" s="449"/>
      <c r="E91" s="579"/>
      <c r="F91" s="579"/>
      <c r="G91" s="579"/>
      <c r="H91" s="131"/>
      <c r="I91" s="131" t="b">
        <f t="shared" si="14"/>
        <v>1</v>
      </c>
      <c r="K91" s="579"/>
      <c r="L91" s="579"/>
      <c r="M91" s="579"/>
      <c r="N91" s="131"/>
      <c r="O91" s="131" t="b">
        <f t="shared" si="15"/>
        <v>1</v>
      </c>
    </row>
    <row r="92" spans="1:15" s="170" customFormat="1" ht="12.75" customHeight="1">
      <c r="A92" s="478"/>
      <c r="B92" s="83"/>
      <c r="C92" s="476"/>
      <c r="D92" s="482" t="str">
        <f>"Total "&amp; nmSeg3</f>
        <v>Total Other</v>
      </c>
      <c r="E92" s="453">
        <f>SUM(E88:E91)</f>
        <v>1377.5</v>
      </c>
      <c r="F92" s="453">
        <f t="shared" ref="F92:G92" si="20">SUM(F88:F91)</f>
        <v>1377.5</v>
      </c>
      <c r="G92" s="453">
        <f t="shared" si="20"/>
        <v>1377.5</v>
      </c>
      <c r="H92" s="131" t="s">
        <v>4415</v>
      </c>
      <c r="I92" s="131" t="b">
        <f t="shared" si="14"/>
        <v>1</v>
      </c>
      <c r="K92" s="453">
        <f>SUM(K88:K91)</f>
        <v>1377.5</v>
      </c>
      <c r="L92" s="453">
        <f t="shared" ref="L92:M92" si="21">SUM(L88:L91)</f>
        <v>1377.5</v>
      </c>
      <c r="M92" s="453">
        <f t="shared" si="21"/>
        <v>1377.5</v>
      </c>
      <c r="N92" s="131" t="s">
        <v>7630</v>
      </c>
      <c r="O92" s="131" t="b">
        <f t="shared" si="15"/>
        <v>1</v>
      </c>
    </row>
    <row r="93" spans="1:15" ht="10">
      <c r="A93" s="478"/>
      <c r="I93" s="131" t="b">
        <f t="shared" si="14"/>
        <v>1</v>
      </c>
      <c r="O93" s="131" t="b">
        <f t="shared" si="15"/>
        <v>1</v>
      </c>
    </row>
    <row r="94" spans="1:15" ht="10.5">
      <c r="A94" s="478"/>
      <c r="C94" s="87" t="s">
        <v>347</v>
      </c>
      <c r="I94" s="131" t="b">
        <f t="shared" si="14"/>
        <v>1</v>
      </c>
      <c r="O94" s="131" t="b">
        <f t="shared" si="15"/>
        <v>1</v>
      </c>
    </row>
    <row r="95" spans="1:15" ht="10">
      <c r="A95" s="478"/>
      <c r="C95" s="131" t="str">
        <f>nmSeg1 &amp; " Revenue"</f>
        <v>Medicare Revenue</v>
      </c>
      <c r="I95" s="131" t="b">
        <f t="shared" si="14"/>
        <v>1</v>
      </c>
      <c r="O95" s="131" t="b">
        <f t="shared" si="15"/>
        <v>1</v>
      </c>
    </row>
    <row r="96" spans="1:15" ht="10">
      <c r="A96" s="478"/>
      <c r="D96" s="83" t="str">
        <f>nmProd1</f>
        <v>Admits</v>
      </c>
      <c r="E96" s="578">
        <f>calcLOB2Prod1Seg1Patients*finPNLLOB2Seg1RevPEpisode</f>
        <v>3959860.8000000007</v>
      </c>
      <c r="F96" s="578">
        <f>calcLOB2Prod1Seg1Patients*finPNLLOB2Seg1RevPEpisode</f>
        <v>2955120.0000000005</v>
      </c>
      <c r="G96" s="578">
        <f>calcLOB2Prod1Seg1Patients*finPNLLOB2Seg1RevPEpisode</f>
        <v>5910240.0000000009</v>
      </c>
      <c r="H96" s="131" t="s">
        <v>4416</v>
      </c>
      <c r="I96" s="131" t="b">
        <f t="shared" si="14"/>
        <v>0</v>
      </c>
      <c r="K96" s="578">
        <f>calcR2LOB2Prod1Seg1Patients*finR2PNLLOB2Seg1RevPEpisode</f>
        <v>4078065.6000000006</v>
      </c>
      <c r="L96" s="578">
        <f>calcR2LOB2Prod1Seg1Patients*finR2PNLLOB2Seg1RevPEpisode</f>
        <v>2955120.0000000005</v>
      </c>
      <c r="M96" s="578">
        <f>calcR2LOB2Prod1Seg1Patients*finR2PNLLOB2Seg1RevPEpisode</f>
        <v>5910240.0000000009</v>
      </c>
      <c r="N96" s="131" t="s">
        <v>7631</v>
      </c>
      <c r="O96" s="131" t="b">
        <f t="shared" si="15"/>
        <v>0</v>
      </c>
    </row>
    <row r="97" spans="1:15" ht="10">
      <c r="A97" s="478"/>
      <c r="D97" s="83" t="str">
        <f>nmProd2</f>
        <v>Recerts</v>
      </c>
      <c r="E97" s="578">
        <f>calcLOB2Prod2Seg1Patients*finPNLLOB2Seg1RevPEpisode</f>
        <v>1182048.0000000002</v>
      </c>
      <c r="F97" s="578">
        <f>calcLOB2Prod2Seg1Patients*finPNLLOB2Seg1RevPEpisode</f>
        <v>886536.00000000012</v>
      </c>
      <c r="G97" s="578">
        <f>calcLOB2Prod2Seg1Patients*finPNLLOB2Seg1RevPEpisode</f>
        <v>1773072.0000000002</v>
      </c>
      <c r="H97" s="131" t="s">
        <v>4417</v>
      </c>
      <c r="I97" s="131" t="b">
        <f t="shared" si="14"/>
        <v>0</v>
      </c>
      <c r="K97" s="578">
        <f>calcR2LOB2Prod2Seg1Patients*finR2PNLLOB2Seg1RevPEpisode</f>
        <v>1241150.4000000001</v>
      </c>
      <c r="L97" s="578">
        <f>calcR2LOB2Prod2Seg1Patients*finR2PNLLOB2Seg1RevPEpisode</f>
        <v>886536.00000000012</v>
      </c>
      <c r="M97" s="578">
        <f>calcR2LOB2Prod2Seg1Patients*finR2PNLLOB2Seg1RevPEpisode</f>
        <v>1773072.0000000002</v>
      </c>
      <c r="N97" s="131" t="s">
        <v>7632</v>
      </c>
      <c r="O97" s="131" t="b">
        <f t="shared" si="15"/>
        <v>0</v>
      </c>
    </row>
    <row r="98" spans="1:15" s="170" customFormat="1" ht="1.5" customHeight="1">
      <c r="A98" s="478"/>
      <c r="B98" s="83"/>
      <c r="C98" s="476"/>
      <c r="D98" s="449"/>
      <c r="E98" s="579"/>
      <c r="F98" s="579"/>
      <c r="G98" s="579"/>
      <c r="H98" s="131"/>
      <c r="I98" s="131" t="b">
        <f t="shared" si="14"/>
        <v>1</v>
      </c>
      <c r="K98" s="579"/>
      <c r="L98" s="579"/>
      <c r="M98" s="579"/>
      <c r="N98" s="131"/>
      <c r="O98" s="131" t="b">
        <f t="shared" si="15"/>
        <v>1</v>
      </c>
    </row>
    <row r="99" spans="1:15" s="170" customFormat="1" ht="12.75" customHeight="1">
      <c r="A99" s="478"/>
      <c r="B99" s="83"/>
      <c r="C99" s="476"/>
      <c r="D99" s="482" t="str">
        <f>"Total "&amp; nmSeg1</f>
        <v>Total Medicare</v>
      </c>
      <c r="E99" s="453">
        <f>SUM(E96:E98)</f>
        <v>5141908.8000000007</v>
      </c>
      <c r="F99" s="453">
        <f>SUM(F96:F98)</f>
        <v>3841656.0000000005</v>
      </c>
      <c r="G99" s="453">
        <f>SUM(G96:G98)</f>
        <v>7683312.0000000009</v>
      </c>
      <c r="H99" s="131" t="s">
        <v>4418</v>
      </c>
      <c r="I99" s="131" t="b">
        <f t="shared" si="14"/>
        <v>0</v>
      </c>
      <c r="K99" s="453">
        <f>SUM(K96:K98)</f>
        <v>5319216.0000000009</v>
      </c>
      <c r="L99" s="453">
        <f>SUM(L96:L98)</f>
        <v>3841656.0000000005</v>
      </c>
      <c r="M99" s="453">
        <f>SUM(M96:M98)</f>
        <v>7683312.0000000009</v>
      </c>
      <c r="N99" s="131" t="s">
        <v>7633</v>
      </c>
      <c r="O99" s="131" t="b">
        <f t="shared" si="15"/>
        <v>0</v>
      </c>
    </row>
    <row r="100" spans="1:15" ht="10">
      <c r="A100" s="478"/>
      <c r="I100" s="131" t="b">
        <f t="shared" si="14"/>
        <v>1</v>
      </c>
      <c r="O100" s="131" t="b">
        <f t="shared" si="15"/>
        <v>1</v>
      </c>
    </row>
    <row r="101" spans="1:15" ht="10">
      <c r="A101" s="478"/>
      <c r="C101" s="131" t="str">
        <f>nmSeg2 &amp; " Revenue"</f>
        <v>PPS Revenue</v>
      </c>
      <c r="I101" s="131" t="b">
        <f t="shared" si="14"/>
        <v>1</v>
      </c>
      <c r="O101" s="131" t="b">
        <f t="shared" si="15"/>
        <v>1</v>
      </c>
    </row>
    <row r="102" spans="1:15" ht="10">
      <c r="A102" s="478"/>
      <c r="D102" s="83" t="str">
        <f>nmProd1</f>
        <v>Admits</v>
      </c>
      <c r="E102" s="578">
        <f>calcLOB2Prod1Seg2Patients*finPNLLOB2Seg2RevPEpisode</f>
        <v>184581.6</v>
      </c>
      <c r="F102" s="578">
        <f>calcLOB2Prod1Seg2Patients*finPNLLOB2Seg2RevPEpisode</f>
        <v>210950.40000000002</v>
      </c>
      <c r="G102" s="578">
        <f>calcLOB2Prod1Seg2Patients*finPNLLOB2Seg2RevPEpisode</f>
        <v>263688</v>
      </c>
      <c r="H102" s="131" t="s">
        <v>4419</v>
      </c>
      <c r="I102" s="131" t="b">
        <f t="shared" si="14"/>
        <v>0</v>
      </c>
      <c r="K102" s="578">
        <f>calcR2LOB2Prod1Seg2Patients*finR2PNLLOB2Seg2RevPEpisode</f>
        <v>210950.40000000002</v>
      </c>
      <c r="L102" s="578">
        <f>calcR2LOB2Prod1Seg2Patients*finR2PNLLOB2Seg2RevPEpisode</f>
        <v>210950.40000000002</v>
      </c>
      <c r="M102" s="578">
        <f>calcR2LOB2Prod1Seg2Patients*finR2PNLLOB2Seg2RevPEpisode</f>
        <v>263688</v>
      </c>
      <c r="N102" s="131" t="s">
        <v>7634</v>
      </c>
      <c r="O102" s="131" t="b">
        <f t="shared" si="15"/>
        <v>0</v>
      </c>
    </row>
    <row r="103" spans="1:15" ht="10">
      <c r="A103" s="478"/>
      <c r="D103" s="83" t="str">
        <f>nmProd2</f>
        <v>Recerts</v>
      </c>
      <c r="E103" s="578">
        <f>calcLOB2Prod2Seg2Patients*finPNLLOB2Seg2RevPEpisode</f>
        <v>52737.600000000006</v>
      </c>
      <c r="F103" s="578">
        <f>calcLOB2Prod2Seg2Patients*finPNLLOB2Seg2RevPEpisode</f>
        <v>52737.600000000006</v>
      </c>
      <c r="G103" s="578">
        <f>calcLOB2Prod2Seg2Patients*finPNLLOB2Seg2RevPEpisode</f>
        <v>131844</v>
      </c>
      <c r="H103" s="131" t="s">
        <v>4420</v>
      </c>
      <c r="I103" s="131" t="b">
        <f t="shared" si="14"/>
        <v>0</v>
      </c>
      <c r="K103" s="578">
        <f>calcR2LOB2Prod2Seg2Patients*finR2PNLLOB2Seg2RevPEpisode</f>
        <v>52737.600000000006</v>
      </c>
      <c r="L103" s="578">
        <f>calcR2LOB2Prod2Seg2Patients*finR2PNLLOB2Seg2RevPEpisode</f>
        <v>52737.600000000006</v>
      </c>
      <c r="M103" s="578">
        <f>calcR2LOB2Prod2Seg2Patients*finR2PNLLOB2Seg2RevPEpisode</f>
        <v>131844</v>
      </c>
      <c r="N103" s="131" t="s">
        <v>7635</v>
      </c>
      <c r="O103" s="131" t="b">
        <f t="shared" si="15"/>
        <v>0</v>
      </c>
    </row>
    <row r="104" spans="1:15" s="170" customFormat="1" ht="1.5" customHeight="1">
      <c r="A104" s="478"/>
      <c r="B104" s="83"/>
      <c r="C104" s="476"/>
      <c r="D104" s="449"/>
      <c r="E104" s="579"/>
      <c r="F104" s="579"/>
      <c r="G104" s="579"/>
      <c r="H104" s="131"/>
      <c r="I104" s="131" t="b">
        <f t="shared" si="14"/>
        <v>1</v>
      </c>
      <c r="K104" s="579"/>
      <c r="L104" s="579"/>
      <c r="M104" s="579"/>
      <c r="N104" s="131"/>
      <c r="O104" s="131" t="b">
        <f t="shared" si="15"/>
        <v>1</v>
      </c>
    </row>
    <row r="105" spans="1:15" s="170" customFormat="1" ht="12.75" customHeight="1">
      <c r="A105" s="478"/>
      <c r="B105" s="83"/>
      <c r="C105" s="476"/>
      <c r="D105" s="482" t="str">
        <f>"Total "&amp; nmSeg2</f>
        <v>Total PPS</v>
      </c>
      <c r="E105" s="453">
        <f>SUM(E102:E104)</f>
        <v>237319.2</v>
      </c>
      <c r="F105" s="453">
        <f>SUM(F102:F104)</f>
        <v>263688</v>
      </c>
      <c r="G105" s="453">
        <f>SUM(G102:G104)</f>
        <v>395532</v>
      </c>
      <c r="H105" s="131" t="s">
        <v>4421</v>
      </c>
      <c r="I105" s="131" t="b">
        <f t="shared" si="14"/>
        <v>0</v>
      </c>
      <c r="K105" s="453">
        <f>SUM(K102:K104)</f>
        <v>263688</v>
      </c>
      <c r="L105" s="453">
        <f>SUM(L102:L104)</f>
        <v>263688</v>
      </c>
      <c r="M105" s="453">
        <f>SUM(M102:M104)</f>
        <v>395532</v>
      </c>
      <c r="N105" s="131" t="s">
        <v>7636</v>
      </c>
      <c r="O105" s="131" t="b">
        <f t="shared" si="15"/>
        <v>0</v>
      </c>
    </row>
    <row r="106" spans="1:15" ht="10">
      <c r="A106" s="478"/>
      <c r="I106" s="131" t="b">
        <f t="shared" si="14"/>
        <v>1</v>
      </c>
      <c r="O106" s="131" t="b">
        <f t="shared" si="15"/>
        <v>1</v>
      </c>
    </row>
    <row r="107" spans="1:15" ht="10">
      <c r="A107" s="478"/>
      <c r="C107" s="131" t="str">
        <f>nmSeg3 &amp; " Revenue"</f>
        <v>Other Revenue</v>
      </c>
      <c r="I107" s="131" t="b">
        <f t="shared" si="14"/>
        <v>1</v>
      </c>
      <c r="O107" s="131" t="b">
        <f t="shared" si="15"/>
        <v>1</v>
      </c>
    </row>
    <row r="108" spans="1:15" ht="10">
      <c r="A108" s="478"/>
      <c r="D108" s="83" t="str">
        <f>nmProd1</f>
        <v>Admits</v>
      </c>
      <c r="E108" s="578">
        <f>calcLOB2Prod1Seg3Patients*finPNLLOB2Seg3RevPEpisode</f>
        <v>66120</v>
      </c>
      <c r="F108" s="578">
        <f>calcLOB2Prod1Seg3Patients*finPNLLOB2Seg3RevPEpisode</f>
        <v>49590</v>
      </c>
      <c r="G108" s="578">
        <f>calcLOB2Prod1Seg3Patients*finPNLLOB2Seg3RevPEpisode</f>
        <v>132240</v>
      </c>
      <c r="H108" s="131" t="s">
        <v>4422</v>
      </c>
      <c r="I108" s="131" t="b">
        <f t="shared" si="14"/>
        <v>0</v>
      </c>
      <c r="K108" s="578">
        <f>calcR2LOB2Prod1Seg3Patients*finR2PNLLOB2Seg3RevPEpisode</f>
        <v>82650</v>
      </c>
      <c r="L108" s="578">
        <f>calcR2LOB2Prod1Seg3Patients*finR2PNLLOB2Seg3RevPEpisode</f>
        <v>49590</v>
      </c>
      <c r="M108" s="578">
        <f>calcR2LOB2Prod1Seg3Patients*finR2PNLLOB2Seg3RevPEpisode</f>
        <v>132240</v>
      </c>
      <c r="N108" s="131" t="s">
        <v>7637</v>
      </c>
      <c r="O108" s="131" t="b">
        <f t="shared" si="15"/>
        <v>0</v>
      </c>
    </row>
    <row r="109" spans="1:15" ht="10">
      <c r="A109" s="478"/>
      <c r="D109" s="83" t="str">
        <f>nmProd2</f>
        <v>Recerts</v>
      </c>
      <c r="E109" s="578">
        <f>calcLOB2Prod2Seg3Patients*finPNLLOB2Seg3RevPEpisode</f>
        <v>16530</v>
      </c>
      <c r="F109" s="578">
        <f>calcLOB2Prod2Seg3Patients*finPNLLOB2Seg3RevPEpisode</f>
        <v>16530</v>
      </c>
      <c r="G109" s="578">
        <f>calcLOB2Prod2Seg3Patients*finPNLLOB2Seg3RevPEpisode</f>
        <v>66120</v>
      </c>
      <c r="H109" s="131" t="s">
        <v>4423</v>
      </c>
      <c r="I109" s="131" t="b">
        <f t="shared" si="14"/>
        <v>0</v>
      </c>
      <c r="K109" s="578">
        <f>calcR2LOB2Prod2Seg3Patients*finR2PNLLOB2Seg3RevPEpisode</f>
        <v>16530</v>
      </c>
      <c r="L109" s="578">
        <f>calcR2LOB2Prod2Seg3Patients*finR2PNLLOB2Seg3RevPEpisode</f>
        <v>16530</v>
      </c>
      <c r="M109" s="578">
        <f>calcR2LOB2Prod2Seg3Patients*finR2PNLLOB2Seg3RevPEpisode</f>
        <v>66120</v>
      </c>
      <c r="N109" s="131" t="s">
        <v>7638</v>
      </c>
      <c r="O109" s="131" t="b">
        <f t="shared" si="15"/>
        <v>0</v>
      </c>
    </row>
    <row r="110" spans="1:15" s="170" customFormat="1" ht="1.5" customHeight="1">
      <c r="A110" s="478"/>
      <c r="B110" s="83"/>
      <c r="C110" s="476"/>
      <c r="D110" s="449"/>
      <c r="E110" s="579"/>
      <c r="F110" s="579"/>
      <c r="G110" s="579"/>
      <c r="H110" s="131"/>
      <c r="I110" s="131" t="b">
        <f t="shared" si="14"/>
        <v>1</v>
      </c>
      <c r="K110" s="579"/>
      <c r="L110" s="579"/>
      <c r="M110" s="579"/>
      <c r="N110" s="131"/>
      <c r="O110" s="131" t="b">
        <f t="shared" si="15"/>
        <v>1</v>
      </c>
    </row>
    <row r="111" spans="1:15" s="170" customFormat="1" ht="12.75" customHeight="1">
      <c r="A111" s="478"/>
      <c r="B111" s="83"/>
      <c r="C111" s="476"/>
      <c r="D111" s="482" t="str">
        <f>"Total "&amp; nmSeg3</f>
        <v>Total Other</v>
      </c>
      <c r="E111" s="453">
        <f>SUM(E108:E110)</f>
        <v>82650</v>
      </c>
      <c r="F111" s="453">
        <f>SUM(F108:F110)</f>
        <v>66120</v>
      </c>
      <c r="G111" s="453">
        <f>SUM(G108:G110)</f>
        <v>198360</v>
      </c>
      <c r="H111" s="131" t="s">
        <v>4424</v>
      </c>
      <c r="I111" s="131" t="b">
        <f t="shared" si="14"/>
        <v>0</v>
      </c>
      <c r="K111" s="453">
        <f>SUM(K108:K110)</f>
        <v>99180</v>
      </c>
      <c r="L111" s="453">
        <f>SUM(L108:L110)</f>
        <v>66120</v>
      </c>
      <c r="M111" s="453">
        <f>SUM(M108:M110)</f>
        <v>198360</v>
      </c>
      <c r="N111" s="131" t="s">
        <v>7639</v>
      </c>
      <c r="O111" s="131" t="b">
        <f t="shared" si="15"/>
        <v>0</v>
      </c>
    </row>
    <row r="112" spans="1:15" ht="10">
      <c r="A112" s="478"/>
      <c r="I112" s="131" t="b">
        <f t="shared" si="14"/>
        <v>1</v>
      </c>
      <c r="O112" s="131" t="b">
        <f t="shared" si="15"/>
        <v>1</v>
      </c>
    </row>
    <row r="113" spans="1:15" ht="12.75" customHeight="1">
      <c r="A113" s="478"/>
      <c r="C113" s="87" t="s">
        <v>347</v>
      </c>
      <c r="I113" s="131" t="b">
        <f t="shared" si="14"/>
        <v>1</v>
      </c>
      <c r="O113" s="131" t="b">
        <f t="shared" si="15"/>
        <v>1</v>
      </c>
    </row>
    <row r="114" spans="1:15" ht="12.75" customHeight="1">
      <c r="A114" s="478"/>
      <c r="D114" s="170" t="str">
        <f>nmSeg1</f>
        <v>Medicare</v>
      </c>
      <c r="E114" s="479">
        <f>finPNLLOB2Seg1Rev</f>
        <v>5141908.8000000007</v>
      </c>
      <c r="F114" s="479">
        <f>finPNLLOB2Seg1Rev</f>
        <v>3841656.0000000005</v>
      </c>
      <c r="G114" s="479">
        <f>finPNLLOB2Seg1Rev</f>
        <v>7683312.0000000009</v>
      </c>
      <c r="H114" s="131"/>
      <c r="I114" s="131" t="b">
        <f t="shared" si="14"/>
        <v>0</v>
      </c>
      <c r="K114" s="479">
        <f>finR2PNLLOB2Seg1Rev</f>
        <v>5319216.0000000009</v>
      </c>
      <c r="L114" s="479">
        <f>finR2PNLLOB2Seg1Rev</f>
        <v>3841656.0000000005</v>
      </c>
      <c r="M114" s="479">
        <f>finR2PNLLOB2Seg1Rev</f>
        <v>7683312.0000000009</v>
      </c>
      <c r="N114" s="131"/>
      <c r="O114" s="131" t="b">
        <f t="shared" si="15"/>
        <v>0</v>
      </c>
    </row>
    <row r="115" spans="1:15" ht="12.75" customHeight="1">
      <c r="A115" s="478"/>
      <c r="D115" s="170" t="str">
        <f>nmSeg2</f>
        <v>PPS</v>
      </c>
      <c r="E115" s="479">
        <f>finPNLLOB2Seg2Rev</f>
        <v>237319.2</v>
      </c>
      <c r="F115" s="479">
        <f>finPNLLOB2Seg2Rev</f>
        <v>263688</v>
      </c>
      <c r="G115" s="479">
        <f>finPNLLOB2Seg2Rev</f>
        <v>395532</v>
      </c>
      <c r="H115" s="131"/>
      <c r="I115" s="131" t="b">
        <f t="shared" si="14"/>
        <v>0</v>
      </c>
      <c r="K115" s="479">
        <f>finR2PNLLOB2Seg2Rev</f>
        <v>263688</v>
      </c>
      <c r="L115" s="479">
        <f>finR2PNLLOB2Seg2Rev</f>
        <v>263688</v>
      </c>
      <c r="M115" s="479">
        <f>finR2PNLLOB2Seg2Rev</f>
        <v>395532</v>
      </c>
      <c r="N115" s="131"/>
      <c r="O115" s="131" t="b">
        <f t="shared" si="15"/>
        <v>0</v>
      </c>
    </row>
    <row r="116" spans="1:15" ht="12.75" customHeight="1">
      <c r="A116" s="478"/>
      <c r="D116" s="170" t="str">
        <f>nmSeg3</f>
        <v>Other</v>
      </c>
      <c r="E116" s="479">
        <f>finPNLLOB2Seg3Rev</f>
        <v>82650</v>
      </c>
      <c r="F116" s="479">
        <f>finPNLLOB2Seg3Rev</f>
        <v>66120</v>
      </c>
      <c r="G116" s="479">
        <f>finPNLLOB2Seg3Rev</f>
        <v>198360</v>
      </c>
      <c r="H116" s="131"/>
      <c r="I116" s="131" t="b">
        <f t="shared" si="14"/>
        <v>0</v>
      </c>
      <c r="K116" s="479">
        <f>finR2PNLLOB2Seg3Rev</f>
        <v>99180</v>
      </c>
      <c r="L116" s="479">
        <f>finR2PNLLOB2Seg3Rev</f>
        <v>66120</v>
      </c>
      <c r="M116" s="479">
        <f>finR2PNLLOB2Seg3Rev</f>
        <v>198360</v>
      </c>
      <c r="N116" s="131"/>
      <c r="O116" s="131" t="b">
        <f t="shared" si="15"/>
        <v>0</v>
      </c>
    </row>
    <row r="117" spans="1:15" s="170" customFormat="1" ht="1.5" customHeight="1">
      <c r="A117" s="478"/>
      <c r="B117" s="83"/>
      <c r="C117" s="476"/>
      <c r="D117" s="449"/>
      <c r="E117" s="450"/>
      <c r="F117" s="450"/>
      <c r="G117" s="450"/>
      <c r="H117" s="131"/>
      <c r="I117" s="131" t="b">
        <f t="shared" si="14"/>
        <v>1</v>
      </c>
      <c r="K117" s="450"/>
      <c r="L117" s="450"/>
      <c r="M117" s="450"/>
      <c r="N117" s="131"/>
      <c r="O117" s="131" t="b">
        <f t="shared" si="15"/>
        <v>1</v>
      </c>
    </row>
    <row r="118" spans="1:15" s="170" customFormat="1" ht="12.75" customHeight="1">
      <c r="A118" s="478"/>
      <c r="B118" s="83"/>
      <c r="C118" s="476"/>
      <c r="D118" s="482" t="s">
        <v>406</v>
      </c>
      <c r="E118" s="448">
        <f>SUM(E114:E117)</f>
        <v>5461878.0000000009</v>
      </c>
      <c r="F118" s="448">
        <f t="shared" ref="F118:G118" si="22">SUM(F114:F117)</f>
        <v>4171464.0000000005</v>
      </c>
      <c r="G118" s="448">
        <f t="shared" si="22"/>
        <v>8277204.0000000009</v>
      </c>
      <c r="H118" s="131" t="s">
        <v>2751</v>
      </c>
      <c r="I118" s="131" t="b">
        <f t="shared" si="14"/>
        <v>0</v>
      </c>
      <c r="K118" s="448">
        <f>SUM(K114:K117)</f>
        <v>5682084.0000000009</v>
      </c>
      <c r="L118" s="448">
        <f t="shared" ref="L118:M118" si="23">SUM(L114:L117)</f>
        <v>4171464.0000000005</v>
      </c>
      <c r="M118" s="448">
        <f t="shared" si="23"/>
        <v>8277204.0000000009</v>
      </c>
      <c r="N118" s="131" t="s">
        <v>7640</v>
      </c>
      <c r="O118" s="131" t="b">
        <f t="shared" si="15"/>
        <v>0</v>
      </c>
    </row>
    <row r="119" spans="1:15" ht="12.75" customHeight="1">
      <c r="A119" s="478"/>
      <c r="I119" s="131" t="b">
        <f t="shared" si="14"/>
        <v>1</v>
      </c>
      <c r="O119" s="131" t="b">
        <f t="shared" si="15"/>
        <v>1</v>
      </c>
    </row>
    <row r="120" spans="1:15" ht="12.75" customHeight="1">
      <c r="A120" s="478"/>
      <c r="C120" s="87" t="s">
        <v>2675</v>
      </c>
      <c r="I120" s="131" t="b">
        <f t="shared" si="14"/>
        <v>1</v>
      </c>
      <c r="O120" s="131" t="b">
        <f t="shared" si="15"/>
        <v>1</v>
      </c>
    </row>
    <row r="121" spans="1:15" ht="12.75" customHeight="1">
      <c r="A121" s="478"/>
      <c r="D121" s="83" t="str">
        <f>nmEmp1</f>
        <v>Skilled Nursing</v>
      </c>
      <c r="E121" s="481">
        <f>(calcLOB2Emp1ActualVisits*cbalLOB2Emp1CostPVisit)*calcLOB2Emp1PercNonSalaried+(calcLOB2Clinician2Disc1Emp1NetProd*cbalLOB2Emp1CostPVisit/3)</f>
        <v>1490172.7238723401</v>
      </c>
      <c r="F121" s="481">
        <f>(calcLOB2Emp1ActualVisits*cbalLOB2Emp1CostPVisit)*calcLOB2Emp1PercNonSalaried+(calcLOB2Clinician2Disc1Emp1NetProd*cbalLOB2Emp1CostPVisit/3)</f>
        <v>1148031.4778723402</v>
      </c>
      <c r="G121" s="481">
        <f>(calcLOB2Emp1ActualVisits*cbalLOB2Emp1CostPVisit)*calcLOB2Emp1PercNonSalaried+(calcLOB2Clinician2Disc1Emp1NetProd*cbalLOB2Emp1CostPVisit/3)</f>
        <v>1891881.4778723398</v>
      </c>
      <c r="H121" s="131" t="s">
        <v>2769</v>
      </c>
      <c r="I121" s="131" t="b">
        <f t="shared" si="14"/>
        <v>0</v>
      </c>
      <c r="K121" s="481">
        <f>(calcR2LOB2Emp1ActualVisits*cbalR2LOB2Emp1CostPVisit)*calcR2LOB2Emp1PercNonSalaried+(calcR2LOB2Clinician2Disc1Emp1NetProd*cbalR2LOB2Emp1CostPVisit/3)</f>
        <v>1431643.7096738112</v>
      </c>
      <c r="L121" s="481">
        <f>(calcR2LOB2Emp1ActualVisits*cbalR2LOB2Emp1CostPVisit)*calcR2LOB2Emp1PercNonSalaried+(calcR2LOB2Clinician2Disc1Emp1NetProd*cbalR2LOB2Emp1CostPVisit/3)</f>
        <v>1148031.4778723402</v>
      </c>
      <c r="M121" s="481">
        <f>(calcR2LOB2Emp1ActualVisits*cbalR2LOB2Emp1CostPVisit)*calcR2LOB2Emp1PercNonSalaried+(calcR2LOB2Clinician2Disc1Emp1NetProd*cbalR2LOB2Emp1CostPVisit/3)</f>
        <v>1891881.4778723398</v>
      </c>
      <c r="N121" s="131" t="s">
        <v>7641</v>
      </c>
      <c r="O121" s="131" t="b">
        <f t="shared" si="15"/>
        <v>0</v>
      </c>
    </row>
    <row r="122" spans="1:15" ht="12.75" customHeight="1">
      <c r="A122" s="478"/>
      <c r="D122" s="83" t="str">
        <f>nmEmp2</f>
        <v>Occupational Therapy</v>
      </c>
      <c r="E122" s="481">
        <f>calcLOB2Emp2ActualVisits*cbalLOB2Emp2CostPVisit</f>
        <v>232627.03670103091</v>
      </c>
      <c r="F122" s="481">
        <f>calcLOB2Emp2ActualVisits*cbalLOB2Emp2CostPVisit</f>
        <v>218682.5567010309</v>
      </c>
      <c r="G122" s="481">
        <f>calcLOB2Emp2ActualVisits*cbalLOB2Emp2CostPVisit</f>
        <v>321282.55670103099</v>
      </c>
      <c r="H122" s="131" t="s">
        <v>2770</v>
      </c>
      <c r="I122" s="131" t="b">
        <f t="shared" si="14"/>
        <v>0</v>
      </c>
      <c r="K122" s="481">
        <f>calcR2LOB2Emp2ActualVisits*cbalR2LOB2Emp2CostPVisit</f>
        <v>225240.00763833628</v>
      </c>
      <c r="L122" s="481">
        <f>calcR2LOB2Emp2ActualVisits*cbalR2LOB2Emp2CostPVisit</f>
        <v>218682.5567010309</v>
      </c>
      <c r="M122" s="481">
        <f>calcR2LOB2Emp2ActualVisits*cbalR2LOB2Emp2CostPVisit</f>
        <v>321282.55670103099</v>
      </c>
      <c r="N122" s="131" t="s">
        <v>7642</v>
      </c>
      <c r="O122" s="131" t="b">
        <f t="shared" si="15"/>
        <v>0</v>
      </c>
    </row>
    <row r="123" spans="1:15" ht="12.75" customHeight="1">
      <c r="A123" s="478"/>
      <c r="D123" s="83" t="str">
        <f>nmEmp3</f>
        <v>Physical Therapy</v>
      </c>
      <c r="E123" s="481">
        <f>calcLOB2Emp3ActualVisits*cbalLOB2Emp3CostPVisit</f>
        <v>728891.07199999981</v>
      </c>
      <c r="F123" s="481">
        <f>calcLOB2Emp3ActualVisits*cbalLOB2Emp3CostPVisit</f>
        <v>642211.24799999991</v>
      </c>
      <c r="G123" s="481">
        <f>calcLOB2Emp3ActualVisits*cbalLOB2Emp3CostPVisit</f>
        <v>998318.74799999979</v>
      </c>
      <c r="H123" s="131" t="s">
        <v>2771</v>
      </c>
      <c r="I123" s="131" t="b">
        <f t="shared" si="14"/>
        <v>0</v>
      </c>
      <c r="K123" s="481">
        <f>calcR2LOB2Emp3ActualVisits*cbalR2LOB2Emp3CostPVisit</f>
        <v>703898.29033788329</v>
      </c>
      <c r="L123" s="481">
        <f>calcR2LOB2Emp3ActualVisits*cbalR2LOB2Emp3CostPVisit</f>
        <v>642211.24799999991</v>
      </c>
      <c r="M123" s="481">
        <f>calcR2LOB2Emp3ActualVisits*cbalR2LOB2Emp3CostPVisit</f>
        <v>998318.74799999979</v>
      </c>
      <c r="N123" s="131" t="s">
        <v>7643</v>
      </c>
      <c r="O123" s="131" t="b">
        <f t="shared" si="15"/>
        <v>0</v>
      </c>
    </row>
    <row r="124" spans="1:15" s="170" customFormat="1" ht="1.5" customHeight="1">
      <c r="A124" s="478"/>
      <c r="B124" s="83"/>
      <c r="C124" s="476"/>
      <c r="D124" s="449"/>
      <c r="E124" s="450"/>
      <c r="F124" s="450"/>
      <c r="G124" s="450"/>
      <c r="H124" s="131"/>
      <c r="I124" s="131" t="b">
        <f t="shared" si="14"/>
        <v>1</v>
      </c>
      <c r="K124" s="450"/>
      <c r="L124" s="450"/>
      <c r="M124" s="450"/>
      <c r="N124" s="131"/>
      <c r="O124" s="131" t="b">
        <f t="shared" si="15"/>
        <v>1</v>
      </c>
    </row>
    <row r="125" spans="1:15" s="170" customFormat="1" ht="12.75" customHeight="1">
      <c r="A125" s="478"/>
      <c r="B125" s="83"/>
      <c r="C125" s="476"/>
      <c r="D125" s="482" t="s">
        <v>2676</v>
      </c>
      <c r="E125" s="448">
        <f>SUM(E121:E124)</f>
        <v>2451690.8325733705</v>
      </c>
      <c r="F125" s="448">
        <f t="shared" ref="F125" si="24">SUM(F121:F124)</f>
        <v>2008925.282573371</v>
      </c>
      <c r="G125" s="448">
        <f t="shared" ref="G125" si="25">SUM(G121:G124)</f>
        <v>3211482.7825733703</v>
      </c>
      <c r="H125" s="131" t="s">
        <v>2752</v>
      </c>
      <c r="I125" s="131" t="b">
        <f t="shared" si="14"/>
        <v>0</v>
      </c>
      <c r="K125" s="448">
        <f>SUM(K121:K124)</f>
        <v>2360782.0076500308</v>
      </c>
      <c r="L125" s="448">
        <f t="shared" ref="L125:M125" si="26">SUM(L121:L124)</f>
        <v>2008925.282573371</v>
      </c>
      <c r="M125" s="448">
        <f t="shared" si="26"/>
        <v>3211482.7825733703</v>
      </c>
      <c r="N125" s="131" t="s">
        <v>7644</v>
      </c>
      <c r="O125" s="131" t="b">
        <f t="shared" si="15"/>
        <v>0</v>
      </c>
    </row>
    <row r="126" spans="1:15" s="170" customFormat="1" ht="12.75" customHeight="1">
      <c r="A126" s="478"/>
      <c r="B126" s="83"/>
      <c r="C126" s="476"/>
      <c r="D126" s="482" t="s">
        <v>343</v>
      </c>
      <c r="E126" s="448">
        <f>finPNLLOB2Rev-finPNLLOB2ServiceCost</f>
        <v>3010187.1674266304</v>
      </c>
      <c r="F126" s="448">
        <f>finPNLLOB2Rev-finPNLLOB2ServiceCost</f>
        <v>2162538.7174266297</v>
      </c>
      <c r="G126" s="448">
        <f>finPNLLOB2Rev-finPNLLOB2ServiceCost</f>
        <v>5065721.2174266307</v>
      </c>
      <c r="H126" s="131" t="s">
        <v>2753</v>
      </c>
      <c r="I126" s="131" t="b">
        <f t="shared" si="14"/>
        <v>0</v>
      </c>
      <c r="K126" s="448">
        <f>finR2PNLLOB2Rev-finR2PNLLOB2ServiceCost</f>
        <v>3321301.9923499702</v>
      </c>
      <c r="L126" s="448">
        <f>finR2PNLLOB2Rev-finR2PNLLOB2ServiceCost</f>
        <v>2162538.7174266297</v>
      </c>
      <c r="M126" s="448">
        <f>finR2PNLLOB2Rev-finR2PNLLOB2ServiceCost</f>
        <v>5065721.2174266307</v>
      </c>
      <c r="N126" s="131" t="s">
        <v>7645</v>
      </c>
      <c r="O126" s="131" t="b">
        <f t="shared" si="15"/>
        <v>0</v>
      </c>
    </row>
    <row r="127" spans="1:15" ht="12.75" customHeight="1">
      <c r="A127" s="478"/>
      <c r="D127" s="131" t="s">
        <v>341</v>
      </c>
      <c r="E127" s="457">
        <f>finPNLLOB2GrossProfit/finPNLLOB2Rev</f>
        <v>0.55112676764779989</v>
      </c>
      <c r="F127" s="457">
        <f>finPNLLOB2GrossProfit/finPNLLOB2Rev</f>
        <v>0.51841241286671291</v>
      </c>
      <c r="G127" s="457">
        <f>finPNLLOB2GrossProfit/finPNLLOB2Rev</f>
        <v>0.6120087432213378</v>
      </c>
      <c r="H127" s="131" t="s">
        <v>4707</v>
      </c>
      <c r="I127" s="131" t="b">
        <f t="shared" si="14"/>
        <v>0</v>
      </c>
      <c r="K127" s="457">
        <f>finR2PNLLOB2GrossProfit/finR2PNLLOB2Rev</f>
        <v>0.58452180438549828</v>
      </c>
      <c r="L127" s="457">
        <f>finR2PNLLOB2GrossProfit/finR2PNLLOB2Rev</f>
        <v>0.51841241286671291</v>
      </c>
      <c r="M127" s="457">
        <f>finR2PNLLOB2GrossProfit/finR2PNLLOB2Rev</f>
        <v>0.6120087432213378</v>
      </c>
      <c r="N127" s="131" t="s">
        <v>7646</v>
      </c>
      <c r="O127" s="131" t="b">
        <f t="shared" si="15"/>
        <v>0</v>
      </c>
    </row>
    <row r="128" spans="1:15" ht="12.75" customHeight="1">
      <c r="A128" s="478"/>
      <c r="I128" s="131" t="b">
        <f t="shared" si="14"/>
        <v>1</v>
      </c>
      <c r="O128" s="131" t="b">
        <f t="shared" si="15"/>
        <v>1</v>
      </c>
    </row>
    <row r="129" spans="1:15" ht="12.75" customHeight="1">
      <c r="A129" s="478"/>
      <c r="C129" s="87" t="s">
        <v>693</v>
      </c>
      <c r="I129" s="131" t="b">
        <f t="shared" si="14"/>
        <v>1</v>
      </c>
      <c r="O129" s="131" t="b">
        <f t="shared" si="15"/>
        <v>1</v>
      </c>
    </row>
    <row r="130" spans="1:15" ht="12.75" customHeight="1">
      <c r="A130" s="478"/>
      <c r="D130" s="131" t="s">
        <v>551</v>
      </c>
      <c r="E130" s="479">
        <f>calLOB2FullEmp*cbalLOB2FullEmpOverhead</f>
        <v>1718062.5</v>
      </c>
      <c r="F130" s="479">
        <f>calLOB2FullEmp*cbalLOB2FullEmpOverhead</f>
        <v>1249500</v>
      </c>
      <c r="G130" s="479">
        <f>calLOB2FullEmp*cbalLOB2FullEmpOverhead</f>
        <v>1811250</v>
      </c>
      <c r="H130" s="131" t="s">
        <v>2754</v>
      </c>
      <c r="I130" s="131" t="b">
        <f t="shared" si="14"/>
        <v>0</v>
      </c>
      <c r="K130" s="479">
        <f>calcR2LOB2FullEmp*cbalR2LOB2FullEmpOverhead</f>
        <v>2147578.125</v>
      </c>
      <c r="L130" s="479">
        <f>calcR2LOB2FullEmp*cbalR2LOB2FullEmpOverhead</f>
        <v>1311975</v>
      </c>
      <c r="M130" s="479">
        <f>calcR2LOB2FullEmp*cbalR2LOB2FullEmpOverhead</f>
        <v>1901812.5</v>
      </c>
      <c r="N130" s="131" t="s">
        <v>7647</v>
      </c>
      <c r="O130" s="131" t="b">
        <f t="shared" si="15"/>
        <v>0</v>
      </c>
    </row>
    <row r="131" spans="1:15" ht="12.75" customHeight="1">
      <c r="A131" s="478"/>
      <c r="D131" s="131" t="s">
        <v>553</v>
      </c>
      <c r="E131" s="479">
        <f>calLOB2PartEmp*cbalLOB2PartEmpOverhead</f>
        <v>389812.5</v>
      </c>
      <c r="F131" s="479">
        <f>calLOB2PartEmp*cbalLOB2PartEmpOverhead</f>
        <v>294000</v>
      </c>
      <c r="G131" s="479">
        <f>calLOB2PartEmp*cbalLOB2PartEmpOverhead</f>
        <v>462000</v>
      </c>
      <c r="H131" s="131" t="s">
        <v>2755</v>
      </c>
      <c r="I131" s="131" t="b">
        <f t="shared" si="14"/>
        <v>0</v>
      </c>
      <c r="K131" s="479">
        <f>calcR2LOB2PartEmp*cbalR2LOB2PartEmpOverhead</f>
        <v>487265.625</v>
      </c>
      <c r="L131" s="479">
        <f>calcR2LOB2PartEmp*cbalR2LOB2PartEmpOverhead</f>
        <v>308700</v>
      </c>
      <c r="M131" s="479">
        <f>calcR2LOB2PartEmp*cbalR2LOB2PartEmpOverhead</f>
        <v>485100</v>
      </c>
      <c r="N131" s="131" t="s">
        <v>7648</v>
      </c>
      <c r="O131" s="131" t="b">
        <f t="shared" si="15"/>
        <v>0</v>
      </c>
    </row>
    <row r="132" spans="1:15" s="170" customFormat="1" ht="1.5" customHeight="1">
      <c r="A132" s="478"/>
      <c r="B132" s="83"/>
      <c r="C132" s="476"/>
      <c r="D132" s="449"/>
      <c r="E132" s="450"/>
      <c r="F132" s="450"/>
      <c r="G132" s="450"/>
      <c r="H132" s="131"/>
      <c r="I132" s="131" t="b">
        <f t="shared" si="14"/>
        <v>1</v>
      </c>
      <c r="K132" s="450"/>
      <c r="L132" s="450"/>
      <c r="M132" s="450"/>
      <c r="N132" s="131"/>
      <c r="O132" s="131" t="b">
        <f t="shared" si="15"/>
        <v>1</v>
      </c>
    </row>
    <row r="133" spans="1:15" s="170" customFormat="1" ht="12.75" customHeight="1">
      <c r="A133" s="478"/>
      <c r="B133" s="83"/>
      <c r="C133" s="476"/>
      <c r="D133" s="482" t="s">
        <v>2688</v>
      </c>
      <c r="E133" s="448">
        <f>SUM(E130:E132)</f>
        <v>2107875</v>
      </c>
      <c r="F133" s="448">
        <f t="shared" ref="F133" si="27">SUM(F130:F132)</f>
        <v>1543500</v>
      </c>
      <c r="G133" s="448">
        <f t="shared" ref="G133" si="28">SUM(G130:G132)</f>
        <v>2273250</v>
      </c>
      <c r="H133" s="131" t="s">
        <v>2756</v>
      </c>
      <c r="I133" s="131" t="b">
        <f t="shared" si="14"/>
        <v>0</v>
      </c>
      <c r="K133" s="448">
        <f>SUM(K130:K132)</f>
        <v>2634843.75</v>
      </c>
      <c r="L133" s="448">
        <f t="shared" ref="L133:M133" si="29">SUM(L130:L132)</f>
        <v>1620675</v>
      </c>
      <c r="M133" s="448">
        <f t="shared" si="29"/>
        <v>2386912.5</v>
      </c>
      <c r="N133" s="131" t="s">
        <v>7649</v>
      </c>
      <c r="O133" s="131" t="b">
        <f t="shared" si="15"/>
        <v>0</v>
      </c>
    </row>
    <row r="134" spans="1:15" ht="12.75" customHeight="1">
      <c r="A134" s="478"/>
      <c r="D134" s="131" t="s">
        <v>2692</v>
      </c>
      <c r="E134" s="479">
        <f>finPNLLOB2GrossProfit-finPNLLOB2EmpOverhead</f>
        <v>902312.16742663039</v>
      </c>
      <c r="F134" s="479">
        <f>finPNLLOB2GrossProfit-finPNLLOB2EmpOverhead</f>
        <v>619038.71742662974</v>
      </c>
      <c r="G134" s="479">
        <f>finPNLLOB2GrossProfit-finPNLLOB2EmpOverhead</f>
        <v>2792471.2174266307</v>
      </c>
      <c r="H134" s="131" t="s">
        <v>2757</v>
      </c>
      <c r="I134" s="131" t="b">
        <f t="shared" si="14"/>
        <v>0</v>
      </c>
      <c r="K134" s="479">
        <f>finR2PNLLOB2GrossProfit-finR2PNLLOB2EmpOverhead</f>
        <v>686458.24234997015</v>
      </c>
      <c r="L134" s="479">
        <f>finR2PNLLOB2GrossProfit-finR2PNLLOB2EmpOverhead</f>
        <v>541863.71742662974</v>
      </c>
      <c r="M134" s="479">
        <f>finR2PNLLOB2GrossProfit-finR2PNLLOB2EmpOverhead</f>
        <v>2678808.7174266307</v>
      </c>
      <c r="N134" s="131" t="s">
        <v>7650</v>
      </c>
      <c r="O134" s="131" t="b">
        <f t="shared" si="15"/>
        <v>0</v>
      </c>
    </row>
    <row r="135" spans="1:15" ht="12.75" customHeight="1">
      <c r="A135" s="478"/>
      <c r="D135" s="131" t="s">
        <v>2693</v>
      </c>
      <c r="E135" s="457">
        <f>finPNLLOB2OpProfit/finPNLLOB2Rev</f>
        <v>0.16520181655954788</v>
      </c>
      <c r="F135" s="457">
        <f>finPNLLOB2OpProfit/finPNLLOB2Rev</f>
        <v>0.14839843216353532</v>
      </c>
      <c r="G135" s="457">
        <f>finPNLLOB2OpProfit/finPNLLOB2Rev</f>
        <v>0.33736890107174239</v>
      </c>
      <c r="H135" s="131" t="s">
        <v>2758</v>
      </c>
      <c r="I135" s="131" t="b">
        <f t="shared" ref="I135:I162" si="30">MAX(E135:G135)=MIN(E135:G135)</f>
        <v>0</v>
      </c>
      <c r="K135" s="457">
        <f>finR2PNLLOB2OpProfit/finR2PNLLOB2Rev</f>
        <v>0.12081099863183474</v>
      </c>
      <c r="L135" s="457">
        <f>finR2PNLLOB2OpProfit/finR2PNLLOB2Rev</f>
        <v>0.12989773312837644</v>
      </c>
      <c r="M135" s="457">
        <f>finR2PNLLOB2OpProfit/finR2PNLLOB2Rev</f>
        <v>0.32363690896426262</v>
      </c>
      <c r="N135" s="131" t="s">
        <v>7651</v>
      </c>
      <c r="O135" s="131" t="b">
        <f t="shared" ref="O135:O162" si="31">MAX(K135:M135)=MIN(K135:M135)</f>
        <v>0</v>
      </c>
    </row>
    <row r="136" spans="1:15" ht="12.75" customHeight="1">
      <c r="A136" s="486"/>
      <c r="I136" s="131" t="b">
        <f t="shared" si="30"/>
        <v>1</v>
      </c>
      <c r="O136" s="131" t="b">
        <f t="shared" si="31"/>
        <v>1</v>
      </c>
    </row>
    <row r="137" spans="1:15" ht="12.75" customHeight="1">
      <c r="I137" s="131" t="b">
        <f t="shared" si="30"/>
        <v>1</v>
      </c>
      <c r="O137" s="131" t="b">
        <f t="shared" si="31"/>
        <v>1</v>
      </c>
    </row>
    <row r="138" spans="1:15" s="85" customFormat="1" ht="10">
      <c r="B138" s="85" t="s">
        <v>13</v>
      </c>
      <c r="I138" s="131" t="b">
        <f t="shared" si="30"/>
        <v>1</v>
      </c>
      <c r="O138" s="131" t="b">
        <f t="shared" si="31"/>
        <v>1</v>
      </c>
    </row>
    <row r="139" spans="1:15" ht="12.75" customHeight="1">
      <c r="I139" s="131" t="b">
        <f t="shared" si="30"/>
        <v>1</v>
      </c>
      <c r="O139" s="131" t="b">
        <f t="shared" si="31"/>
        <v>1</v>
      </c>
    </row>
    <row r="140" spans="1:15" ht="12.75" customHeight="1">
      <c r="A140" s="476"/>
      <c r="C140" s="87" t="s">
        <v>347</v>
      </c>
      <c r="I140" s="131" t="b">
        <f t="shared" si="30"/>
        <v>1</v>
      </c>
      <c r="O140" s="131" t="b">
        <f t="shared" si="31"/>
        <v>1</v>
      </c>
    </row>
    <row r="141" spans="1:15" ht="12.75" customHeight="1">
      <c r="A141" s="476"/>
      <c r="D141" s="170" t="str">
        <f>nmSeg1</f>
        <v>Medicare</v>
      </c>
      <c r="E141" s="479">
        <f>finPNLLOB1Seg1Rev+finPNLLOB2Seg1Rev</f>
        <v>10148464.800000001</v>
      </c>
      <c r="F141" s="479">
        <f>finPNLLOB1Seg1Rev+finPNLLOB2Seg1Rev</f>
        <v>10704948</v>
      </c>
      <c r="G141" s="479">
        <f>finPNLLOB1Seg1Rev+finPNLLOB2Seg1Rev</f>
        <v>11363628</v>
      </c>
      <c r="H141" s="131" t="s">
        <v>4425</v>
      </c>
      <c r="I141" s="131" t="b">
        <f t="shared" si="30"/>
        <v>0</v>
      </c>
      <c r="K141" s="479">
        <f>finR2PNLLOB1Seg1Rev+finR2PNLLOB2Seg1Rev</f>
        <v>10425240</v>
      </c>
      <c r="L141" s="479">
        <f>finR2PNLLOB1Seg1Rev+finR2PNLLOB2Seg1Rev</f>
        <v>10704948</v>
      </c>
      <c r="M141" s="479">
        <f>finR2PNLLOB1Seg1Rev+finR2PNLLOB2Seg1Rev</f>
        <v>11363628</v>
      </c>
      <c r="N141" s="131" t="s">
        <v>7652</v>
      </c>
      <c r="O141" s="131" t="b">
        <f t="shared" si="31"/>
        <v>0</v>
      </c>
    </row>
    <row r="142" spans="1:15" ht="12.75" customHeight="1">
      <c r="A142" s="476"/>
      <c r="D142" s="170" t="str">
        <f>nmSeg2</f>
        <v>PPS</v>
      </c>
      <c r="E142" s="479">
        <f>finPNLLOB1Seg2Rev+finPNLLOB2Seg2Rev</f>
        <v>1016929.2</v>
      </c>
      <c r="F142" s="479">
        <f>finPNLLOB1Seg2Rev+finPNLLOB2Seg2Rev</f>
        <v>1313163</v>
      </c>
      <c r="G142" s="479">
        <f>finPNLLOB1Seg2Rev+finPNLLOB2Seg2Rev</f>
        <v>965247</v>
      </c>
      <c r="H142" s="131" t="s">
        <v>4426</v>
      </c>
      <c r="I142" s="131" t="b">
        <f t="shared" si="30"/>
        <v>0</v>
      </c>
      <c r="K142" s="479">
        <f>finR2PNLLOB1Seg2Rev+finR2PNLLOB2Seg2Rev</f>
        <v>1043298</v>
      </c>
      <c r="L142" s="479">
        <f>finR2PNLLOB1Seg2Rev+finR2PNLLOB2Seg2Rev</f>
        <v>1313163</v>
      </c>
      <c r="M142" s="479">
        <f>finR2PNLLOB1Seg2Rev+finR2PNLLOB2Seg2Rev</f>
        <v>965247</v>
      </c>
      <c r="N142" s="131" t="s">
        <v>7653</v>
      </c>
      <c r="O142" s="131" t="b">
        <f t="shared" si="31"/>
        <v>0</v>
      </c>
    </row>
    <row r="143" spans="1:15" ht="12.75" customHeight="1">
      <c r="A143" s="476"/>
      <c r="D143" s="170" t="str">
        <f>nmSeg3</f>
        <v>Other</v>
      </c>
      <c r="E143" s="479">
        <f>finPNLLOB1Seg3Rev+finPNLLOB2Seg3Rev</f>
        <v>1629930</v>
      </c>
      <c r="F143" s="479">
        <f>finPNLLOB1Seg3Rev+finPNLLOB2Seg3Rev</f>
        <v>2184420</v>
      </c>
      <c r="G143" s="479">
        <f>finPNLLOB1Seg3Rev+finPNLLOB2Seg3Rev</f>
        <v>1340400</v>
      </c>
      <c r="H143" s="131" t="s">
        <v>4427</v>
      </c>
      <c r="I143" s="131" t="b">
        <f t="shared" si="30"/>
        <v>0</v>
      </c>
      <c r="K143" s="479">
        <f>finR2PNLLOB1Seg3Rev+finR2PNLLOB2Seg3Rev</f>
        <v>1664880</v>
      </c>
      <c r="L143" s="479">
        <f>finR2PNLLOB1Seg3Rev+finR2PNLLOB2Seg3Rev</f>
        <v>2184420</v>
      </c>
      <c r="M143" s="479">
        <f>finR2PNLLOB1Seg3Rev+finR2PNLLOB2Seg3Rev</f>
        <v>1340400</v>
      </c>
      <c r="N143" s="131" t="s">
        <v>7654</v>
      </c>
      <c r="O143" s="131" t="b">
        <f t="shared" si="31"/>
        <v>0</v>
      </c>
    </row>
    <row r="144" spans="1:15" s="170" customFormat="1" ht="1.5" customHeight="1">
      <c r="A144" s="476"/>
      <c r="B144" s="83"/>
      <c r="C144" s="476"/>
      <c r="D144" s="449"/>
      <c r="E144" s="450"/>
      <c r="F144" s="450"/>
      <c r="G144" s="450"/>
      <c r="H144" s="131"/>
      <c r="I144" s="131" t="b">
        <f t="shared" si="30"/>
        <v>1</v>
      </c>
      <c r="K144" s="450"/>
      <c r="L144" s="450"/>
      <c r="M144" s="450"/>
      <c r="N144" s="131"/>
      <c r="O144" s="131" t="b">
        <f t="shared" si="31"/>
        <v>1</v>
      </c>
    </row>
    <row r="145" spans="1:15" s="170" customFormat="1" ht="12.75" customHeight="1">
      <c r="A145" s="476"/>
      <c r="B145" s="83"/>
      <c r="C145" s="476"/>
      <c r="D145" s="482" t="s">
        <v>406</v>
      </c>
      <c r="E145" s="448">
        <f>SUM(E141:E144)</f>
        <v>12795324</v>
      </c>
      <c r="F145" s="448">
        <f t="shared" ref="F145:G145" si="32">SUM(F141:F144)</f>
        <v>14202531</v>
      </c>
      <c r="G145" s="448">
        <f t="shared" si="32"/>
        <v>13669275</v>
      </c>
      <c r="H145" s="131" t="s">
        <v>2759</v>
      </c>
      <c r="I145" s="131" t="b">
        <f t="shared" si="30"/>
        <v>0</v>
      </c>
      <c r="K145" s="448">
        <f>SUM(K141:K144)</f>
        <v>13133418</v>
      </c>
      <c r="L145" s="448">
        <f t="shared" ref="L145:M145" si="33">SUM(L141:L144)</f>
        <v>14202531</v>
      </c>
      <c r="M145" s="448">
        <f t="shared" si="33"/>
        <v>13669275</v>
      </c>
      <c r="N145" s="131" t="s">
        <v>7655</v>
      </c>
      <c r="O145" s="131" t="b">
        <f t="shared" si="31"/>
        <v>0</v>
      </c>
    </row>
    <row r="146" spans="1:15" ht="12.75" customHeight="1">
      <c r="A146" s="476"/>
      <c r="I146" s="131" t="b">
        <f t="shared" si="30"/>
        <v>1</v>
      </c>
      <c r="O146" s="131" t="b">
        <f t="shared" si="31"/>
        <v>1</v>
      </c>
    </row>
    <row r="147" spans="1:15" ht="12.75" customHeight="1">
      <c r="A147" s="476"/>
      <c r="B147" s="137"/>
      <c r="C147" s="87" t="s">
        <v>2675</v>
      </c>
      <c r="I147" s="131" t="b">
        <f t="shared" si="30"/>
        <v>1</v>
      </c>
      <c r="O147" s="131" t="b">
        <f t="shared" si="31"/>
        <v>1</v>
      </c>
    </row>
    <row r="148" spans="1:15" ht="12.75" customHeight="1">
      <c r="A148" s="476"/>
      <c r="B148" s="137"/>
      <c r="D148" s="83" t="str">
        <f>nmEmp1</f>
        <v>Skilled Nursing</v>
      </c>
      <c r="E148" s="481">
        <f>finPNLLOB1Emp1Cost+finPNLLOB2Emp1Cost</f>
        <v>2968749.6646223394</v>
      </c>
      <c r="F148" s="481">
        <f>finPNLLOB1Emp1Cost+finPNLLOB2Emp1Cost</f>
        <v>3553156.390730042</v>
      </c>
      <c r="G148" s="481">
        <f>finPNLLOB1Emp1Cost+finPNLLOB2Emp1Cost</f>
        <v>3322044.4876796282</v>
      </c>
      <c r="H148" s="131" t="s">
        <v>2772</v>
      </c>
      <c r="I148" s="131" t="b">
        <f t="shared" si="30"/>
        <v>0</v>
      </c>
      <c r="K148" s="481">
        <f>finR2PNLLOB1Emp1Cost+finR2PNLLOB2Emp1Cost</f>
        <v>2715790.3085554922</v>
      </c>
      <c r="L148" s="481">
        <f>finR2PNLLOB1Emp1Cost+finR2PNLLOB2Emp1Cost</f>
        <v>3441886.0712372232</v>
      </c>
      <c r="M148" s="481">
        <f>finR2PNLLOB1Emp1Cost+finR2PNLLOB2Emp1Cost</f>
        <v>3207427.9615113311</v>
      </c>
      <c r="N148" s="131" t="s">
        <v>7656</v>
      </c>
      <c r="O148" s="131" t="b">
        <f t="shared" si="31"/>
        <v>0</v>
      </c>
    </row>
    <row r="149" spans="1:15" ht="12.75" customHeight="1">
      <c r="A149" s="476"/>
      <c r="B149" s="137"/>
      <c r="D149" s="83" t="str">
        <f>nmEmp2</f>
        <v>Occupational Therapy</v>
      </c>
      <c r="E149" s="481">
        <f>finPNLLOB1Emp2Cost+finPNLLOB2Emp2Cost</f>
        <v>672066.9695010311</v>
      </c>
      <c r="F149" s="481">
        <f>finPNLLOB1Emp2Cost+finPNLLOB2Emp2Cost</f>
        <v>969514.43410503096</v>
      </c>
      <c r="G149" s="481">
        <f>finPNLLOB1Emp2Cost+finPNLLOB2Emp2Cost</f>
        <v>804637.25490663107</v>
      </c>
      <c r="H149" s="131" t="s">
        <v>2773</v>
      </c>
      <c r="I149" s="131" t="b">
        <f t="shared" si="30"/>
        <v>0</v>
      </c>
      <c r="K149" s="481">
        <f>finR2PNLLOB1Emp2Cost+finR2PNLLOB2Emp2Cost</f>
        <v>607686.61885250837</v>
      </c>
      <c r="L149" s="481">
        <f>finR2PNLLOB1Emp2Cost+finR2PNLLOB2Emp2Cost</f>
        <v>964679.31531529094</v>
      </c>
      <c r="M149" s="481">
        <f>finR2PNLLOB1Emp2Cost+finR2PNLLOB2Emp2Cost</f>
        <v>781540.67938136531</v>
      </c>
      <c r="N149" s="131" t="s">
        <v>7657</v>
      </c>
      <c r="O149" s="131" t="b">
        <f t="shared" si="31"/>
        <v>0</v>
      </c>
    </row>
    <row r="150" spans="1:15" ht="12.75" customHeight="1">
      <c r="A150" s="476"/>
      <c r="B150" s="137"/>
      <c r="D150" s="83" t="str">
        <f>nmEmp3</f>
        <v>Physical Therapy</v>
      </c>
      <c r="E150" s="481">
        <f>finPNLLOB1Emp3Cost+finPNLLOB2Emp3Cost</f>
        <v>2491997.3120000004</v>
      </c>
      <c r="F150" s="481">
        <f>finPNLLOB1Emp3Cost+finPNLLOB2Emp3Cost</f>
        <v>3758995.2119999994</v>
      </c>
      <c r="G150" s="481">
        <f>finPNLLOB1Emp3Cost+finPNLLOB2Emp3Cost</f>
        <v>2766117.2280000001</v>
      </c>
      <c r="H150" s="131" t="s">
        <v>2774</v>
      </c>
      <c r="I150" s="131" t="b">
        <f t="shared" si="30"/>
        <v>0</v>
      </c>
      <c r="K150" s="481">
        <f>finR2PNLLOB1Emp3Cost+finR2PNLLOB2Emp3Cost</f>
        <v>2234779.2445194493</v>
      </c>
      <c r="L150" s="481">
        <f>finR2PNLLOB1Emp3Cost+finR2PNLLOB2Emp3Cost</f>
        <v>3743436.8447336899</v>
      </c>
      <c r="M150" s="481">
        <f>finR2PNLLOB1Emp3Cost+finR2PNLLOB2Emp3Cost</f>
        <v>2683125.1120494022</v>
      </c>
      <c r="N150" s="131" t="s">
        <v>7658</v>
      </c>
      <c r="O150" s="131" t="b">
        <f t="shared" si="31"/>
        <v>0</v>
      </c>
    </row>
    <row r="151" spans="1:15" s="170" customFormat="1" ht="1.5" customHeight="1">
      <c r="A151" s="476"/>
      <c r="B151" s="137"/>
      <c r="C151" s="476"/>
      <c r="D151" s="449"/>
      <c r="E151" s="450" t="s">
        <v>39</v>
      </c>
      <c r="F151" s="450" t="s">
        <v>39</v>
      </c>
      <c r="G151" s="450" t="s">
        <v>39</v>
      </c>
      <c r="H151" s="131"/>
      <c r="I151" s="131" t="b">
        <f t="shared" si="30"/>
        <v>1</v>
      </c>
      <c r="J151" s="131"/>
      <c r="K151" s="450" t="s">
        <v>39</v>
      </c>
      <c r="L151" s="450" t="s">
        <v>39</v>
      </c>
      <c r="M151" s="450" t="s">
        <v>39</v>
      </c>
      <c r="N151" s="131"/>
      <c r="O151" s="131" t="b">
        <f t="shared" si="31"/>
        <v>1</v>
      </c>
    </row>
    <row r="152" spans="1:15" s="170" customFormat="1" ht="12.75" customHeight="1">
      <c r="A152" s="476"/>
      <c r="B152" s="137"/>
      <c r="C152" s="476"/>
      <c r="D152" s="482" t="s">
        <v>2676</v>
      </c>
      <c r="E152" s="448">
        <f>finPNLLOB1ServiceCost+finPNLLOB2ServiceCost</f>
        <v>6132813.9461233709</v>
      </c>
      <c r="F152" s="448">
        <f>finPNLLOB1ServiceCost+finPNLLOB2ServiceCost</f>
        <v>8281666.0368350726</v>
      </c>
      <c r="G152" s="448">
        <f>finPNLLOB1ServiceCost+finPNLLOB2ServiceCost</f>
        <v>6892798.9705862589</v>
      </c>
      <c r="H152" s="131" t="s">
        <v>2760</v>
      </c>
      <c r="I152" s="131" t="b">
        <f t="shared" si="30"/>
        <v>0</v>
      </c>
      <c r="J152" s="131"/>
      <c r="K152" s="448">
        <f>finR2PNLLOB1ServiceCost+finR2PNLLOB2ServiceCost</f>
        <v>5558256.1719274502</v>
      </c>
      <c r="L152" s="448">
        <f>finR2PNLLOB1ServiceCost+finR2PNLLOB2ServiceCost</f>
        <v>8150002.2312862044</v>
      </c>
      <c r="M152" s="448">
        <f>finR2PNLLOB1ServiceCost+finR2PNLLOB2ServiceCost</f>
        <v>6672093.7529420983</v>
      </c>
      <c r="N152" s="131" t="s">
        <v>7659</v>
      </c>
      <c r="O152" s="131" t="b">
        <f t="shared" si="31"/>
        <v>0</v>
      </c>
    </row>
    <row r="153" spans="1:15" s="170" customFormat="1" ht="12.75" customHeight="1">
      <c r="A153" s="476"/>
      <c r="B153" s="137"/>
      <c r="C153" s="476"/>
      <c r="D153" s="482" t="s">
        <v>343</v>
      </c>
      <c r="E153" s="448">
        <f>finPNLRev-finPNLServiceCost</f>
        <v>6662510.0538766291</v>
      </c>
      <c r="F153" s="448">
        <f>finPNLRev-finPNLServiceCost</f>
        <v>5920864.9631649274</v>
      </c>
      <c r="G153" s="448">
        <f>finPNLRev-finPNLServiceCost</f>
        <v>6776476.0294137411</v>
      </c>
      <c r="H153" s="131" t="s">
        <v>2761</v>
      </c>
      <c r="I153" s="131" t="b">
        <f t="shared" si="30"/>
        <v>0</v>
      </c>
      <c r="J153" s="131"/>
      <c r="K153" s="448">
        <f>finR2PNLRev-finR2PNLServiceCost</f>
        <v>7575161.8280725498</v>
      </c>
      <c r="L153" s="448">
        <f>finR2PNLRev-finR2PNLServiceCost</f>
        <v>6052528.7687137956</v>
      </c>
      <c r="M153" s="448">
        <f>finR2PNLRev-finR2PNLServiceCost</f>
        <v>6997181.2470579017</v>
      </c>
      <c r="N153" s="131" t="s">
        <v>7660</v>
      </c>
      <c r="O153" s="131" t="b">
        <f t="shared" si="31"/>
        <v>0</v>
      </c>
    </row>
    <row r="154" spans="1:15" ht="12.75" customHeight="1">
      <c r="A154" s="476"/>
      <c r="B154" s="137"/>
      <c r="D154" s="131" t="s">
        <v>341</v>
      </c>
      <c r="E154" s="457">
        <f>finPNLGrossProfit/finPNLRev</f>
        <v>0.52069881574523857</v>
      </c>
      <c r="F154" s="457">
        <f>finPNLGrossProfit/finPNLRev</f>
        <v>0.41688801546463283</v>
      </c>
      <c r="G154" s="457">
        <f>finPNLGrossProfit/finPNLRev</f>
        <v>0.49574509470427225</v>
      </c>
      <c r="H154" s="131" t="s">
        <v>4708</v>
      </c>
      <c r="I154" s="131" t="b">
        <f t="shared" si="30"/>
        <v>0</v>
      </c>
      <c r="K154" s="457">
        <f>finR2PNLGrossProfit/finR2PNLRev</f>
        <v>0.57678525331886565</v>
      </c>
      <c r="L154" s="457">
        <f>finR2PNLGrossProfit/finR2PNLRev</f>
        <v>0.4261584620877642</v>
      </c>
      <c r="M154" s="457">
        <f>finR2PNLGrossProfit/finR2PNLRev</f>
        <v>0.5118911754323402</v>
      </c>
      <c r="N154" s="131" t="s">
        <v>7661</v>
      </c>
      <c r="O154" s="131" t="b">
        <f t="shared" si="31"/>
        <v>0</v>
      </c>
    </row>
    <row r="155" spans="1:15" ht="12.75" customHeight="1">
      <c r="A155" s="476"/>
      <c r="B155" s="137"/>
      <c r="I155" s="131" t="b">
        <f t="shared" si="30"/>
        <v>1</v>
      </c>
      <c r="O155" s="131" t="b">
        <f t="shared" si="31"/>
        <v>1</v>
      </c>
    </row>
    <row r="156" spans="1:15" ht="12.75" customHeight="1">
      <c r="A156" s="476"/>
      <c r="B156" s="137"/>
      <c r="C156" s="87" t="s">
        <v>693</v>
      </c>
      <c r="I156" s="131" t="b">
        <f t="shared" si="30"/>
        <v>1</v>
      </c>
      <c r="O156" s="131" t="b">
        <f t="shared" si="31"/>
        <v>1</v>
      </c>
    </row>
    <row r="157" spans="1:15" ht="12.75" customHeight="1">
      <c r="A157" s="476"/>
      <c r="B157" s="137"/>
      <c r="D157" s="131" t="s">
        <v>551</v>
      </c>
      <c r="E157" s="479">
        <f>finPNLLOB1FullEmpOverhead+finPNLLOB2FullEmpOverhead</f>
        <v>3938062.5</v>
      </c>
      <c r="F157" s="479">
        <f>finPNLLOB1FullEmpOverhead+finPNLLOB2FullEmpOverhead</f>
        <v>3614500</v>
      </c>
      <c r="G157" s="479">
        <f>finPNLLOB1FullEmpOverhead+finPNLLOB2FullEmpOverhead</f>
        <v>3491250</v>
      </c>
      <c r="H157" s="131" t="s">
        <v>2762</v>
      </c>
      <c r="I157" s="131" t="b">
        <f t="shared" si="30"/>
        <v>0</v>
      </c>
      <c r="J157" s="131"/>
      <c r="K157" s="479">
        <f>finR2PNLLOB1FullEmpOverhead+finR2PNLLOB2FullEmpOverhead</f>
        <v>4367578.125</v>
      </c>
      <c r="L157" s="479">
        <f>finR2PNLLOB1FullEmpOverhead+finR2PNLLOB2FullEmpOverhead</f>
        <v>3676975</v>
      </c>
      <c r="M157" s="479">
        <f>finR2PNLLOB1FullEmpOverhead+finR2PNLLOB2FullEmpOverhead</f>
        <v>3581812.5</v>
      </c>
      <c r="N157" s="131" t="s">
        <v>7662</v>
      </c>
      <c r="O157" s="131" t="b">
        <f t="shared" si="31"/>
        <v>0</v>
      </c>
    </row>
    <row r="158" spans="1:15" ht="12.75" customHeight="1">
      <c r="A158" s="476"/>
      <c r="B158" s="137"/>
      <c r="D158" s="131" t="s">
        <v>553</v>
      </c>
      <c r="E158" s="479">
        <f>finPNLLOB1PartEmpOverhead+finPNLLOB2PartEmpOverhead</f>
        <v>685812.5</v>
      </c>
      <c r="F158" s="479">
        <f>finPNLLOB1PartEmpOverhead+finPNLLOB2PartEmpOverhead</f>
        <v>714000</v>
      </c>
      <c r="G158" s="479">
        <f>finPNLLOB1PartEmpOverhead+finPNLLOB2PartEmpOverhead</f>
        <v>742000</v>
      </c>
      <c r="H158" s="131" t="s">
        <v>2763</v>
      </c>
      <c r="I158" s="131" t="b">
        <f t="shared" si="30"/>
        <v>0</v>
      </c>
      <c r="J158" s="131"/>
      <c r="K158" s="479">
        <f>finR2PNLLOB1PartEmpOverhead+finR2PNLLOB2PartEmpOverhead</f>
        <v>783265.625</v>
      </c>
      <c r="L158" s="479">
        <f>finR2PNLLOB1PartEmpOverhead+finR2PNLLOB2PartEmpOverhead</f>
        <v>728700</v>
      </c>
      <c r="M158" s="479">
        <f>finR2PNLLOB1PartEmpOverhead+finR2PNLLOB2PartEmpOverhead</f>
        <v>765100</v>
      </c>
      <c r="N158" s="131" t="s">
        <v>7663</v>
      </c>
      <c r="O158" s="131" t="b">
        <f t="shared" si="31"/>
        <v>0</v>
      </c>
    </row>
    <row r="159" spans="1:15" s="170" customFormat="1" ht="1.5" customHeight="1">
      <c r="A159" s="476"/>
      <c r="B159" s="137"/>
      <c r="C159" s="476"/>
      <c r="D159" s="449"/>
      <c r="E159" s="450" t="s">
        <v>39</v>
      </c>
      <c r="F159" s="450" t="s">
        <v>39</v>
      </c>
      <c r="G159" s="450" t="s">
        <v>39</v>
      </c>
      <c r="H159" s="131"/>
      <c r="I159" s="131" t="b">
        <f t="shared" si="30"/>
        <v>1</v>
      </c>
      <c r="J159" s="131"/>
      <c r="K159" s="450" t="s">
        <v>39</v>
      </c>
      <c r="L159" s="450" t="s">
        <v>39</v>
      </c>
      <c r="M159" s="450" t="s">
        <v>39</v>
      </c>
      <c r="N159" s="131"/>
      <c r="O159" s="131" t="b">
        <f t="shared" si="31"/>
        <v>1</v>
      </c>
    </row>
    <row r="160" spans="1:15" s="170" customFormat="1" ht="12.75" customHeight="1">
      <c r="A160" s="476"/>
      <c r="B160" s="137"/>
      <c r="C160" s="476"/>
      <c r="D160" s="482" t="s">
        <v>2688</v>
      </c>
      <c r="E160" s="448">
        <f>finPNLLOB1EmpOverhead+finPNLLOB2EmpOverhead</f>
        <v>4623875</v>
      </c>
      <c r="F160" s="448">
        <f>finPNLLOB1EmpOverhead+finPNLLOB2EmpOverhead</f>
        <v>4328500</v>
      </c>
      <c r="G160" s="448">
        <f>finPNLLOB1EmpOverhead+finPNLLOB2EmpOverhead</f>
        <v>4233250</v>
      </c>
      <c r="H160" s="131" t="s">
        <v>2691</v>
      </c>
      <c r="I160" s="131" t="b">
        <f t="shared" si="30"/>
        <v>0</v>
      </c>
      <c r="J160" s="131"/>
      <c r="K160" s="448">
        <f>finR2PNLLOB1EmpOverhead+finR2PNLLOB2EmpOverhead</f>
        <v>5150843.75</v>
      </c>
      <c r="L160" s="448">
        <f>finR2PNLLOB1EmpOverhead+finR2PNLLOB2EmpOverhead</f>
        <v>4405675</v>
      </c>
      <c r="M160" s="448">
        <f>finR2PNLLOB1EmpOverhead+finR2PNLLOB2EmpOverhead</f>
        <v>4346912.5</v>
      </c>
      <c r="N160" s="131" t="s">
        <v>7664</v>
      </c>
      <c r="O160" s="131" t="b">
        <f t="shared" si="31"/>
        <v>0</v>
      </c>
    </row>
    <row r="161" spans="1:15" ht="12.75" customHeight="1">
      <c r="A161" s="476"/>
      <c r="B161" s="137"/>
      <c r="D161" s="131" t="s">
        <v>2692</v>
      </c>
      <c r="E161" s="479">
        <f>finPNLGrossProfit-finPNLEmpOverhead</f>
        <v>2038635.0538766291</v>
      </c>
      <c r="F161" s="479">
        <f>finPNLGrossProfit-finPNLEmpOverhead</f>
        <v>1592364.9631649274</v>
      </c>
      <c r="G161" s="479">
        <f>finPNLGrossProfit-finPNLEmpOverhead</f>
        <v>2543226.0294137411</v>
      </c>
      <c r="H161" s="131" t="s">
        <v>2764</v>
      </c>
      <c r="I161" s="131" t="b">
        <f t="shared" si="30"/>
        <v>0</v>
      </c>
      <c r="J161" s="131"/>
      <c r="K161" s="479">
        <f>finR2PNLGrossProfit-finR2PNLEmpOverhead</f>
        <v>2424318.0780725498</v>
      </c>
      <c r="L161" s="479">
        <f>finR2PNLGrossProfit-finR2PNLEmpOverhead</f>
        <v>1646853.7687137956</v>
      </c>
      <c r="M161" s="479">
        <f>finR2PNLGrossProfit-finR2PNLEmpOverhead</f>
        <v>2650268.7470579017</v>
      </c>
      <c r="N161" s="131" t="s">
        <v>7665</v>
      </c>
      <c r="O161" s="131" t="b">
        <f t="shared" si="31"/>
        <v>0</v>
      </c>
    </row>
    <row r="162" spans="1:15" ht="12.75" customHeight="1">
      <c r="A162" s="476"/>
      <c r="B162" s="137"/>
      <c r="D162" s="131" t="s">
        <v>2693</v>
      </c>
      <c r="E162" s="457">
        <f>finPNLOpProfit/finPNLRev</f>
        <v>0.15932656757082736</v>
      </c>
      <c r="F162" s="457">
        <f>finPNLOpProfit/finPNLRev</f>
        <v>0.11211839376833097</v>
      </c>
      <c r="G162" s="457">
        <f>finPNLOpProfit/finPNLRev</f>
        <v>0.18605420034447628</v>
      </c>
      <c r="H162" s="131" t="s">
        <v>2765</v>
      </c>
      <c r="I162" s="131" t="b">
        <f t="shared" si="30"/>
        <v>0</v>
      </c>
      <c r="J162" s="131"/>
      <c r="K162" s="457">
        <f>finR2PNLOpProfit/finR2PNLRev</f>
        <v>0.18459155705487709</v>
      </c>
      <c r="L162" s="457">
        <f>finR2PNLOpProfit/finR2PNLRev</f>
        <v>0.11595494977013573</v>
      </c>
      <c r="M162" s="457">
        <f>finR2PNLOpProfit/finR2PNLRev</f>
        <v>0.19388509976263568</v>
      </c>
      <c r="N162" s="131" t="s">
        <v>7666</v>
      </c>
      <c r="O162" s="131" t="b">
        <f t="shared" si="31"/>
        <v>0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1"/>
  </sheetPr>
  <dimension ref="A1:S2088"/>
  <sheetViews>
    <sheetView tabSelected="1" zoomScaleNormal="100" workbookViewId="0">
      <selection activeCell="O6" sqref="O6"/>
    </sheetView>
  </sheetViews>
  <sheetFormatPr defaultColWidth="21.77734375" defaultRowHeight="12.75" customHeight="1"/>
  <cols>
    <col min="1" max="1" width="3.33203125" style="170" customWidth="1"/>
    <col min="2" max="2" width="5.33203125" style="170" customWidth="1"/>
    <col min="3" max="3" width="6.6640625" style="170" customWidth="1"/>
    <col min="4" max="4" width="30.33203125" style="170" customWidth="1"/>
    <col min="5" max="7" width="13.109375" style="170" customWidth="1"/>
    <col min="8" max="8" width="35.77734375" style="170" customWidth="1"/>
    <col min="9" max="10" width="6" style="170" customWidth="1"/>
    <col min="11" max="13" width="13.109375" style="170" customWidth="1"/>
    <col min="14" max="16384" width="21.77734375" style="170"/>
  </cols>
  <sheetData>
    <row r="1" spans="1:16" s="78" customFormat="1" ht="10">
      <c r="A1" s="78" t="s">
        <v>405</v>
      </c>
      <c r="E1" s="169"/>
      <c r="F1" s="169"/>
      <c r="G1" s="169"/>
    </row>
    <row r="2" spans="1:16" s="70" customFormat="1" ht="11.5">
      <c r="A2" s="386" t="s">
        <v>473</v>
      </c>
      <c r="B2" s="386"/>
      <c r="C2" s="386"/>
      <c r="D2" s="386"/>
      <c r="E2" s="386"/>
      <c r="F2" s="386"/>
      <c r="G2" s="386"/>
      <c r="H2" s="386"/>
      <c r="I2" s="386"/>
      <c r="J2" s="645" t="s">
        <v>474</v>
      </c>
      <c r="K2" s="377"/>
      <c r="L2" s="377"/>
      <c r="M2" s="377"/>
      <c r="N2" s="377"/>
      <c r="O2" s="377"/>
      <c r="P2" s="377"/>
    </row>
    <row r="3" spans="1:16" s="443" customFormat="1" ht="10">
      <c r="B3" s="85" t="str">
        <f>nmLOB1</f>
        <v>Riverside</v>
      </c>
      <c r="E3" s="85">
        <v>2</v>
      </c>
      <c r="F3" s="85">
        <v>3</v>
      </c>
      <c r="G3" s="85">
        <v>4</v>
      </c>
      <c r="J3" s="85"/>
      <c r="K3" s="85">
        <v>2</v>
      </c>
      <c r="L3" s="85">
        <v>3</v>
      </c>
      <c r="M3" s="85">
        <v>4</v>
      </c>
    </row>
    <row r="4" spans="1:16" ht="12.75" customHeight="1">
      <c r="A4" s="461"/>
      <c r="B4" s="87" t="s">
        <v>2246</v>
      </c>
      <c r="C4" s="87"/>
    </row>
    <row r="5" spans="1:16" ht="12.75" customHeight="1">
      <c r="A5" s="461"/>
      <c r="B5" s="476"/>
      <c r="C5" s="477" t="s">
        <v>590</v>
      </c>
      <c r="D5" s="131"/>
    </row>
    <row r="6" spans="1:16" ht="12.75" customHeight="1">
      <c r="A6" s="461"/>
      <c r="B6" s="476"/>
      <c r="C6" s="476"/>
      <c r="D6" s="170" t="str">
        <f>nmSeg1</f>
        <v>Medicare</v>
      </c>
      <c r="E6" s="447">
        <f>ROUND(INDEX(dataMMLOB1UnitsNew,4)*obalLOB1MarketShare*cbalLOB1Seg1Perc,0)</f>
        <v>1456</v>
      </c>
      <c r="F6" s="447">
        <f>ROUND(INDEX(dataMMLOB1UnitsNew,4)*obalLOB1MarketShare*cbalLOB1Seg1Perc,0)</f>
        <v>1456</v>
      </c>
      <c r="G6" s="447">
        <f>ROUND(INDEX(dataMMLOB1UnitsNew,4)*obalLOB1MarketShare*cbalLOB1Seg1Perc,0)</f>
        <v>1456</v>
      </c>
      <c r="H6" s="131" t="s">
        <v>1973</v>
      </c>
      <c r="J6" s="170" t="str">
        <f>nmSeg1</f>
        <v>Medicare</v>
      </c>
      <c r="K6" s="447">
        <f>ROUND(INDEX(dataMMLOB1UnitsNew,5)*33.5%*cbalR2LOB1Seg1Perc,0)</f>
        <v>1479</v>
      </c>
      <c r="L6" s="447">
        <f>ROUND(INDEX(dataMMLOB1UnitsNew,5)*obalR2LOB1MarketShare*cbalR2LOB1Seg1Perc,0)</f>
        <v>1470</v>
      </c>
      <c r="M6" s="447">
        <f>ROUND(INDEX(dataMMLOB1UnitsNew,5)*obalR2LOB1MarketShare*cbalR2LOB1Seg1Perc,0)</f>
        <v>1470</v>
      </c>
      <c r="N6" s="131" t="s">
        <v>5916</v>
      </c>
    </row>
    <row r="7" spans="1:16" ht="12.75" customHeight="1">
      <c r="A7" s="461"/>
      <c r="B7" s="476"/>
      <c r="C7" s="476"/>
      <c r="D7" s="170" t="str">
        <f>nmSeg2</f>
        <v>PPS</v>
      </c>
      <c r="E7" s="447">
        <f>ROUND(INDEX(dataMMLOB1UnitsNew,4)*obalLOB1MarketShare*cbalLOB1Seg2Perc,0)</f>
        <v>251</v>
      </c>
      <c r="F7" s="447">
        <f>ROUND(INDEX(dataMMLOB1UnitsNew,4)*obalLOB1MarketShare*cbalLOB1Seg2Perc,0)</f>
        <v>251</v>
      </c>
      <c r="G7" s="447">
        <f>ROUND(INDEX(dataMMLOB1UnitsNew,4)*obalLOB1MarketShare*cbalLOB1Seg2Perc,0)</f>
        <v>251</v>
      </c>
      <c r="H7" s="131" t="s">
        <v>1974</v>
      </c>
      <c r="J7" s="170" t="str">
        <f>nmSeg2</f>
        <v>PPS</v>
      </c>
      <c r="K7" s="447">
        <f>ROUND(INDEX(dataMMLOB1UnitsNew,5)*33.5%*cbalR2LOB1Seg2Perc,0)</f>
        <v>255</v>
      </c>
      <c r="L7" s="447">
        <f>ROUND(INDEX(dataMMLOB1UnitsNew,5)*obalR2LOB1MarketShare*cbalR2LOB1Seg2Perc,0)</f>
        <v>254</v>
      </c>
      <c r="M7" s="447">
        <f>ROUND(INDEX(dataMMLOB1UnitsNew,5)*obalR2LOB1MarketShare*cbalR2LOB1Seg2Perc,0)</f>
        <v>254</v>
      </c>
      <c r="N7" s="131" t="s">
        <v>5917</v>
      </c>
    </row>
    <row r="8" spans="1:16" ht="12.75" customHeight="1">
      <c r="A8" s="461"/>
      <c r="B8" s="476"/>
      <c r="C8" s="476"/>
      <c r="D8" s="170" t="str">
        <f>nmSeg3</f>
        <v>Other</v>
      </c>
      <c r="E8" s="447">
        <f>ROUND(INDEX(dataMMLOB1UnitsNew,4)*obalLOB1MarketShare*cbalLOB1Seg3Perc,0)</f>
        <v>803</v>
      </c>
      <c r="F8" s="447">
        <f>ROUND(INDEX(dataMMLOB1UnitsNew,4)*obalLOB1MarketShare*cbalLOB1Seg3Perc,0)</f>
        <v>803</v>
      </c>
      <c r="G8" s="447">
        <f>ROUND(INDEX(dataMMLOB1UnitsNew,4)*obalLOB1MarketShare*cbalLOB1Seg3Perc,0)</f>
        <v>803</v>
      </c>
      <c r="H8" s="131" t="s">
        <v>1975</v>
      </c>
      <c r="J8" s="170" t="str">
        <f>nmSeg3</f>
        <v>Other</v>
      </c>
      <c r="K8" s="447">
        <f>ROUND(INDEX(dataMMLOB1UnitsNew,5)*33.5%*cbalR2LOB1Seg3Perc,0)</f>
        <v>816</v>
      </c>
      <c r="L8" s="447">
        <f>ROUND(INDEX(dataMMLOB1UnitsNew,5)*obalR2LOB1MarketShare*cbalR2LOB1Seg3Perc,0)</f>
        <v>811</v>
      </c>
      <c r="M8" s="447">
        <f>ROUND(INDEX(dataMMLOB1UnitsNew,5)*obalR2LOB1MarketShare*cbalR2LOB1Seg3Perc,0)</f>
        <v>811</v>
      </c>
      <c r="N8" s="131" t="s">
        <v>5918</v>
      </c>
    </row>
    <row r="9" spans="1:16" ht="12.75" customHeight="1">
      <c r="A9" s="461"/>
      <c r="B9" s="476"/>
      <c r="C9" s="477" t="s">
        <v>591</v>
      </c>
      <c r="E9" s="447"/>
      <c r="F9" s="447"/>
      <c r="G9" s="447"/>
      <c r="K9" s="447"/>
      <c r="L9" s="447"/>
      <c r="M9" s="447"/>
    </row>
    <row r="10" spans="1:16" ht="12.75" customHeight="1">
      <c r="A10" s="461"/>
      <c r="B10" s="476"/>
      <c r="C10" s="476"/>
      <c r="D10" s="170" t="str">
        <f>nmSeg1</f>
        <v>Medicare</v>
      </c>
      <c r="E10" s="447">
        <f>ROUND(calcLOB1Prod1Seg1RunRate*cbalLOB1Prod2Seg1Perc,0)</f>
        <v>364</v>
      </c>
      <c r="F10" s="447">
        <f>ROUND(calcLOB1Prod1Seg1RunRate*cbalLOB1Prod2Seg1Perc,0)</f>
        <v>364</v>
      </c>
      <c r="G10" s="447">
        <f>ROUND(calcLOB1Prod1Seg1RunRate*cbalLOB1Prod2Seg1Perc,0)</f>
        <v>364</v>
      </c>
      <c r="H10" s="131" t="s">
        <v>1976</v>
      </c>
      <c r="J10" s="170" t="str">
        <f>nmSeg1</f>
        <v>Medicare</v>
      </c>
      <c r="K10" s="447">
        <f>ROUND(calcR2LOB1Prod1Seg1RunRate*cbalR2LOB1Prod2Seg1Perc,0)</f>
        <v>370</v>
      </c>
      <c r="L10" s="447">
        <f>ROUND(calcR2LOB1Prod1Seg1RunRate*cbalR2LOB1Prod2Seg1Perc,0)</f>
        <v>368</v>
      </c>
      <c r="M10" s="447">
        <f>ROUND(calcR2LOB1Prod1Seg1RunRate*cbalR2LOB1Prod2Seg1Perc,0)</f>
        <v>368</v>
      </c>
      <c r="N10" s="131" t="s">
        <v>5919</v>
      </c>
    </row>
    <row r="11" spans="1:16" ht="12.75" customHeight="1">
      <c r="A11" s="461"/>
      <c r="B11" s="476"/>
      <c r="C11" s="476"/>
      <c r="D11" s="170" t="str">
        <f>nmSeg2</f>
        <v>PPS</v>
      </c>
      <c r="E11" s="447">
        <f>ROUND(calcLOB1Prod1Seg2RunRate*cbalLOB1Prod2Seg2Perc,0)</f>
        <v>63</v>
      </c>
      <c r="F11" s="447">
        <f>ROUND(calcLOB1Prod1Seg2RunRate*cbalLOB1Prod2Seg2Perc,0)</f>
        <v>63</v>
      </c>
      <c r="G11" s="447">
        <f>ROUND(calcLOB1Prod1Seg2RunRate*cbalLOB1Prod2Seg2Perc,0)</f>
        <v>63</v>
      </c>
      <c r="H11" s="131" t="s">
        <v>1977</v>
      </c>
      <c r="J11" s="170" t="str">
        <f>nmSeg2</f>
        <v>PPS</v>
      </c>
      <c r="K11" s="447">
        <f>ROUND(calcR2LOB1Prod1Seg2RunRate*cbalR2LOB1Prod2Seg2Perc,0)</f>
        <v>64</v>
      </c>
      <c r="L11" s="447">
        <f>ROUND(calcR2LOB1Prod1Seg2RunRate*cbalR2LOB1Prod2Seg2Perc,0)</f>
        <v>64</v>
      </c>
      <c r="M11" s="447">
        <f>ROUND(calcR2LOB1Prod1Seg2RunRate*cbalR2LOB1Prod2Seg2Perc,0)</f>
        <v>64</v>
      </c>
      <c r="N11" s="131" t="s">
        <v>5920</v>
      </c>
    </row>
    <row r="12" spans="1:16" ht="12.75" customHeight="1">
      <c r="A12" s="461"/>
      <c r="B12" s="476"/>
      <c r="C12" s="476"/>
      <c r="D12" s="170" t="str">
        <f>nmSeg3</f>
        <v>Other</v>
      </c>
      <c r="E12" s="447">
        <f>ROUND(calcLOB1Prod1Seg3RunRate*cbalLOB1Prod2Seg3Perc,0)</f>
        <v>201</v>
      </c>
      <c r="F12" s="447">
        <f>ROUND(calcLOB1Prod1Seg3RunRate*cbalLOB1Prod2Seg3Perc,0)</f>
        <v>201</v>
      </c>
      <c r="G12" s="447">
        <f>ROUND(calcLOB1Prod1Seg3RunRate*cbalLOB1Prod2Seg3Perc,0)</f>
        <v>201</v>
      </c>
      <c r="H12" s="131" t="s">
        <v>1978</v>
      </c>
      <c r="J12" s="170" t="str">
        <f>nmSeg3</f>
        <v>Other</v>
      </c>
      <c r="K12" s="447">
        <f>ROUND(calcR2LOB1Prod1Seg3RunRate*cbalR2LOB1Prod2Seg3Perc,0)</f>
        <v>204</v>
      </c>
      <c r="L12" s="447">
        <f>ROUND(calcR2LOB1Prod1Seg3RunRate*cbalR2LOB1Prod2Seg3Perc,0)</f>
        <v>203</v>
      </c>
      <c r="M12" s="447">
        <f>ROUND(calcR2LOB1Prod1Seg3RunRate*cbalR2LOB1Prod2Seg3Perc,0)</f>
        <v>203</v>
      </c>
      <c r="N12" s="131" t="s">
        <v>5921</v>
      </c>
    </row>
    <row r="13" spans="1:16" ht="1.5" customHeight="1">
      <c r="A13" s="461"/>
      <c r="B13" s="476"/>
      <c r="C13" s="476"/>
      <c r="D13" s="449"/>
      <c r="E13" s="450"/>
      <c r="F13" s="450"/>
      <c r="G13" s="450"/>
      <c r="H13" s="131"/>
      <c r="J13" s="449"/>
      <c r="K13" s="450"/>
      <c r="L13" s="450"/>
      <c r="M13" s="450"/>
      <c r="N13" s="131"/>
    </row>
    <row r="14" spans="1:16" ht="12.75" customHeight="1">
      <c r="A14" s="461"/>
      <c r="B14" s="476"/>
      <c r="C14" s="476"/>
      <c r="D14" s="131" t="s">
        <v>1583</v>
      </c>
      <c r="E14" s="448">
        <f>SUM(E6:E13)</f>
        <v>3138</v>
      </c>
      <c r="F14" s="448">
        <f t="shared" ref="F14:G14" si="0">SUM(F6:F13)</f>
        <v>3138</v>
      </c>
      <c r="G14" s="448">
        <f t="shared" si="0"/>
        <v>3138</v>
      </c>
      <c r="H14" s="131" t="s">
        <v>1979</v>
      </c>
      <c r="J14" s="131" t="s">
        <v>1583</v>
      </c>
      <c r="K14" s="448">
        <f>SUM(K6:K13)</f>
        <v>3188</v>
      </c>
      <c r="L14" s="448">
        <f t="shared" ref="L14:M14" si="1">SUM(L6:L13)</f>
        <v>3170</v>
      </c>
      <c r="M14" s="448">
        <f t="shared" si="1"/>
        <v>3170</v>
      </c>
      <c r="N14" s="131" t="s">
        <v>5922</v>
      </c>
    </row>
    <row r="15" spans="1:16" ht="12.75" customHeight="1">
      <c r="A15" s="461"/>
    </row>
    <row r="16" spans="1:16" ht="12.75" customHeight="1">
      <c r="A16" s="461"/>
      <c r="B16" s="476"/>
      <c r="C16" s="477" t="s">
        <v>590</v>
      </c>
      <c r="D16" s="131"/>
    </row>
    <row r="17" spans="1:14" ht="12.75" customHeight="1">
      <c r="A17" s="461"/>
      <c r="B17" s="476"/>
      <c r="C17" s="476"/>
      <c r="D17" s="170" t="str">
        <f>nmSeg1</f>
        <v>Medicare</v>
      </c>
      <c r="E17" s="447">
        <f>ROUND(calcLOB1Prod1Seg1RunRate/paramTimeConversion,0)</f>
        <v>121</v>
      </c>
      <c r="F17" s="447">
        <f>ROUND(calcLOB1Prod1Seg1RunRate/paramTimeConversion,0)</f>
        <v>121</v>
      </c>
      <c r="G17" s="447">
        <f>ROUND(calcLOB1Prod1Seg1RunRate/paramTimeConversion,0)</f>
        <v>121</v>
      </c>
      <c r="H17" s="131" t="s">
        <v>8420</v>
      </c>
      <c r="J17" s="170" t="str">
        <f>nmSeg1</f>
        <v>Medicare</v>
      </c>
      <c r="K17" s="447">
        <f>ROUND(calcR2LOB1Prod1Seg1RunRate/paramR2TimeConversion,0)</f>
        <v>123</v>
      </c>
      <c r="L17" s="447">
        <f>ROUND(calcR2LOB1Prod1Seg1RunRate/paramR2TimeConversion,0)</f>
        <v>123</v>
      </c>
      <c r="M17" s="447">
        <f>ROUND(calcR2LOB1Prod1Seg1RunRate/paramR2TimeConversion,0)</f>
        <v>123</v>
      </c>
      <c r="N17" s="131" t="s">
        <v>8427</v>
      </c>
    </row>
    <row r="18" spans="1:14" ht="12.75" customHeight="1">
      <c r="A18" s="461"/>
      <c r="B18" s="476"/>
      <c r="C18" s="476"/>
      <c r="D18" s="170" t="str">
        <f>nmSeg2</f>
        <v>PPS</v>
      </c>
      <c r="E18" s="447">
        <f>ROUND(calcLOB1Prod1Seg2RunRate/paramTimeConversion,0)</f>
        <v>21</v>
      </c>
      <c r="F18" s="447">
        <f>ROUND(calcLOB1Prod1Seg2RunRate/paramTimeConversion,0)</f>
        <v>21</v>
      </c>
      <c r="G18" s="447">
        <f>ROUND(calcLOB1Prod1Seg2RunRate/paramTimeConversion,0)</f>
        <v>21</v>
      </c>
      <c r="H18" s="131" t="s">
        <v>8421</v>
      </c>
      <c r="J18" s="170" t="str">
        <f>nmSeg2</f>
        <v>PPS</v>
      </c>
      <c r="K18" s="447">
        <f>ROUND(calcR2LOB1Prod1Seg2RunRate/paramR2TimeConversion,0)</f>
        <v>21</v>
      </c>
      <c r="L18" s="447">
        <f>ROUND(calcR2LOB1Prod1Seg2RunRate/paramR2TimeConversion,0)</f>
        <v>21</v>
      </c>
      <c r="M18" s="447">
        <f>ROUND(calcR2LOB1Prod1Seg2RunRate/paramR2TimeConversion,0)</f>
        <v>21</v>
      </c>
      <c r="N18" s="131" t="s">
        <v>8428</v>
      </c>
    </row>
    <row r="19" spans="1:14" ht="12.75" customHeight="1">
      <c r="A19" s="461"/>
      <c r="B19" s="476"/>
      <c r="C19" s="476"/>
      <c r="D19" s="170" t="str">
        <f>nmSeg3</f>
        <v>Other</v>
      </c>
      <c r="E19" s="447">
        <f>ROUND(calcLOB1Prod1Seg3RunRate/paramTimeConversion,0)</f>
        <v>67</v>
      </c>
      <c r="F19" s="447">
        <f>ROUND(calcLOB1Prod1Seg3RunRate/paramTimeConversion,0)</f>
        <v>67</v>
      </c>
      <c r="G19" s="447">
        <f>ROUND(calcLOB1Prod1Seg3RunRate/paramTimeConversion,0)</f>
        <v>67</v>
      </c>
      <c r="H19" s="131" t="s">
        <v>8422</v>
      </c>
      <c r="J19" s="170" t="str">
        <f>nmSeg3</f>
        <v>Other</v>
      </c>
      <c r="K19" s="447">
        <f>ROUND(calcR2LOB1Prod1Seg3RunRate/paramR2TimeConversion,0)</f>
        <v>68</v>
      </c>
      <c r="L19" s="447">
        <f>ROUND(calcR2LOB1Prod1Seg3RunRate/paramR2TimeConversion,0)</f>
        <v>68</v>
      </c>
      <c r="M19" s="447">
        <f>ROUND(calcR2LOB1Prod1Seg3RunRate/paramR2TimeConversion,0)</f>
        <v>68</v>
      </c>
      <c r="N19" s="131" t="s">
        <v>8429</v>
      </c>
    </row>
    <row r="20" spans="1:14" ht="12.75" customHeight="1">
      <c r="A20" s="461"/>
      <c r="B20" s="476"/>
      <c r="C20" s="477" t="s">
        <v>591</v>
      </c>
      <c r="E20" s="447"/>
      <c r="F20" s="447"/>
      <c r="G20" s="447"/>
      <c r="K20" s="447"/>
      <c r="L20" s="447"/>
      <c r="M20" s="447"/>
    </row>
    <row r="21" spans="1:14" ht="12.75" customHeight="1">
      <c r="A21" s="461"/>
      <c r="B21" s="476"/>
      <c r="C21" s="476"/>
      <c r="D21" s="170" t="str">
        <f>nmSeg1</f>
        <v>Medicare</v>
      </c>
      <c r="E21" s="447">
        <f>ROUND(calcLOB1Prod2Seg1RunRate/paramTimeConversion,0)</f>
        <v>30</v>
      </c>
      <c r="F21" s="447">
        <f>ROUND(calcLOB1Prod2Seg1RunRate/paramTimeConversion,0)</f>
        <v>30</v>
      </c>
      <c r="G21" s="447">
        <f>ROUND(calcLOB1Prod2Seg1RunRate/paramTimeConversion,0)</f>
        <v>30</v>
      </c>
      <c r="H21" s="131" t="s">
        <v>8423</v>
      </c>
      <c r="J21" s="170" t="str">
        <f>nmSeg1</f>
        <v>Medicare</v>
      </c>
      <c r="K21" s="447">
        <f>ROUND(calcR2LOB1Prod2Seg1RunRate/paramR2TimeConversion,0)</f>
        <v>31</v>
      </c>
      <c r="L21" s="447">
        <f>ROUND(calcR2LOB1Prod2Seg1RunRate/paramR2TimeConversion,0)</f>
        <v>31</v>
      </c>
      <c r="M21" s="447">
        <f>ROUND(calcR2LOB1Prod2Seg1RunRate/paramR2TimeConversion,0)</f>
        <v>31</v>
      </c>
      <c r="N21" s="131" t="s">
        <v>8430</v>
      </c>
    </row>
    <row r="22" spans="1:14" ht="12.75" customHeight="1">
      <c r="A22" s="461"/>
      <c r="B22" s="476"/>
      <c r="C22" s="476"/>
      <c r="D22" s="170" t="str">
        <f>nmSeg2</f>
        <v>PPS</v>
      </c>
      <c r="E22" s="447">
        <f>ROUND(calcLOB1Prod2Seg2RunRate/paramTimeConversion,0)</f>
        <v>5</v>
      </c>
      <c r="F22" s="447">
        <f>ROUND(calcLOB1Prod2Seg2RunRate/paramTimeConversion,0)</f>
        <v>5</v>
      </c>
      <c r="G22" s="447">
        <f>ROUND(calcLOB1Prod2Seg2RunRate/paramTimeConversion,0)</f>
        <v>5</v>
      </c>
      <c r="H22" s="131" t="s">
        <v>8424</v>
      </c>
      <c r="J22" s="170" t="str">
        <f>nmSeg2</f>
        <v>PPS</v>
      </c>
      <c r="K22" s="447">
        <f>ROUND(calcR2LOB1Prod2Seg2RunRate/paramR2TimeConversion,0)</f>
        <v>5</v>
      </c>
      <c r="L22" s="447">
        <f>ROUND(calcR2LOB1Prod2Seg2RunRate/paramR2TimeConversion,0)</f>
        <v>5</v>
      </c>
      <c r="M22" s="447">
        <f>ROUND(calcR2LOB1Prod2Seg2RunRate/paramR2TimeConversion,0)</f>
        <v>5</v>
      </c>
      <c r="N22" s="131" t="s">
        <v>8431</v>
      </c>
    </row>
    <row r="23" spans="1:14" ht="12.75" customHeight="1">
      <c r="A23" s="461"/>
      <c r="B23" s="476"/>
      <c r="C23" s="476"/>
      <c r="D23" s="170" t="str">
        <f>nmSeg3</f>
        <v>Other</v>
      </c>
      <c r="E23" s="447">
        <f>ROUND(calcLOB1Prod2Seg3RunRate/paramTimeConversion,0)</f>
        <v>17</v>
      </c>
      <c r="F23" s="447">
        <f>ROUND(calcLOB1Prod2Seg3RunRate/paramTimeConversion,0)</f>
        <v>17</v>
      </c>
      <c r="G23" s="447">
        <f>ROUND(calcLOB1Prod2Seg3RunRate/paramTimeConversion,0)</f>
        <v>17</v>
      </c>
      <c r="H23" s="131" t="s">
        <v>8425</v>
      </c>
      <c r="J23" s="170" t="str">
        <f>nmSeg3</f>
        <v>Other</v>
      </c>
      <c r="K23" s="447">
        <f>ROUND(calcR2LOB1Prod2Seg3RunRate/paramR2TimeConversion,0)</f>
        <v>17</v>
      </c>
      <c r="L23" s="447">
        <f>ROUND(calcR2LOB1Prod2Seg3RunRate/paramR2TimeConversion,0)</f>
        <v>17</v>
      </c>
      <c r="M23" s="447">
        <f>ROUND(calcR2LOB1Prod2Seg3RunRate/paramR2TimeConversion,0)</f>
        <v>17</v>
      </c>
      <c r="N23" s="131" t="s">
        <v>8432</v>
      </c>
    </row>
    <row r="24" spans="1:14" ht="1.5" customHeight="1">
      <c r="A24" s="461"/>
      <c r="B24" s="476"/>
      <c r="C24" s="476"/>
      <c r="D24" s="449"/>
      <c r="E24" s="450"/>
      <c r="F24" s="450"/>
      <c r="G24" s="450"/>
      <c r="H24" s="131"/>
      <c r="J24" s="449"/>
      <c r="K24" s="450"/>
      <c r="L24" s="450"/>
      <c r="M24" s="450"/>
      <c r="N24" s="131"/>
    </row>
    <row r="25" spans="1:14" ht="12.75" customHeight="1">
      <c r="A25" s="461"/>
      <c r="B25" s="476"/>
      <c r="C25" s="476"/>
      <c r="D25" s="131" t="s">
        <v>1583</v>
      </c>
      <c r="E25" s="448">
        <f>SUM(E17:E24)</f>
        <v>261</v>
      </c>
      <c r="F25" s="448">
        <f t="shared" ref="F25:G25" si="2">SUM(F17:F24)</f>
        <v>261</v>
      </c>
      <c r="G25" s="448">
        <f t="shared" si="2"/>
        <v>261</v>
      </c>
      <c r="H25" s="131" t="s">
        <v>8426</v>
      </c>
      <c r="J25" s="131" t="s">
        <v>1583</v>
      </c>
      <c r="K25" s="448">
        <f>SUM(K17:K24)</f>
        <v>265</v>
      </c>
      <c r="L25" s="448">
        <f t="shared" ref="L25:M25" si="3">SUM(L17:L24)</f>
        <v>265</v>
      </c>
      <c r="M25" s="448">
        <f t="shared" si="3"/>
        <v>265</v>
      </c>
      <c r="N25" s="131" t="s">
        <v>8433</v>
      </c>
    </row>
    <row r="26" spans="1:14" ht="12.75" customHeight="1">
      <c r="A26" s="461"/>
    </row>
    <row r="27" spans="1:14" ht="12.75" customHeight="1">
      <c r="A27" s="461"/>
      <c r="B27" s="87" t="s">
        <v>2246</v>
      </c>
      <c r="C27" s="87"/>
    </row>
    <row r="28" spans="1:14" ht="12.75" customHeight="1">
      <c r="A28" s="461"/>
      <c r="B28" s="476"/>
      <c r="C28" s="477" t="s">
        <v>590</v>
      </c>
      <c r="D28" s="131"/>
      <c r="J28" s="131"/>
    </row>
    <row r="29" spans="1:14" ht="12.75" customHeight="1">
      <c r="A29" s="461"/>
      <c r="B29" s="476"/>
      <c r="C29" s="639">
        <v>1.4999999999999999E-2</v>
      </c>
      <c r="D29" s="170" t="str">
        <f>nmSeg1</f>
        <v>Medicare</v>
      </c>
      <c r="E29" s="447">
        <f>ROUND(INDEX(dataMMLOB1UnitsNew,4)*(obalLOB1MarketShare+$C29)*cbalLOB1Seg1Perc,0)</f>
        <v>1521</v>
      </c>
      <c r="F29" s="447">
        <f>ROUND(INDEX(dataMMLOB1UnitsNew,4)*(obalLOB1MarketShare+$C29)*cbalLOB1Seg1Perc,0)</f>
        <v>1521</v>
      </c>
      <c r="G29" s="447">
        <f>ROUND(INDEX(dataMMLOB1UnitsNew,4)*(obalLOB1MarketShare+$C29)*cbalLOB1Seg1Perc,0)</f>
        <v>1521</v>
      </c>
      <c r="H29" s="131" t="s">
        <v>5006</v>
      </c>
      <c r="J29" s="170" t="str">
        <f>nmSeg1</f>
        <v>Medicare</v>
      </c>
      <c r="K29" s="447">
        <f>ROUND(INDEX(dataMMLOB1UnitsNew,5)*(33.5%+$C29)*cbalR2LOB1Seg1Perc,0)</f>
        <v>1545</v>
      </c>
      <c r="L29" s="447">
        <f>ROUND(INDEX(dataMMLOB1UnitsNew,5)*(33.5%+$C29)*cbalR2LOB1Seg1Perc,0)</f>
        <v>1545</v>
      </c>
      <c r="M29" s="447">
        <f>ROUND(INDEX(dataMMLOB1UnitsNew,5)*(33.5%+$C29)*cbalR2LOB1Seg1Perc,0)</f>
        <v>1545</v>
      </c>
      <c r="N29" s="131" t="s">
        <v>5923</v>
      </c>
    </row>
    <row r="30" spans="1:14" ht="12.75" customHeight="1">
      <c r="A30" s="461"/>
      <c r="B30" s="476"/>
      <c r="C30" s="639">
        <v>1.4999999999999999E-2</v>
      </c>
      <c r="D30" s="170" t="str">
        <f>nmSeg2</f>
        <v>PPS</v>
      </c>
      <c r="E30" s="447">
        <f>ROUND(INDEX(dataMMLOB1UnitsNew,4)*(obalLOB1MarketShare+$C30)*cbalLOB1Seg2Perc,0)</f>
        <v>262</v>
      </c>
      <c r="F30" s="447">
        <f>ROUND(INDEX(dataMMLOB1UnitsNew,4)*(obalLOB1MarketShare+$C30)*cbalLOB1Seg2Perc,0)</f>
        <v>262</v>
      </c>
      <c r="G30" s="447">
        <f>ROUND(INDEX(dataMMLOB1UnitsNew,4)*(obalLOB1MarketShare+$C30)*cbalLOB1Seg2Perc,0)</f>
        <v>262</v>
      </c>
      <c r="H30" s="131" t="s">
        <v>5007</v>
      </c>
      <c r="J30" s="170" t="str">
        <f>nmSeg2</f>
        <v>PPS</v>
      </c>
      <c r="K30" s="447">
        <f>ROUND(INDEX(dataMMLOB1UnitsNew,5)*(33.5%+$C30)*cbalR2LOB1Seg2Perc,0)</f>
        <v>266</v>
      </c>
      <c r="L30" s="447">
        <f>ROUND(INDEX(dataMMLOB1UnitsNew,5)*(33.5%+$C30)*cbalR2LOB1Seg2Perc,0)</f>
        <v>266</v>
      </c>
      <c r="M30" s="447">
        <f>ROUND(INDEX(dataMMLOB1UnitsNew,5)*(33.5%+$C30)*cbalR2LOB1Seg2Perc,0)</f>
        <v>266</v>
      </c>
      <c r="N30" s="131" t="s">
        <v>5924</v>
      </c>
    </row>
    <row r="31" spans="1:14" ht="12.75" customHeight="1">
      <c r="A31" s="461"/>
      <c r="B31" s="476"/>
      <c r="C31" s="639">
        <v>1.4999999999999999E-2</v>
      </c>
      <c r="D31" s="170" t="str">
        <f>nmSeg3</f>
        <v>Other</v>
      </c>
      <c r="E31" s="447">
        <f>ROUND(INDEX(dataMMLOB1UnitsNew,4)*(obalLOB1MarketShare+$C31)*cbalLOB1Seg3Perc,0)</f>
        <v>839</v>
      </c>
      <c r="F31" s="447">
        <f>ROUND(INDEX(dataMMLOB1UnitsNew,4)*(obalLOB1MarketShare+$C31)*cbalLOB1Seg3Perc,0)</f>
        <v>839</v>
      </c>
      <c r="G31" s="447">
        <f>ROUND(INDEX(dataMMLOB1UnitsNew,4)*(obalLOB1MarketShare+$C31)*cbalLOB1Seg3Perc,0)</f>
        <v>839</v>
      </c>
      <c r="H31" s="131" t="s">
        <v>5008</v>
      </c>
      <c r="J31" s="170" t="str">
        <f>nmSeg3</f>
        <v>Other</v>
      </c>
      <c r="K31" s="447">
        <f>ROUND(INDEX(dataMMLOB1UnitsNew,5)*(33.5%+$C31)*cbalR2LOB1Seg3Perc,0)</f>
        <v>853</v>
      </c>
      <c r="L31" s="447">
        <f>ROUND(INDEX(dataMMLOB1UnitsNew,5)*(33.5%+$C31)*cbalR2LOB1Seg3Perc,0)</f>
        <v>853</v>
      </c>
      <c r="M31" s="447">
        <f>ROUND(INDEX(dataMMLOB1UnitsNew,5)*(33.5%+$C31)*cbalR2LOB1Seg3Perc,0)</f>
        <v>853</v>
      </c>
      <c r="N31" s="131" t="s">
        <v>5925</v>
      </c>
    </row>
    <row r="32" spans="1:14" ht="12.75" customHeight="1">
      <c r="A32" s="461"/>
      <c r="B32" s="476"/>
      <c r="C32" s="477" t="s">
        <v>591</v>
      </c>
      <c r="E32" s="447"/>
      <c r="F32" s="447"/>
      <c r="G32" s="447"/>
      <c r="K32" s="447"/>
      <c r="L32" s="447"/>
      <c r="M32" s="447"/>
    </row>
    <row r="33" spans="1:14" ht="12.75" customHeight="1">
      <c r="A33" s="461"/>
      <c r="B33" s="476"/>
      <c r="C33" s="476"/>
      <c r="D33" s="170" t="str">
        <f>nmSeg1</f>
        <v>Medicare</v>
      </c>
      <c r="E33" s="447">
        <f>ROUND(calcLOB1Prod1Seg1Budget*cbalLOB1Prod2Seg1Perc,0)</f>
        <v>380</v>
      </c>
      <c r="F33" s="447">
        <f>ROUND(calcLOB1Prod1Seg1Budget*cbalLOB1Prod2Seg1Perc,0)</f>
        <v>380</v>
      </c>
      <c r="G33" s="447">
        <f>ROUND(calcLOB1Prod1Seg1Budget*cbalLOB1Prod2Seg1Perc,0)</f>
        <v>380</v>
      </c>
      <c r="H33" s="131" t="s">
        <v>5009</v>
      </c>
      <c r="J33" s="170" t="str">
        <f>nmSeg1</f>
        <v>Medicare</v>
      </c>
      <c r="K33" s="447">
        <f>ROUND(calcR2LOB1Prod1Seg1Budget*cbalR2LOB1Prod2Seg1Perc,0)</f>
        <v>386</v>
      </c>
      <c r="L33" s="447">
        <f>ROUND(calcR2LOB1Prod1Seg1Budget*cbalR2LOB1Prod2Seg1Perc,0)</f>
        <v>386</v>
      </c>
      <c r="M33" s="447">
        <f>ROUND(calcR2LOB1Prod1Seg1Budget*cbalR2LOB1Prod2Seg1Perc,0)</f>
        <v>386</v>
      </c>
      <c r="N33" s="131" t="s">
        <v>5926</v>
      </c>
    </row>
    <row r="34" spans="1:14" ht="12.75" customHeight="1">
      <c r="A34" s="461"/>
      <c r="B34" s="476"/>
      <c r="C34" s="476"/>
      <c r="D34" s="170" t="str">
        <f>nmSeg2</f>
        <v>PPS</v>
      </c>
      <c r="E34" s="447">
        <f>ROUND(calcLOB1Prod1Seg2Budget*cbalLOB1Prod2Seg2Perc,0)</f>
        <v>66</v>
      </c>
      <c r="F34" s="447">
        <f>ROUND(calcLOB1Prod1Seg2Budget*cbalLOB1Prod2Seg2Perc,0)</f>
        <v>66</v>
      </c>
      <c r="G34" s="447">
        <f>ROUND(calcLOB1Prod1Seg2Budget*cbalLOB1Prod2Seg2Perc,0)</f>
        <v>66</v>
      </c>
      <c r="H34" s="131" t="s">
        <v>5010</v>
      </c>
      <c r="J34" s="170" t="str">
        <f>nmSeg2</f>
        <v>PPS</v>
      </c>
      <c r="K34" s="447">
        <f>ROUND(calcR2LOB1Prod1Seg2Budget*cbalR2LOB1Prod2Seg2Perc,0)</f>
        <v>67</v>
      </c>
      <c r="L34" s="447">
        <f>ROUND(calcR2LOB1Prod1Seg2Budget*cbalR2LOB1Prod2Seg2Perc,0)</f>
        <v>67</v>
      </c>
      <c r="M34" s="447">
        <f>ROUND(calcR2LOB1Prod1Seg2Budget*cbalR2LOB1Prod2Seg2Perc,0)</f>
        <v>67</v>
      </c>
      <c r="N34" s="131" t="s">
        <v>5927</v>
      </c>
    </row>
    <row r="35" spans="1:14" ht="12.75" customHeight="1">
      <c r="A35" s="461"/>
      <c r="B35" s="476"/>
      <c r="C35" s="476"/>
      <c r="D35" s="170" t="str">
        <f>nmSeg3</f>
        <v>Other</v>
      </c>
      <c r="E35" s="447">
        <f>ROUND(calcLOB1Prod1Seg3Budget*cbalLOB1Prod2Seg3Perc,0)</f>
        <v>210</v>
      </c>
      <c r="F35" s="447">
        <f>ROUND(calcLOB1Prod1Seg3Budget*cbalLOB1Prod2Seg3Perc,0)</f>
        <v>210</v>
      </c>
      <c r="G35" s="447">
        <f>ROUND(calcLOB1Prod1Seg3Budget*cbalLOB1Prod2Seg3Perc,0)</f>
        <v>210</v>
      </c>
      <c r="H35" s="131" t="s">
        <v>5011</v>
      </c>
      <c r="J35" s="170" t="str">
        <f>nmSeg3</f>
        <v>Other</v>
      </c>
      <c r="K35" s="447">
        <f>ROUND(calcR2LOB1Prod1Seg3Budget*cbalR2LOB1Prod2Seg3Perc,0)</f>
        <v>213</v>
      </c>
      <c r="L35" s="447">
        <f>ROUND(calcR2LOB1Prod1Seg3Budget*cbalR2LOB1Prod2Seg3Perc,0)</f>
        <v>213</v>
      </c>
      <c r="M35" s="447">
        <f>ROUND(calcR2LOB1Prod1Seg3Budget*cbalR2LOB1Prod2Seg3Perc,0)</f>
        <v>213</v>
      </c>
      <c r="N35" s="131" t="s">
        <v>5928</v>
      </c>
    </row>
    <row r="36" spans="1:14" ht="1.5" customHeight="1">
      <c r="A36" s="461"/>
      <c r="B36" s="476"/>
      <c r="C36" s="476"/>
      <c r="D36" s="449"/>
      <c r="E36" s="450"/>
      <c r="F36" s="450"/>
      <c r="G36" s="450"/>
      <c r="H36" s="131"/>
      <c r="J36" s="449"/>
      <c r="K36" s="450"/>
      <c r="L36" s="450"/>
      <c r="M36" s="450"/>
      <c r="N36" s="131"/>
    </row>
    <row r="37" spans="1:14" ht="12.75" customHeight="1">
      <c r="A37" s="461"/>
      <c r="B37" s="476"/>
      <c r="C37" s="476"/>
      <c r="D37" s="131" t="s">
        <v>1583</v>
      </c>
      <c r="E37" s="448">
        <f>SUM(E29:E36)</f>
        <v>3278</v>
      </c>
      <c r="F37" s="448">
        <f t="shared" ref="F37:G37" si="4">SUM(F29:F36)</f>
        <v>3278</v>
      </c>
      <c r="G37" s="448">
        <f t="shared" si="4"/>
        <v>3278</v>
      </c>
      <c r="H37" s="131" t="s">
        <v>5012</v>
      </c>
      <c r="J37" s="131" t="s">
        <v>1583</v>
      </c>
      <c r="K37" s="448">
        <f>SUM(K29:K36)</f>
        <v>3330</v>
      </c>
      <c r="L37" s="448">
        <f t="shared" ref="L37:M37" si="5">SUM(L29:L36)</f>
        <v>3330</v>
      </c>
      <c r="M37" s="448">
        <f t="shared" si="5"/>
        <v>3330</v>
      </c>
      <c r="N37" s="131" t="s">
        <v>5929</v>
      </c>
    </row>
    <row r="38" spans="1:14" ht="12.75" customHeight="1">
      <c r="A38" s="461"/>
    </row>
    <row r="39" spans="1:14" ht="12.75" customHeight="1">
      <c r="A39" s="461"/>
      <c r="B39" s="476"/>
      <c r="C39" s="477" t="s">
        <v>590</v>
      </c>
      <c r="D39" s="131"/>
    </row>
    <row r="40" spans="1:14" ht="12.75" customHeight="1">
      <c r="A40" s="461"/>
      <c r="B40" s="476"/>
      <c r="C40" s="476"/>
      <c r="D40" s="170" t="str">
        <f>nmSeg1</f>
        <v>Medicare</v>
      </c>
      <c r="E40" s="447">
        <f>ROUND(calcLOB1Prod1Seg1Budget/paramTimeConversion,0)</f>
        <v>127</v>
      </c>
      <c r="F40" s="447">
        <f>ROUND(calcLOB1Prod1Seg1Budget/paramTimeConversion,0)</f>
        <v>127</v>
      </c>
      <c r="G40" s="447">
        <f>ROUND(calcLOB1Prod1Seg1Budget/paramTimeConversion,0)</f>
        <v>127</v>
      </c>
      <c r="H40" s="131" t="s">
        <v>8434</v>
      </c>
      <c r="J40" s="170" t="str">
        <f>nmSeg1</f>
        <v>Medicare</v>
      </c>
      <c r="K40" s="447">
        <f>ROUND(calcR2LOB1Prod1Seg1Budget/paramR2TimeConversion,0)</f>
        <v>129</v>
      </c>
      <c r="L40" s="447">
        <f>ROUND(calcR2LOB1Prod1Seg1Budget/paramR2TimeConversion,0)</f>
        <v>129</v>
      </c>
      <c r="M40" s="447">
        <f>ROUND(calcR2LOB1Prod1Seg1Budget/paramR2TimeConversion,0)</f>
        <v>129</v>
      </c>
      <c r="N40" s="131" t="s">
        <v>8435</v>
      </c>
    </row>
    <row r="41" spans="1:14" ht="12.75" customHeight="1">
      <c r="A41" s="461"/>
      <c r="B41" s="476"/>
      <c r="C41" s="476"/>
      <c r="D41" s="170" t="str">
        <f>nmSeg2</f>
        <v>PPS</v>
      </c>
      <c r="E41" s="447">
        <f>ROUND(calcLOB1Prod1Seg2Budget/paramTimeConversion,0)</f>
        <v>22</v>
      </c>
      <c r="F41" s="447">
        <f>ROUND(calcLOB1Prod1Seg2Budget/paramTimeConversion,0)</f>
        <v>22</v>
      </c>
      <c r="G41" s="447">
        <f>ROUND(calcLOB1Prod1Seg2Budget/paramTimeConversion,0)</f>
        <v>22</v>
      </c>
      <c r="H41" s="131" t="s">
        <v>8436</v>
      </c>
      <c r="J41" s="170" t="str">
        <f>nmSeg2</f>
        <v>PPS</v>
      </c>
      <c r="K41" s="447">
        <f>ROUND(calcR2LOB1Prod1Seg2Budget/paramR2TimeConversion,0)</f>
        <v>22</v>
      </c>
      <c r="L41" s="447">
        <f>ROUND(calcR2LOB1Prod1Seg2Budget/paramR2TimeConversion,0)</f>
        <v>22</v>
      </c>
      <c r="M41" s="447">
        <f>ROUND(calcR2LOB1Prod1Seg2Budget/paramR2TimeConversion,0)</f>
        <v>22</v>
      </c>
      <c r="N41" s="131" t="s">
        <v>8437</v>
      </c>
    </row>
    <row r="42" spans="1:14" ht="12.75" customHeight="1">
      <c r="A42" s="461"/>
      <c r="B42" s="476"/>
      <c r="C42" s="476"/>
      <c r="D42" s="170" t="str">
        <f>nmSeg3</f>
        <v>Other</v>
      </c>
      <c r="E42" s="447">
        <f>ROUND(calcLOB1Prod1Seg3Budget/paramTimeConversion,0)</f>
        <v>70</v>
      </c>
      <c r="F42" s="447">
        <f>ROUND(calcLOB1Prod1Seg3Budget/paramTimeConversion,0)</f>
        <v>70</v>
      </c>
      <c r="G42" s="447">
        <f>ROUND(calcLOB1Prod1Seg3Budget/paramTimeConversion,0)</f>
        <v>70</v>
      </c>
      <c r="H42" s="131" t="s">
        <v>8438</v>
      </c>
      <c r="J42" s="170" t="str">
        <f>nmSeg3</f>
        <v>Other</v>
      </c>
      <c r="K42" s="447">
        <f>ROUND(calcR2LOB1Prod1Seg3Budget/paramR2TimeConversion,0)</f>
        <v>71</v>
      </c>
      <c r="L42" s="447">
        <f>ROUND(calcR2LOB1Prod1Seg3Budget/paramR2TimeConversion,0)</f>
        <v>71</v>
      </c>
      <c r="M42" s="447">
        <f>ROUND(calcR2LOB1Prod1Seg3Budget/paramR2TimeConversion,0)</f>
        <v>71</v>
      </c>
      <c r="N42" s="131" t="s">
        <v>8439</v>
      </c>
    </row>
    <row r="43" spans="1:14" ht="12.75" customHeight="1">
      <c r="A43" s="461"/>
      <c r="B43" s="476"/>
      <c r="C43" s="477" t="s">
        <v>591</v>
      </c>
      <c r="E43" s="447"/>
      <c r="F43" s="447"/>
      <c r="G43" s="447"/>
      <c r="K43" s="447"/>
      <c r="L43" s="447"/>
      <c r="M43" s="447"/>
    </row>
    <row r="44" spans="1:14" ht="12.75" customHeight="1">
      <c r="A44" s="461"/>
      <c r="B44" s="476"/>
      <c r="C44" s="476"/>
      <c r="D44" s="170" t="str">
        <f>nmSeg1</f>
        <v>Medicare</v>
      </c>
      <c r="E44" s="447">
        <f>ROUND(calcLOB1Prod2Seg1Budget/paramTimeConversion,0)</f>
        <v>32</v>
      </c>
      <c r="F44" s="447">
        <f>ROUND(calcLOB1Prod2Seg1Budget/paramTimeConversion,0)</f>
        <v>32</v>
      </c>
      <c r="G44" s="447">
        <f>ROUND(calcLOB1Prod2Seg1Budget/paramTimeConversion,0)</f>
        <v>32</v>
      </c>
      <c r="H44" s="131" t="s">
        <v>8440</v>
      </c>
      <c r="J44" s="170" t="str">
        <f>nmSeg1</f>
        <v>Medicare</v>
      </c>
      <c r="K44" s="447">
        <f>ROUND(calcR2LOB1Prod2Seg1Budget/paramR2TimeConversion,0)</f>
        <v>32</v>
      </c>
      <c r="L44" s="447">
        <f>ROUND(calcR2LOB1Prod2Seg1Budget/paramR2TimeConversion,0)</f>
        <v>32</v>
      </c>
      <c r="M44" s="447">
        <f>ROUND(calcR2LOB1Prod2Seg1Budget/paramR2TimeConversion,0)</f>
        <v>32</v>
      </c>
      <c r="N44" s="131" t="s">
        <v>8441</v>
      </c>
    </row>
    <row r="45" spans="1:14" ht="12.75" customHeight="1">
      <c r="A45" s="461"/>
      <c r="B45" s="476"/>
      <c r="C45" s="476"/>
      <c r="D45" s="170" t="str">
        <f>nmSeg2</f>
        <v>PPS</v>
      </c>
      <c r="E45" s="447">
        <f>ROUND(calcLOB1Prod2Seg2Budget/paramTimeConversion,0)</f>
        <v>6</v>
      </c>
      <c r="F45" s="447">
        <f>ROUND(calcLOB1Prod2Seg2Budget/paramTimeConversion,0)</f>
        <v>6</v>
      </c>
      <c r="G45" s="447">
        <f>ROUND(calcLOB1Prod2Seg2Budget/paramTimeConversion,0)</f>
        <v>6</v>
      </c>
      <c r="H45" s="131" t="s">
        <v>8442</v>
      </c>
      <c r="J45" s="170" t="str">
        <f>nmSeg2</f>
        <v>PPS</v>
      </c>
      <c r="K45" s="447">
        <f>ROUND(calcR2LOB1Prod2Seg2Budget/paramR2TimeConversion,0)</f>
        <v>6</v>
      </c>
      <c r="L45" s="447">
        <f>ROUND(calcR2LOB1Prod2Seg2Budget/paramR2TimeConversion,0)</f>
        <v>6</v>
      </c>
      <c r="M45" s="447">
        <f>ROUND(calcR2LOB1Prod2Seg2Budget/paramR2TimeConversion,0)</f>
        <v>6</v>
      </c>
      <c r="N45" s="131" t="s">
        <v>8443</v>
      </c>
    </row>
    <row r="46" spans="1:14" ht="12.75" customHeight="1">
      <c r="A46" s="461"/>
      <c r="B46" s="476"/>
      <c r="C46" s="476"/>
      <c r="D46" s="170" t="str">
        <f>nmSeg3</f>
        <v>Other</v>
      </c>
      <c r="E46" s="447">
        <f>ROUND(calcLOB1Prod2Seg3Budget/paramTimeConversion,0)</f>
        <v>18</v>
      </c>
      <c r="F46" s="447">
        <f>ROUND(calcLOB1Prod2Seg3Budget/paramTimeConversion,0)</f>
        <v>18</v>
      </c>
      <c r="G46" s="447">
        <f>ROUND(calcLOB1Prod2Seg3Budget/paramTimeConversion,0)</f>
        <v>18</v>
      </c>
      <c r="H46" s="131" t="s">
        <v>8444</v>
      </c>
      <c r="J46" s="170" t="str">
        <f>nmSeg3</f>
        <v>Other</v>
      </c>
      <c r="K46" s="447">
        <f>ROUND(calcR2LOB1Prod2Seg3Budget/paramR2TimeConversion,0)</f>
        <v>18</v>
      </c>
      <c r="L46" s="447">
        <f>ROUND(calcR2LOB1Prod2Seg3Budget/paramR2TimeConversion,0)</f>
        <v>18</v>
      </c>
      <c r="M46" s="447">
        <f>ROUND(calcR2LOB1Prod2Seg3Budget/paramR2TimeConversion,0)</f>
        <v>18</v>
      </c>
      <c r="N46" s="131" t="s">
        <v>8445</v>
      </c>
    </row>
    <row r="47" spans="1:14" ht="1.5" customHeight="1">
      <c r="A47" s="461"/>
      <c r="B47" s="476"/>
      <c r="C47" s="476"/>
      <c r="D47" s="449"/>
      <c r="E47" s="450"/>
      <c r="F47" s="450"/>
      <c r="G47" s="450"/>
      <c r="H47" s="131"/>
      <c r="J47" s="449"/>
      <c r="K47" s="450"/>
      <c r="L47" s="450"/>
      <c r="M47" s="450"/>
      <c r="N47" s="131"/>
    </row>
    <row r="48" spans="1:14" ht="12.75" customHeight="1">
      <c r="A48" s="461"/>
      <c r="B48" s="476"/>
      <c r="C48" s="476"/>
      <c r="D48" s="131" t="s">
        <v>1583</v>
      </c>
      <c r="E48" s="448">
        <f>SUM(E40:E47)</f>
        <v>275</v>
      </c>
      <c r="F48" s="448">
        <f t="shared" ref="F48:G48" si="6">SUM(F40:F47)</f>
        <v>275</v>
      </c>
      <c r="G48" s="448">
        <f t="shared" si="6"/>
        <v>275</v>
      </c>
      <c r="H48" s="131" t="s">
        <v>8446</v>
      </c>
      <c r="J48" s="131" t="s">
        <v>1583</v>
      </c>
      <c r="K48" s="448">
        <f>SUM(K40:K47)</f>
        <v>278</v>
      </c>
      <c r="L48" s="448">
        <f t="shared" ref="L48:M48" si="7">SUM(L40:L47)</f>
        <v>278</v>
      </c>
      <c r="M48" s="448">
        <f t="shared" si="7"/>
        <v>278</v>
      </c>
      <c r="N48" s="131" t="s">
        <v>8447</v>
      </c>
    </row>
    <row r="49" spans="1:14" ht="12.75" customHeight="1">
      <c r="A49" s="461"/>
    </row>
    <row r="50" spans="1:14" ht="12.75" customHeight="1">
      <c r="A50" s="461"/>
      <c r="B50" s="87" t="s">
        <v>4288</v>
      </c>
      <c r="C50" s="87"/>
    </row>
    <row r="51" spans="1:14" ht="12.75" customHeight="1">
      <c r="A51" s="461"/>
      <c r="B51" s="476"/>
      <c r="C51" s="477" t="s">
        <v>590</v>
      </c>
      <c r="D51" s="131"/>
      <c r="J51" s="131"/>
    </row>
    <row r="52" spans="1:14" ht="12.75" customHeight="1">
      <c r="A52" s="461"/>
      <c r="B52" s="476"/>
      <c r="C52" s="476"/>
      <c r="D52" s="170" t="str">
        <f>nmSeg1</f>
        <v>Medicare</v>
      </c>
      <c r="E52" s="447">
        <f>ROUND((calcLOB1Prod1Seg1RunRate*paramLOB1Prod1Seg1RRM1)/paramTimeConversion,0)</f>
        <v>126</v>
      </c>
      <c r="F52" s="447">
        <f>ROUND((calcLOB1Prod1Seg1RunRate*paramLOB1Prod1Seg1RRM1)/paramTimeConversion,0)</f>
        <v>126</v>
      </c>
      <c r="G52" s="447">
        <f>ROUND((calcLOB1Prod1Seg1RunRate*paramLOB1Prod1Seg1RRM1)/paramTimeConversion,0)</f>
        <v>126</v>
      </c>
      <c r="H52" s="131" t="s">
        <v>4289</v>
      </c>
      <c r="J52" s="170" t="str">
        <f>nmSeg1</f>
        <v>Medicare</v>
      </c>
      <c r="K52" s="447">
        <f>ROUND((calcR2LOB1Prod1Seg1RunRate*paramR2LOB1Prod1Seg1RRM1)/paramR2TimeConversion,0)</f>
        <v>128</v>
      </c>
      <c r="L52" s="447">
        <f>ROUND((calcR2LOB1Prod1Seg1RunRate*paramR2LOB1Prod1Seg1RRM1)/paramR2TimeConversion,0)</f>
        <v>127</v>
      </c>
      <c r="M52" s="447">
        <f>ROUND((calcR2LOB1Prod1Seg1RunRate*paramR2LOB1Prod1Seg1RRM1)/paramR2TimeConversion,0)</f>
        <v>127</v>
      </c>
      <c r="N52" s="131" t="s">
        <v>5930</v>
      </c>
    </row>
    <row r="53" spans="1:14" ht="12.75" customHeight="1">
      <c r="A53" s="461"/>
      <c r="B53" s="476"/>
      <c r="C53" s="476"/>
      <c r="D53" s="170" t="str">
        <f>nmSeg2</f>
        <v>PPS</v>
      </c>
      <c r="E53" s="447">
        <f>ROUND((calcLOB1Prod1Seg2RunRate*paramLOB1Prod1Seg2RRM1)/paramTimeConversion,0)</f>
        <v>11</v>
      </c>
      <c r="F53" s="447">
        <f>ROUND((calcLOB1Prod1Seg2RunRate*paramLOB1Prod1Seg2RRM1)/paramTimeConversion,0)</f>
        <v>11</v>
      </c>
      <c r="G53" s="447">
        <f>ROUND((calcLOB1Prod1Seg2RunRate*paramLOB1Prod1Seg2RRM1)/paramTimeConversion,0)</f>
        <v>11</v>
      </c>
      <c r="H53" s="131" t="s">
        <v>4290</v>
      </c>
      <c r="J53" s="170" t="str">
        <f>nmSeg2</f>
        <v>PPS</v>
      </c>
      <c r="K53" s="447">
        <f>ROUND((calcR2LOB1Prod1Seg2RunRate*paramR2LOB1Prod1Seg2RRM1)/paramR2TimeConversion,0)</f>
        <v>11</v>
      </c>
      <c r="L53" s="447">
        <f>ROUND((calcR2LOB1Prod1Seg2RunRate*paramR2LOB1Prod1Seg2RRM1)/paramR2TimeConversion,0)</f>
        <v>11</v>
      </c>
      <c r="M53" s="447">
        <f>ROUND((calcR2LOB1Prod1Seg2RunRate*paramR2LOB1Prod1Seg2RRM1)/paramR2TimeConversion,0)</f>
        <v>11</v>
      </c>
      <c r="N53" s="131" t="s">
        <v>5931</v>
      </c>
    </row>
    <row r="54" spans="1:14" ht="12.75" customHeight="1">
      <c r="A54" s="461"/>
      <c r="B54" s="476"/>
      <c r="C54" s="476"/>
      <c r="D54" s="170" t="str">
        <f>nmSeg3</f>
        <v>Other</v>
      </c>
      <c r="E54" s="447">
        <f>ROUND((calcLOB1Prod1Seg3RunRate*paramLOB1Prod1Seg3RRM1)/paramTimeConversion,0)</f>
        <v>83</v>
      </c>
      <c r="F54" s="447">
        <f>ROUND((calcLOB1Prod1Seg3RunRate*paramLOB1Prod1Seg3RRM1)/paramTimeConversion,0)</f>
        <v>83</v>
      </c>
      <c r="G54" s="447">
        <f>ROUND((calcLOB1Prod1Seg3RunRate*paramLOB1Prod1Seg3RRM1)/paramTimeConversion,0)</f>
        <v>83</v>
      </c>
      <c r="H54" s="131" t="s">
        <v>4291</v>
      </c>
      <c r="J54" s="170" t="str">
        <f>nmSeg3</f>
        <v>Other</v>
      </c>
      <c r="K54" s="447">
        <f>ROUND((calcR2LOB1Prod1Seg3RunRate*paramR2LOB1Prod1Seg3RRM1)/paramR2TimeConversion,0)</f>
        <v>85</v>
      </c>
      <c r="L54" s="447">
        <f>ROUND((calcR2LOB1Prod1Seg3RunRate*paramR2LOB1Prod1Seg3RRM1)/paramR2TimeConversion,0)</f>
        <v>84</v>
      </c>
      <c r="M54" s="447">
        <f>ROUND((calcR2LOB1Prod1Seg3RunRate*paramR2LOB1Prod1Seg3RRM1)/paramR2TimeConversion,0)</f>
        <v>84</v>
      </c>
      <c r="N54" s="131" t="s">
        <v>5932</v>
      </c>
    </row>
    <row r="55" spans="1:14" ht="12.75" customHeight="1">
      <c r="A55" s="461"/>
      <c r="B55" s="476"/>
      <c r="C55" s="477" t="s">
        <v>591</v>
      </c>
      <c r="E55" s="447"/>
      <c r="F55" s="447"/>
      <c r="G55" s="447"/>
      <c r="K55" s="447"/>
      <c r="L55" s="447"/>
      <c r="M55" s="447"/>
    </row>
    <row r="56" spans="1:14" ht="12.75" customHeight="1">
      <c r="A56" s="461"/>
      <c r="B56" s="476"/>
      <c r="C56" s="476"/>
      <c r="D56" s="170" t="str">
        <f>nmSeg1</f>
        <v>Medicare</v>
      </c>
      <c r="E56" s="447">
        <f>ROUND((calcLOB1Prod2Seg1RunRate*paramLOB1Prod2Seg1RRM1)/paramTimeConversion,0)</f>
        <v>37</v>
      </c>
      <c r="F56" s="447">
        <f>ROUND((calcLOB1Prod2Seg1RunRate*paramLOB1Prod2Seg1RRM1)/paramTimeConversion,0)</f>
        <v>37</v>
      </c>
      <c r="G56" s="447">
        <f>ROUND((calcLOB1Prod2Seg1RunRate*paramLOB1Prod2Seg1RRM1)/paramTimeConversion,0)</f>
        <v>37</v>
      </c>
      <c r="H56" s="131" t="s">
        <v>4292</v>
      </c>
      <c r="J56" s="170" t="str">
        <f>nmSeg1</f>
        <v>Medicare</v>
      </c>
      <c r="K56" s="447">
        <f>ROUND((calcR2LOB1Prod2Seg1RunRate*paramR2LOB1Prod2Seg1RRM1)/paramR2TimeConversion,0)</f>
        <v>37</v>
      </c>
      <c r="L56" s="447">
        <f>ROUND((calcR2LOB1Prod2Seg1RunRate*paramR2LOB1Prod2Seg1RRM1)/paramR2TimeConversion,0)</f>
        <v>37</v>
      </c>
      <c r="M56" s="447">
        <f>ROUND((calcR2LOB1Prod2Seg1RunRate*paramR2LOB1Prod2Seg1RRM1)/paramR2TimeConversion,0)</f>
        <v>37</v>
      </c>
      <c r="N56" s="131" t="s">
        <v>5933</v>
      </c>
    </row>
    <row r="57" spans="1:14" ht="12.75" customHeight="1">
      <c r="A57" s="461"/>
      <c r="B57" s="476"/>
      <c r="C57" s="476"/>
      <c r="D57" s="170" t="str">
        <f>nmSeg2</f>
        <v>PPS</v>
      </c>
      <c r="E57" s="447">
        <f>ROUND((calcLOB1Prod2Seg2RunRate*paramLOB1Prod2Seg2RRM1)/paramTimeConversion,0)</f>
        <v>5</v>
      </c>
      <c r="F57" s="447">
        <f>ROUND((calcLOB1Prod2Seg2RunRate*paramLOB1Prod2Seg2RRM1)/paramTimeConversion,0)</f>
        <v>5</v>
      </c>
      <c r="G57" s="447">
        <f>ROUND((calcLOB1Prod2Seg2RunRate*paramLOB1Prod2Seg2RRM1)/paramTimeConversion,0)</f>
        <v>5</v>
      </c>
      <c r="H57" s="131" t="s">
        <v>4293</v>
      </c>
      <c r="J57" s="170" t="str">
        <f>nmSeg2</f>
        <v>PPS</v>
      </c>
      <c r="K57" s="447">
        <f>ROUND((calcR2LOB1Prod2Seg2RunRate*paramR2LOB1Prod2Seg2RRM1)/paramR2TimeConversion,0)</f>
        <v>5</v>
      </c>
      <c r="L57" s="447">
        <f>ROUND((calcR2LOB1Prod2Seg2RunRate*paramR2LOB1Prod2Seg2RRM1)/paramR2TimeConversion,0)</f>
        <v>5</v>
      </c>
      <c r="M57" s="447">
        <f>ROUND((calcR2LOB1Prod2Seg2RunRate*paramR2LOB1Prod2Seg2RRM1)/paramR2TimeConversion,0)</f>
        <v>5</v>
      </c>
      <c r="N57" s="131" t="s">
        <v>5934</v>
      </c>
    </row>
    <row r="58" spans="1:14" ht="12.75" customHeight="1">
      <c r="A58" s="461"/>
      <c r="B58" s="476"/>
      <c r="C58" s="476"/>
      <c r="D58" s="170" t="str">
        <f>nmSeg3</f>
        <v>Other</v>
      </c>
      <c r="E58" s="447">
        <f>ROUND((calcLOB1Prod2Seg3RunRate*paramLOB1Prod2Seg3RRM1)/paramTimeConversion,0)</f>
        <v>15</v>
      </c>
      <c r="F58" s="447">
        <f>ROUND((calcLOB1Prod2Seg3RunRate*paramLOB1Prod2Seg3RRM1)/paramTimeConversion,0)</f>
        <v>15</v>
      </c>
      <c r="G58" s="447">
        <f>ROUND((calcLOB1Prod2Seg3RunRate*paramLOB1Prod2Seg3RRM1)/paramTimeConversion,0)</f>
        <v>15</v>
      </c>
      <c r="H58" s="131" t="s">
        <v>4294</v>
      </c>
      <c r="J58" s="170" t="str">
        <f>nmSeg3</f>
        <v>Other</v>
      </c>
      <c r="K58" s="447">
        <f>ROUND((calcR2LOB1Prod2Seg3RunRate*paramR2LOB1Prod2Seg3RRM1)/paramR2TimeConversion,0)</f>
        <v>15</v>
      </c>
      <c r="L58" s="447">
        <f>ROUND((calcR2LOB1Prod2Seg3RunRate*paramR2LOB1Prod2Seg3RRM1)/paramR2TimeConversion,0)</f>
        <v>15</v>
      </c>
      <c r="M58" s="447">
        <f>ROUND((calcR2LOB1Prod2Seg3RunRate*paramR2LOB1Prod2Seg3RRM1)/paramR2TimeConversion,0)</f>
        <v>15</v>
      </c>
      <c r="N58" s="131" t="s">
        <v>5935</v>
      </c>
    </row>
    <row r="59" spans="1:14" ht="1.5" customHeight="1">
      <c r="A59" s="461"/>
      <c r="B59" s="476"/>
      <c r="C59" s="476"/>
      <c r="D59" s="449"/>
      <c r="E59" s="450"/>
      <c r="F59" s="450"/>
      <c r="G59" s="450"/>
      <c r="H59" s="131"/>
      <c r="J59" s="449"/>
      <c r="K59" s="450"/>
      <c r="L59" s="450"/>
      <c r="M59" s="450"/>
      <c r="N59" s="131"/>
    </row>
    <row r="60" spans="1:14" ht="12.75" customHeight="1">
      <c r="A60" s="461"/>
      <c r="B60" s="476"/>
      <c r="C60" s="476"/>
      <c r="D60" s="131" t="s">
        <v>1583</v>
      </c>
      <c r="E60" s="448">
        <f>SUM(E52:E59)</f>
        <v>277</v>
      </c>
      <c r="F60" s="448">
        <f t="shared" ref="F60:G60" si="8">SUM(F52:F59)</f>
        <v>277</v>
      </c>
      <c r="G60" s="448">
        <f t="shared" si="8"/>
        <v>277</v>
      </c>
      <c r="H60" s="131" t="s">
        <v>4295</v>
      </c>
      <c r="J60" s="131" t="s">
        <v>1583</v>
      </c>
      <c r="K60" s="448">
        <f>SUM(K52:K59)</f>
        <v>281</v>
      </c>
      <c r="L60" s="448">
        <f t="shared" ref="L60:M60" si="9">SUM(L52:L59)</f>
        <v>279</v>
      </c>
      <c r="M60" s="448">
        <f t="shared" si="9"/>
        <v>279</v>
      </c>
      <c r="N60" s="131" t="s">
        <v>5936</v>
      </c>
    </row>
    <row r="61" spans="1:14" ht="12.75" customHeight="1">
      <c r="A61" s="461"/>
    </row>
    <row r="62" spans="1:14" ht="12.75" customHeight="1">
      <c r="A62" s="461"/>
      <c r="B62" s="87" t="s">
        <v>4303</v>
      </c>
      <c r="C62" s="87"/>
    </row>
    <row r="63" spans="1:14" ht="12.75" customHeight="1">
      <c r="A63" s="461"/>
      <c r="B63" s="476"/>
      <c r="C63" s="477" t="s">
        <v>590</v>
      </c>
      <c r="D63" s="131"/>
      <c r="J63" s="131"/>
    </row>
    <row r="64" spans="1:14" ht="12.75" customHeight="1">
      <c r="A64" s="461"/>
      <c r="B64" s="476"/>
      <c r="C64" s="476"/>
      <c r="D64" s="170" t="str">
        <f>nmSeg1</f>
        <v>Medicare</v>
      </c>
      <c r="E64" s="447">
        <f>ROUND((calcLOB1Prod1Seg1RunRate*paramLOB1Prod1Seg1RRM2)/paramTimeConversion,0)</f>
        <v>124</v>
      </c>
      <c r="F64" s="447">
        <f>ROUND((calcLOB1Prod1Seg1RunRate*paramLOB1Prod1Seg1RRM2)/paramTimeConversion,0)</f>
        <v>124</v>
      </c>
      <c r="G64" s="447">
        <f>ROUND((calcLOB1Prod1Seg1RunRate*paramLOB1Prod1Seg1RRM2)/paramTimeConversion,0)</f>
        <v>124</v>
      </c>
      <c r="H64" s="131" t="s">
        <v>4296</v>
      </c>
      <c r="J64" s="170" t="str">
        <f>nmSeg1</f>
        <v>Medicare</v>
      </c>
      <c r="K64" s="447">
        <f>ROUND((calcR2LOB1Prod1Seg1RunRate*paramR2LOB1Prod1Seg1RRM2)/paramR2TimeConversion,0)</f>
        <v>126</v>
      </c>
      <c r="L64" s="447">
        <f>ROUND((calcR2LOB1Prod1Seg1RunRate*paramR2LOB1Prod1Seg1RRM2)/paramR2TimeConversion,0)</f>
        <v>125</v>
      </c>
      <c r="M64" s="447">
        <f>ROUND((calcR2LOB1Prod1Seg1RunRate*paramR2LOB1Prod1Seg1RRM2)/paramR2TimeConversion,0)</f>
        <v>125</v>
      </c>
      <c r="N64" s="131" t="s">
        <v>5937</v>
      </c>
    </row>
    <row r="65" spans="1:14" ht="12.75" customHeight="1">
      <c r="A65" s="461"/>
      <c r="B65" s="476"/>
      <c r="C65" s="476"/>
      <c r="D65" s="170" t="str">
        <f>nmSeg2</f>
        <v>PPS</v>
      </c>
      <c r="E65" s="447">
        <f>ROUND((calcLOB1Prod1Seg2RunRate*paramLOB1Prod1Seg2RRM2)/paramTimeConversion,0)</f>
        <v>19</v>
      </c>
      <c r="F65" s="447">
        <f>ROUND((calcLOB1Prod1Seg2RunRate*paramLOB1Prod1Seg2RRM2)/paramTimeConversion,0)</f>
        <v>19</v>
      </c>
      <c r="G65" s="447">
        <f>ROUND((calcLOB1Prod1Seg2RunRate*paramLOB1Prod1Seg2RRM2)/paramTimeConversion,0)</f>
        <v>19</v>
      </c>
      <c r="H65" s="131" t="s">
        <v>4297</v>
      </c>
      <c r="J65" s="170" t="str">
        <f>nmSeg2</f>
        <v>PPS</v>
      </c>
      <c r="K65" s="447">
        <f>ROUND((calcR2LOB1Prod1Seg2RunRate*paramR2LOB1Prod1Seg2RRM2)/paramR2TimeConversion,0)</f>
        <v>19</v>
      </c>
      <c r="L65" s="447">
        <f>ROUND((calcR2LOB1Prod1Seg2RunRate*paramR2LOB1Prod1Seg2RRM2)/paramR2TimeConversion,0)</f>
        <v>19</v>
      </c>
      <c r="M65" s="447">
        <f>ROUND((calcR2LOB1Prod1Seg2RunRate*paramR2LOB1Prod1Seg2RRM2)/paramR2TimeConversion,0)</f>
        <v>19</v>
      </c>
      <c r="N65" s="131" t="s">
        <v>5938</v>
      </c>
    </row>
    <row r="66" spans="1:14" ht="12.75" customHeight="1">
      <c r="A66" s="461"/>
      <c r="B66" s="476"/>
      <c r="C66" s="476"/>
      <c r="D66" s="170" t="str">
        <f>nmSeg3</f>
        <v>Other</v>
      </c>
      <c r="E66" s="447">
        <f>ROUND((calcLOB1Prod1Seg3RunRate*paramLOB1Prod1Seg3RRM2)/paramTimeConversion,0)</f>
        <v>50</v>
      </c>
      <c r="F66" s="447">
        <f>ROUND((calcLOB1Prod1Seg3RunRate*paramLOB1Prod1Seg3RRM2)/paramTimeConversion,0)</f>
        <v>50</v>
      </c>
      <c r="G66" s="447">
        <f>ROUND((calcLOB1Prod1Seg3RunRate*paramLOB1Prod1Seg3RRM2)/paramTimeConversion,0)</f>
        <v>50</v>
      </c>
      <c r="H66" s="131" t="s">
        <v>4298</v>
      </c>
      <c r="J66" s="170" t="str">
        <f>nmSeg3</f>
        <v>Other</v>
      </c>
      <c r="K66" s="447">
        <f>ROUND((calcR2LOB1Prod1Seg3RunRate*paramR2LOB1Prod1Seg3RRM2)/paramR2TimeConversion,0)</f>
        <v>51</v>
      </c>
      <c r="L66" s="447">
        <f>ROUND((calcR2LOB1Prod1Seg3RunRate*paramR2LOB1Prod1Seg3RRM2)/paramR2TimeConversion,0)</f>
        <v>51</v>
      </c>
      <c r="M66" s="447">
        <f>ROUND((calcR2LOB1Prod1Seg3RunRate*paramR2LOB1Prod1Seg3RRM2)/paramR2TimeConversion,0)</f>
        <v>51</v>
      </c>
      <c r="N66" s="131" t="s">
        <v>5939</v>
      </c>
    </row>
    <row r="67" spans="1:14" ht="12.75" customHeight="1">
      <c r="A67" s="461"/>
      <c r="B67" s="476"/>
      <c r="C67" s="477" t="s">
        <v>591</v>
      </c>
      <c r="E67" s="447"/>
      <c r="F67" s="447"/>
      <c r="G67" s="447"/>
      <c r="K67" s="447"/>
      <c r="L67" s="447"/>
      <c r="M67" s="447"/>
    </row>
    <row r="68" spans="1:14" ht="12.75" customHeight="1">
      <c r="A68" s="461"/>
      <c r="B68" s="476"/>
      <c r="C68" s="476"/>
      <c r="D68" s="170" t="str">
        <f>nmSeg1</f>
        <v>Medicare</v>
      </c>
      <c r="E68" s="447">
        <f>ROUND((calcLOB1Prod2Seg1RunRate*paramLOB1Prod2Seg1RRM2)/paramTimeConversion,0)</f>
        <v>31</v>
      </c>
      <c r="F68" s="447">
        <f>ROUND((calcLOB1Prod2Seg1RunRate*paramLOB1Prod2Seg1RRM2)/paramTimeConversion,0)</f>
        <v>31</v>
      </c>
      <c r="G68" s="447">
        <f>ROUND((calcLOB1Prod2Seg1RunRate*paramLOB1Prod2Seg1RRM2)/paramTimeConversion,0)</f>
        <v>31</v>
      </c>
      <c r="H68" s="131" t="s">
        <v>4299</v>
      </c>
      <c r="J68" s="170" t="str">
        <f>nmSeg1</f>
        <v>Medicare</v>
      </c>
      <c r="K68" s="447">
        <f>ROUND((calcR2LOB1Prod2Seg1RunRate*paramR2LOB1Prod2Seg1RRM2)/paramR2TimeConversion,0)</f>
        <v>31</v>
      </c>
      <c r="L68" s="447">
        <f>ROUND((calcR2LOB1Prod2Seg1RunRate*paramR2LOB1Prod2Seg1RRM2)/paramR2TimeConversion,0)</f>
        <v>31</v>
      </c>
      <c r="M68" s="447">
        <f>ROUND((calcR2LOB1Prod2Seg1RunRate*paramR2LOB1Prod2Seg1RRM2)/paramR2TimeConversion,0)</f>
        <v>31</v>
      </c>
      <c r="N68" s="131" t="s">
        <v>5940</v>
      </c>
    </row>
    <row r="69" spans="1:14" ht="12.75" customHeight="1">
      <c r="A69" s="461"/>
      <c r="B69" s="476"/>
      <c r="C69" s="476"/>
      <c r="D69" s="170" t="str">
        <f>nmSeg2</f>
        <v>PPS</v>
      </c>
      <c r="E69" s="447">
        <f>ROUND((calcLOB1Prod2Seg2RunRate*paramLOB1Prod2Seg2RRM2)/paramTimeConversion,0)</f>
        <v>1</v>
      </c>
      <c r="F69" s="447">
        <f>ROUND((calcLOB1Prod2Seg2RunRate*paramLOB1Prod2Seg2RRM2)/paramTimeConversion,0)</f>
        <v>1</v>
      </c>
      <c r="G69" s="447">
        <f>ROUND((calcLOB1Prod2Seg2RunRate*paramLOB1Prod2Seg2RRM2)/paramTimeConversion,0)</f>
        <v>1</v>
      </c>
      <c r="H69" s="131" t="s">
        <v>4300</v>
      </c>
      <c r="J69" s="170" t="str">
        <f>nmSeg2</f>
        <v>PPS</v>
      </c>
      <c r="K69" s="447">
        <f>ROUND((calcR2LOB1Prod2Seg2RunRate*paramR2LOB1Prod2Seg2RRM2)/paramR2TimeConversion,0)</f>
        <v>1</v>
      </c>
      <c r="L69" s="447">
        <f>ROUND((calcR2LOB1Prod2Seg2RunRate*paramR2LOB1Prod2Seg2RRM2)/paramR2TimeConversion,0)</f>
        <v>1</v>
      </c>
      <c r="M69" s="447">
        <f>ROUND((calcR2LOB1Prod2Seg2RunRate*paramR2LOB1Prod2Seg2RRM2)/paramR2TimeConversion,0)</f>
        <v>1</v>
      </c>
      <c r="N69" s="131" t="s">
        <v>5941</v>
      </c>
    </row>
    <row r="70" spans="1:14" ht="12.75" customHeight="1">
      <c r="A70" s="461"/>
      <c r="B70" s="476"/>
      <c r="C70" s="476"/>
      <c r="D70" s="170" t="str">
        <f>nmSeg3</f>
        <v>Other</v>
      </c>
      <c r="E70" s="447">
        <f>ROUND((calcLOB1Prod2Seg3RunRate*paramLOB1Prod2Seg3RRM2)/paramTimeConversion,0)</f>
        <v>13</v>
      </c>
      <c r="F70" s="447">
        <f>ROUND((calcLOB1Prod2Seg3RunRate*paramLOB1Prod2Seg3RRM2)/paramTimeConversion,0)</f>
        <v>13</v>
      </c>
      <c r="G70" s="447">
        <f>ROUND((calcLOB1Prod2Seg3RunRate*paramLOB1Prod2Seg3RRM2)/paramTimeConversion,0)</f>
        <v>13</v>
      </c>
      <c r="H70" s="131" t="s">
        <v>4301</v>
      </c>
      <c r="J70" s="170" t="str">
        <f>nmSeg3</f>
        <v>Other</v>
      </c>
      <c r="K70" s="447">
        <f>ROUND((calcR2LOB1Prod2Seg3RunRate*paramR2LOB1Prod2Seg3RRM2)/paramR2TimeConversion,0)</f>
        <v>13</v>
      </c>
      <c r="L70" s="447">
        <f>ROUND((calcR2LOB1Prod2Seg3RunRate*paramR2LOB1Prod2Seg3RRM2)/paramR2TimeConversion,0)</f>
        <v>13</v>
      </c>
      <c r="M70" s="447">
        <f>ROUND((calcR2LOB1Prod2Seg3RunRate*paramR2LOB1Prod2Seg3RRM2)/paramR2TimeConversion,0)</f>
        <v>13</v>
      </c>
      <c r="N70" s="131" t="s">
        <v>5942</v>
      </c>
    </row>
    <row r="71" spans="1:14" ht="1.5" customHeight="1">
      <c r="A71" s="461"/>
      <c r="B71" s="476"/>
      <c r="C71" s="476"/>
      <c r="D71" s="449"/>
      <c r="E71" s="450"/>
      <c r="F71" s="450"/>
      <c r="G71" s="450"/>
      <c r="H71" s="131"/>
      <c r="J71" s="449"/>
      <c r="K71" s="450"/>
      <c r="L71" s="450"/>
      <c r="M71" s="450"/>
      <c r="N71" s="131"/>
    </row>
    <row r="72" spans="1:14" ht="12.75" customHeight="1">
      <c r="A72" s="461"/>
      <c r="B72" s="476"/>
      <c r="C72" s="476"/>
      <c r="D72" s="131" t="s">
        <v>1583</v>
      </c>
      <c r="E72" s="448">
        <f>SUM(E64:E71)</f>
        <v>238</v>
      </c>
      <c r="F72" s="448">
        <f t="shared" ref="F72" si="10">SUM(F64:F71)</f>
        <v>238</v>
      </c>
      <c r="G72" s="448">
        <f t="shared" ref="G72" si="11">SUM(G64:G71)</f>
        <v>238</v>
      </c>
      <c r="H72" s="131" t="s">
        <v>4302</v>
      </c>
      <c r="J72" s="131" t="s">
        <v>1583</v>
      </c>
      <c r="K72" s="448">
        <f>SUM(K64:K71)</f>
        <v>241</v>
      </c>
      <c r="L72" s="448">
        <f t="shared" ref="L72:M72" si="12">SUM(L64:L71)</f>
        <v>240</v>
      </c>
      <c r="M72" s="448">
        <f t="shared" si="12"/>
        <v>240</v>
      </c>
      <c r="N72" s="131" t="s">
        <v>5943</v>
      </c>
    </row>
    <row r="73" spans="1:14" ht="12.75" customHeight="1">
      <c r="A73" s="461"/>
    </row>
    <row r="74" spans="1:14" ht="12.75" customHeight="1">
      <c r="A74" s="461"/>
      <c r="B74" s="87" t="s">
        <v>4304</v>
      </c>
      <c r="C74" s="87"/>
    </row>
    <row r="75" spans="1:14" ht="12.75" customHeight="1">
      <c r="A75" s="461"/>
      <c r="B75" s="476"/>
      <c r="C75" s="477" t="s">
        <v>590</v>
      </c>
      <c r="D75" s="131"/>
      <c r="J75" s="131"/>
    </row>
    <row r="76" spans="1:14" ht="12.75" customHeight="1">
      <c r="A76" s="461"/>
      <c r="B76" s="476"/>
      <c r="C76" s="476"/>
      <c r="D76" s="170" t="str">
        <f>nmSeg1</f>
        <v>Medicare</v>
      </c>
      <c r="E76" s="447">
        <f>ROUND((calcLOB1Prod1Seg1RunRate*paramLOB1Prod1Seg1RRM3)/paramTimeConversion,0)</f>
        <v>129</v>
      </c>
      <c r="F76" s="447">
        <f>ROUND((calcLOB1Prod1Seg1RunRate*paramLOB1Prod1Seg1RRM3)/paramTimeConversion,0)</f>
        <v>129</v>
      </c>
      <c r="G76" s="447">
        <f>ROUND((calcLOB1Prod1Seg1RunRate*paramLOB1Prod1Seg1RRM3)/paramTimeConversion,0)</f>
        <v>129</v>
      </c>
      <c r="H76" s="131" t="s">
        <v>4305</v>
      </c>
      <c r="J76" s="170" t="str">
        <f>nmSeg1</f>
        <v>Medicare</v>
      </c>
      <c r="K76" s="447">
        <f>ROUND((calcR2LOB1Prod1Seg1RunRate*paramR2LOB1Prod1Seg1RRM3)/paramR2TimeConversion,0)</f>
        <v>131</v>
      </c>
      <c r="L76" s="447">
        <f>ROUND((calcR2LOB1Prod1Seg1RunRate*paramR2LOB1Prod1Seg1RRM3)/paramR2TimeConversion,0)</f>
        <v>130</v>
      </c>
      <c r="M76" s="447">
        <f>ROUND((calcR2LOB1Prod1Seg1RunRate*paramR2LOB1Prod1Seg1RRM3)/paramR2TimeConversion,0)</f>
        <v>130</v>
      </c>
      <c r="N76" s="131" t="s">
        <v>5944</v>
      </c>
    </row>
    <row r="77" spans="1:14" ht="12.75" customHeight="1">
      <c r="A77" s="461"/>
      <c r="B77" s="476"/>
      <c r="C77" s="476"/>
      <c r="D77" s="170" t="str">
        <f>nmSeg2</f>
        <v>PPS</v>
      </c>
      <c r="E77" s="447">
        <f>ROUND((calcLOB1Prod1Seg2RunRate*paramLOB1Prod1Seg2RRM3)/paramTimeConversion,0)</f>
        <v>20</v>
      </c>
      <c r="F77" s="447">
        <f>ROUND((calcLOB1Prod1Seg2RunRate*paramLOB1Prod1Seg2RRM3)/paramTimeConversion,0)</f>
        <v>20</v>
      </c>
      <c r="G77" s="447">
        <f>ROUND((calcLOB1Prod1Seg2RunRate*paramLOB1Prod1Seg2RRM3)/paramTimeConversion,0)</f>
        <v>20</v>
      </c>
      <c r="H77" s="131" t="s">
        <v>4306</v>
      </c>
      <c r="J77" s="170" t="str">
        <f>nmSeg2</f>
        <v>PPS</v>
      </c>
      <c r="K77" s="447">
        <f>ROUND((calcR2LOB1Prod1Seg2RunRate*paramR2LOB1Prod1Seg2RRM3)/paramR2TimeConversion,0)</f>
        <v>21</v>
      </c>
      <c r="L77" s="447">
        <f>ROUND((calcR2LOB1Prod1Seg2RunRate*paramR2LOB1Prod1Seg2RRM3)/paramR2TimeConversion,0)</f>
        <v>21</v>
      </c>
      <c r="M77" s="447">
        <f>ROUND((calcR2LOB1Prod1Seg2RunRate*paramR2LOB1Prod1Seg2RRM3)/paramR2TimeConversion,0)</f>
        <v>21</v>
      </c>
      <c r="N77" s="131" t="s">
        <v>5945</v>
      </c>
    </row>
    <row r="78" spans="1:14" ht="12.75" customHeight="1">
      <c r="A78" s="461"/>
      <c r="B78" s="476"/>
      <c r="C78" s="476"/>
      <c r="D78" s="170" t="str">
        <f>nmSeg3</f>
        <v>Other</v>
      </c>
      <c r="E78" s="447">
        <f>ROUND((calcLOB1Prod1Seg3RunRate*paramLOB1Prod1Seg3RRM3)/paramTimeConversion,0)</f>
        <v>83</v>
      </c>
      <c r="F78" s="447">
        <f>ROUND((calcLOB1Prod1Seg3RunRate*paramLOB1Prod1Seg3RRM3)/paramTimeConversion,0)</f>
        <v>83</v>
      </c>
      <c r="G78" s="447">
        <f>ROUND((calcLOB1Prod1Seg3RunRate*paramLOB1Prod1Seg3RRM3)/paramTimeConversion,0)</f>
        <v>83</v>
      </c>
      <c r="H78" s="131" t="s">
        <v>4307</v>
      </c>
      <c r="J78" s="170" t="str">
        <f>nmSeg3</f>
        <v>Other</v>
      </c>
      <c r="K78" s="447">
        <f>ROUND((calcR2LOB1Prod1Seg3RunRate*paramR2LOB1Prod1Seg3RRM3)/paramR2TimeConversion,0)</f>
        <v>85</v>
      </c>
      <c r="L78" s="447">
        <f>ROUND((calcR2LOB1Prod1Seg3RunRate*paramR2LOB1Prod1Seg3RRM3)/paramR2TimeConversion,0)</f>
        <v>84</v>
      </c>
      <c r="M78" s="447">
        <f>ROUND((calcR2LOB1Prod1Seg3RunRate*paramR2LOB1Prod1Seg3RRM3)/paramR2TimeConversion,0)</f>
        <v>84</v>
      </c>
      <c r="N78" s="131" t="s">
        <v>5946</v>
      </c>
    </row>
    <row r="79" spans="1:14" ht="12.75" customHeight="1">
      <c r="A79" s="461"/>
      <c r="B79" s="476"/>
      <c r="C79" s="477" t="s">
        <v>591</v>
      </c>
      <c r="E79" s="447"/>
      <c r="F79" s="447"/>
      <c r="G79" s="447"/>
      <c r="K79" s="447"/>
      <c r="L79" s="447"/>
      <c r="M79" s="447"/>
    </row>
    <row r="80" spans="1:14" ht="12.75" customHeight="1">
      <c r="A80" s="461"/>
      <c r="B80" s="476"/>
      <c r="C80" s="476"/>
      <c r="D80" s="170" t="str">
        <f>nmSeg1</f>
        <v>Medicare</v>
      </c>
      <c r="E80" s="447">
        <f>ROUND((calcLOB1Prod2Seg1RunRate*paramLOB1Prod2Seg1RRM3)/paramTimeConversion,0)</f>
        <v>27</v>
      </c>
      <c r="F80" s="447">
        <f>ROUND((calcLOB1Prod2Seg1RunRate*paramLOB1Prod2Seg1RRM3)/paramTimeConversion,0)</f>
        <v>27</v>
      </c>
      <c r="G80" s="447">
        <f>ROUND((calcLOB1Prod2Seg1RunRate*paramLOB1Prod2Seg1RRM3)/paramTimeConversion,0)</f>
        <v>27</v>
      </c>
      <c r="H80" s="131" t="s">
        <v>4308</v>
      </c>
      <c r="J80" s="170" t="str">
        <f>nmSeg1</f>
        <v>Medicare</v>
      </c>
      <c r="K80" s="447">
        <f>ROUND((calcR2LOB1Prod2Seg1RunRate*paramR2LOB1Prod2Seg1RRM3)/paramR2TimeConversion,0)</f>
        <v>27</v>
      </c>
      <c r="L80" s="447">
        <f>ROUND((calcR2LOB1Prod2Seg1RunRate*paramR2LOB1Prod2Seg1RRM3)/paramR2TimeConversion,0)</f>
        <v>27</v>
      </c>
      <c r="M80" s="447">
        <f>ROUND((calcR2LOB1Prod2Seg1RunRate*paramR2LOB1Prod2Seg1RRM3)/paramR2TimeConversion,0)</f>
        <v>27</v>
      </c>
      <c r="N80" s="131" t="s">
        <v>5947</v>
      </c>
    </row>
    <row r="81" spans="1:17" ht="12.75" customHeight="1">
      <c r="A81" s="461"/>
      <c r="B81" s="476"/>
      <c r="C81" s="476"/>
      <c r="D81" s="170" t="str">
        <f>nmSeg2</f>
        <v>PPS</v>
      </c>
      <c r="E81" s="447">
        <f>ROUND((calcLOB1Prod2Seg2RunRate*paramLOB1Prod2Seg2RRM3)/paramTimeConversion,0)</f>
        <v>4</v>
      </c>
      <c r="F81" s="447">
        <f>ROUND((calcLOB1Prod2Seg2RunRate*paramLOB1Prod2Seg2RRM3)/paramTimeConversion,0)</f>
        <v>4</v>
      </c>
      <c r="G81" s="447">
        <f>ROUND((calcLOB1Prod2Seg2RunRate*paramLOB1Prod2Seg2RRM3)/paramTimeConversion,0)</f>
        <v>4</v>
      </c>
      <c r="H81" s="131" t="s">
        <v>4309</v>
      </c>
      <c r="J81" s="170" t="str">
        <f>nmSeg2</f>
        <v>PPS</v>
      </c>
      <c r="K81" s="447">
        <f>ROUND((calcR2LOB1Prod2Seg2RunRate*paramR2LOB1Prod2Seg2RRM3)/paramR2TimeConversion,0)</f>
        <v>4</v>
      </c>
      <c r="L81" s="447">
        <f>ROUND((calcR2LOB1Prod2Seg2RunRate*paramR2LOB1Prod2Seg2RRM3)/paramR2TimeConversion,0)</f>
        <v>4</v>
      </c>
      <c r="M81" s="447">
        <f>ROUND((calcR2LOB1Prod2Seg2RunRate*paramR2LOB1Prod2Seg2RRM3)/paramR2TimeConversion,0)</f>
        <v>4</v>
      </c>
      <c r="N81" s="131" t="s">
        <v>5948</v>
      </c>
    </row>
    <row r="82" spans="1:17" ht="12.75" customHeight="1">
      <c r="A82" s="461"/>
      <c r="B82" s="476"/>
      <c r="C82" s="476"/>
      <c r="D82" s="170" t="str">
        <f>nmSeg3</f>
        <v>Other</v>
      </c>
      <c r="E82" s="447">
        <f>ROUND((calcLOB1Prod2Seg3RunRate*paramLOB1Prod2Seg3RRM3)/paramTimeConversion,0)</f>
        <v>15</v>
      </c>
      <c r="F82" s="447">
        <f>ROUND((calcLOB1Prod2Seg3RunRate*paramLOB1Prod2Seg3RRM3)/paramTimeConversion,0)</f>
        <v>15</v>
      </c>
      <c r="G82" s="447">
        <f>ROUND((calcLOB1Prod2Seg3RunRate*paramLOB1Prod2Seg3RRM3)/paramTimeConversion,0)</f>
        <v>15</v>
      </c>
      <c r="H82" s="131" t="s">
        <v>4310</v>
      </c>
      <c r="J82" s="170" t="str">
        <f>nmSeg3</f>
        <v>Other</v>
      </c>
      <c r="K82" s="447">
        <f>ROUND((calcR2LOB1Prod2Seg3RunRate*paramR2LOB1Prod2Seg3RRM3)/paramR2TimeConversion,0)</f>
        <v>15</v>
      </c>
      <c r="L82" s="447">
        <f>ROUND((calcR2LOB1Prod2Seg3RunRate*paramR2LOB1Prod2Seg3RRM3)/paramR2TimeConversion,0)</f>
        <v>15</v>
      </c>
      <c r="M82" s="447">
        <f>ROUND((calcR2LOB1Prod2Seg3RunRate*paramR2LOB1Prod2Seg3RRM3)/paramR2TimeConversion,0)</f>
        <v>15</v>
      </c>
      <c r="N82" s="131" t="s">
        <v>5949</v>
      </c>
    </row>
    <row r="83" spans="1:17" ht="1.5" customHeight="1">
      <c r="A83" s="461"/>
      <c r="B83" s="476"/>
      <c r="C83" s="476"/>
      <c r="D83" s="449"/>
      <c r="E83" s="450"/>
      <c r="F83" s="450"/>
      <c r="G83" s="450"/>
      <c r="H83" s="131"/>
      <c r="J83" s="449"/>
      <c r="K83" s="450"/>
      <c r="L83" s="450"/>
      <c r="M83" s="450"/>
      <c r="N83" s="131"/>
    </row>
    <row r="84" spans="1:17" ht="12.75" customHeight="1">
      <c r="A84" s="461"/>
      <c r="B84" s="476"/>
      <c r="C84" s="476"/>
      <c r="D84" s="131" t="s">
        <v>1583</v>
      </c>
      <c r="E84" s="448">
        <f>SUM(E76:E83)</f>
        <v>278</v>
      </c>
      <c r="F84" s="448">
        <f t="shared" ref="F84" si="13">SUM(F76:F83)</f>
        <v>278</v>
      </c>
      <c r="G84" s="448">
        <f t="shared" ref="G84" si="14">SUM(G76:G83)</f>
        <v>278</v>
      </c>
      <c r="H84" s="131" t="s">
        <v>4311</v>
      </c>
      <c r="J84" s="131" t="s">
        <v>1583</v>
      </c>
      <c r="K84" s="448">
        <f>SUM(K76:K83)</f>
        <v>283</v>
      </c>
      <c r="L84" s="448">
        <f t="shared" ref="L84:M84" si="15">SUM(L76:L83)</f>
        <v>281</v>
      </c>
      <c r="M84" s="448">
        <f t="shared" si="15"/>
        <v>281</v>
      </c>
      <c r="N84" s="131" t="s">
        <v>5950</v>
      </c>
    </row>
    <row r="85" spans="1:17" ht="12.75" customHeight="1">
      <c r="A85" s="461"/>
    </row>
    <row r="86" spans="1:17" ht="12.75" customHeight="1">
      <c r="A86" s="461"/>
      <c r="B86" s="87" t="s">
        <v>732</v>
      </c>
      <c r="C86" s="87"/>
    </row>
    <row r="87" spans="1:17" ht="12.75" customHeight="1">
      <c r="A87" s="461"/>
      <c r="C87" s="87" t="s">
        <v>590</v>
      </c>
      <c r="D87" s="131"/>
      <c r="J87" s="131"/>
    </row>
    <row r="88" spans="1:17" ht="12.75" customHeight="1">
      <c r="A88" s="461"/>
      <c r="D88" s="170" t="str">
        <f>nmSeg1</f>
        <v>Medicare</v>
      </c>
      <c r="E88" s="447">
        <f>ROUND(IF(tlInputSubmitted_R1=1,mmLOB1UnitsNew*cbalLOB1Seg1Perc,decLOB1Prod1Seg1Adj_R1*paramTimeConversion),0)</f>
        <v>1452</v>
      </c>
      <c r="F88" s="447">
        <f>ROUND(IF(tlInputSubmitted_R1=1,mmLOB1UnitsNew*cbalLOB1Seg1Perc,decLOB1Prod1Seg1Adj_R1*paramTimeConversion),0)</f>
        <v>1992</v>
      </c>
      <c r="G88" s="447">
        <f>ROUND(IF(tlInputSubmitted_R1=1,mmLOB1UnitsNew*cbalLOB1Seg1Perc,decLOB1Prod1Seg1Adj_R1*paramTimeConversion),0)</f>
        <v>1068</v>
      </c>
      <c r="H88" s="131" t="s">
        <v>735</v>
      </c>
      <c r="J88" s="170" t="str">
        <f>nmSeg1</f>
        <v>Medicare</v>
      </c>
      <c r="K88" s="447">
        <f>ROUND(IF(tlInputSubmitted_R2=1,mmR2LOB1UnitsNew*cbalR2LOB1Seg1Perc,decLOB1Prod1Seg1Adj_R2*paramR2TimeConversion),0)</f>
        <v>1476</v>
      </c>
      <c r="L88" s="447">
        <f>ROUND(IF(tlInputSubmitted_R2=1,mmR2LOB1UnitsNew*cbalR2LOB1Seg1Perc,decLOB1Prod1Seg1Adj_R2*paramR2TimeConversion),0)</f>
        <v>1992</v>
      </c>
      <c r="M88" s="447">
        <f>ROUND(IF(tlInputSubmitted_R2=1,mmR2LOB1UnitsNew*cbalR2LOB1Seg1Perc,decLOB1Prod1Seg1Adj_R2*paramR2TimeConversion),0)</f>
        <v>1068</v>
      </c>
      <c r="N88" s="131" t="s">
        <v>5951</v>
      </c>
      <c r="P88" s="170">
        <v>1597</v>
      </c>
      <c r="Q88" s="770">
        <f>E88-P88</f>
        <v>-145</v>
      </c>
    </row>
    <row r="89" spans="1:17" ht="12.75" customHeight="1">
      <c r="A89" s="461"/>
      <c r="D89" s="170" t="str">
        <f>nmSeg2</f>
        <v>PPS</v>
      </c>
      <c r="E89" s="447">
        <f>ROUND(IF(tlInputSubmitted_R1=1,mmLOB1UnitsNew*cbalLOB1Seg2Perc,decLOB1Prod1Seg2Adj_R1*paramTimeConversion),0)</f>
        <v>252</v>
      </c>
      <c r="F89" s="447">
        <f>ROUND(IF(tlInputSubmitted_R1=1,mmLOB1UnitsNew*cbalLOB1Seg2Perc,decLOB1Prod1Seg2Adj_R1*paramTimeConversion),0)</f>
        <v>336</v>
      </c>
      <c r="G89" s="447">
        <f>ROUND(IF(tlInputSubmitted_R1=1,mmLOB1UnitsNew*cbalLOB1Seg2Perc,decLOB1Prod1Seg2Adj_R1*paramTimeConversion),0)</f>
        <v>180</v>
      </c>
      <c r="H89" s="131" t="s">
        <v>736</v>
      </c>
      <c r="J89" s="170" t="str">
        <f>nmSeg2</f>
        <v>PPS</v>
      </c>
      <c r="K89" s="447">
        <f>ROUND(IF(tlInputSubmitted_R2=1=0,mmR2LOB1UnitsNew*cbalR2LOB1Seg2Perc,decLOB1Prod1Seg2Adj_R2*paramR2TimeConversion),0)</f>
        <v>252</v>
      </c>
      <c r="L89" s="447">
        <f>ROUND(IF(tlInputSubmitted_R2=1=0,mmR2LOB1UnitsNew*cbalR2LOB1Seg2Perc,decLOB1Prod1Seg2Adj_R2*paramR2TimeConversion),0)</f>
        <v>336</v>
      </c>
      <c r="M89" s="447">
        <f>ROUND(IF(tlInputSubmitted_R2=1=0,mmR2LOB1UnitsNew*cbalR2LOB1Seg2Perc,decLOB1Prod1Seg2Adj_R2*paramR2TimeConversion),0)</f>
        <v>180</v>
      </c>
      <c r="N89" s="131" t="s">
        <v>5952</v>
      </c>
      <c r="P89" s="170">
        <v>275</v>
      </c>
      <c r="Q89" s="770">
        <f t="shared" ref="Q89:Q96" si="16">E89-P89</f>
        <v>-23</v>
      </c>
    </row>
    <row r="90" spans="1:17" ht="12.75" customHeight="1">
      <c r="A90" s="461"/>
      <c r="D90" s="170" t="str">
        <f>nmSeg3</f>
        <v>Other</v>
      </c>
      <c r="E90" s="447">
        <f>ROUND(IF(tlInputSubmitted_R1=1,mmLOB1UnitsNew*cbalLOB1Seg3Perc,decLOB1Prod1Seg3Adj_R1*paramTimeConversion),0)</f>
        <v>804</v>
      </c>
      <c r="F90" s="447">
        <f>ROUND(IF(tlInputSubmitted_R1=1,mmLOB1UnitsNew*cbalLOB1Seg3Perc,decLOB1Prod1Seg3Adj_R1*paramTimeConversion),0)</f>
        <v>1104</v>
      </c>
      <c r="G90" s="447">
        <f>ROUND(IF(tlInputSubmitted_R1=1,mmLOB1UnitsNew*cbalLOB1Seg3Perc,decLOB1Prod1Seg3Adj_R1*paramTimeConversion),0)</f>
        <v>600</v>
      </c>
      <c r="H90" s="131" t="s">
        <v>737</v>
      </c>
      <c r="J90" s="170" t="str">
        <f>nmSeg3</f>
        <v>Other</v>
      </c>
      <c r="K90" s="447">
        <f>ROUND(IF(tlInputSubmitted_R2=1,mmR2LOB1UnitsNew*cbalR2LOB1Seg3Perc,decLOB1Prod1Seg3Adj_R2*paramR2TimeConversion),0)</f>
        <v>816</v>
      </c>
      <c r="L90" s="447">
        <f>ROUND(IF(tlInputSubmitted_R2=1,mmR2LOB1UnitsNew*cbalR2LOB1Seg3Perc,decLOB1Prod1Seg3Adj_R2*paramR2TimeConversion),0)</f>
        <v>1104</v>
      </c>
      <c r="M90" s="447">
        <f>ROUND(IF(tlInputSubmitted_R2=1,mmR2LOB1UnitsNew*cbalR2LOB1Seg3Perc,decLOB1Prod1Seg3Adj_R2*paramR2TimeConversion),0)</f>
        <v>600</v>
      </c>
      <c r="N90" s="131" t="s">
        <v>5953</v>
      </c>
      <c r="P90" s="170">
        <v>881</v>
      </c>
      <c r="Q90" s="770">
        <f t="shared" si="16"/>
        <v>-77</v>
      </c>
    </row>
    <row r="91" spans="1:17" ht="12.75" customHeight="1">
      <c r="A91" s="461"/>
      <c r="C91" s="87" t="s">
        <v>591</v>
      </c>
      <c r="E91" s="447"/>
      <c r="F91" s="447"/>
      <c r="G91" s="447"/>
      <c r="K91" s="447"/>
      <c r="L91" s="447"/>
      <c r="M91" s="447"/>
      <c r="Q91" s="770">
        <f t="shared" si="16"/>
        <v>0</v>
      </c>
    </row>
    <row r="92" spans="1:17" ht="12.75" customHeight="1">
      <c r="A92" s="461"/>
      <c r="D92" s="170" t="str">
        <f>nmSeg1</f>
        <v>Medicare</v>
      </c>
      <c r="E92" s="447">
        <f>ROUND(IF(tlInputSubmitted_R1=1,calcLOB1Prod1Seg1Patients*cbalLOB1Prod2Seg1Perc,decLOB1Prod2Seg1Adj_R1*paramTimeConversion),0)</f>
        <v>360</v>
      </c>
      <c r="F92" s="447">
        <f>ROUND(IF(tlInputSubmitted_R1=1,calcLOB1Prod1Seg1Patients*cbalLOB1Prod2Seg1Perc,decLOB1Prod2Seg1Adj_R1*paramTimeConversion),0)</f>
        <v>492</v>
      </c>
      <c r="G92" s="447">
        <f>ROUND(IF(tlInputSubmitted_R1=1,calcLOB1Prod1Seg1Patients*cbalLOB1Prod2Seg1Perc,decLOB1Prod2Seg1Adj_R1*paramTimeConversion),0)</f>
        <v>264</v>
      </c>
      <c r="H92" s="131" t="s">
        <v>1470</v>
      </c>
      <c r="J92" s="170" t="str">
        <f>nmSeg1</f>
        <v>Medicare</v>
      </c>
      <c r="K92" s="447">
        <f>ROUND(IF(tlInputSubmitted_R2=1,calcR2LOB1Prod1Seg1Patients*cbalR2LOB1Prod2Seg1Perc,decLOB1Prod2Seg1Adj_R2*paramR2TimeConversion),0)</f>
        <v>372</v>
      </c>
      <c r="L92" s="447">
        <f>ROUND(IF(tlInputSubmitted_R2=1,calcR2LOB1Prod1Seg1Patients*cbalR2LOB1Prod2Seg1Perc,decLOB1Prod2Seg1Adj_R2*paramR2TimeConversion),0)</f>
        <v>492</v>
      </c>
      <c r="M92" s="447">
        <f>ROUND(IF(tlInputSubmitted_R2=1,calcR2LOB1Prod1Seg1Patients*cbalR2LOB1Prod2Seg1Perc,decLOB1Prod2Seg1Adj_R2*paramR2TimeConversion),0)</f>
        <v>264</v>
      </c>
      <c r="N92" s="131" t="s">
        <v>5954</v>
      </c>
      <c r="P92" s="170">
        <v>399</v>
      </c>
      <c r="Q92" s="770">
        <f t="shared" si="16"/>
        <v>-39</v>
      </c>
    </row>
    <row r="93" spans="1:17" ht="12.75" customHeight="1">
      <c r="A93" s="461"/>
      <c r="D93" s="170" t="str">
        <f>nmSeg2</f>
        <v>PPS</v>
      </c>
      <c r="E93" s="447">
        <f>ROUND(IF(tlInputSubmitted_R1=1,calcLOB1Prod1Seg2Patients*cbalLOB1Prod2Seg2Perc,decLOB1Prod2Seg2Adj_R1*paramTimeConversion),0)</f>
        <v>60</v>
      </c>
      <c r="F93" s="447">
        <f>ROUND(IF(tlInputSubmitted_R1=1,calcLOB1Prod1Seg2Patients*cbalLOB1Prod2Seg2Perc,decLOB1Prod2Seg2Adj_R1*paramTimeConversion),0)</f>
        <v>84</v>
      </c>
      <c r="G93" s="447">
        <f>ROUND(IF(tlInputSubmitted_R1=1,calcLOB1Prod1Seg2Patients*cbalLOB1Prod2Seg2Perc,decLOB1Prod2Seg2Adj_R1*paramTimeConversion),0)</f>
        <v>48</v>
      </c>
      <c r="H93" s="131" t="s">
        <v>1471</v>
      </c>
      <c r="J93" s="170" t="str">
        <f>nmSeg2</f>
        <v>PPS</v>
      </c>
      <c r="K93" s="447">
        <f>ROUND(IF(tlInputSubmitted_R2=1,calcR2LOB1Prod1Seg2Patients*cbalR2LOB1Prod2Seg2Perc,decLOB1Prod2Seg2Adj_R2*paramR2TimeConversion),0)</f>
        <v>60</v>
      </c>
      <c r="L93" s="447">
        <f>ROUND(IF(tlInputSubmitted_R2=1,calcR2LOB1Prod1Seg2Patients*cbalR2LOB1Prod2Seg2Perc,decLOB1Prod2Seg2Adj_R2*paramR2TimeConversion),0)</f>
        <v>84</v>
      </c>
      <c r="M93" s="447">
        <f>ROUND(IF(tlInputSubmitted_R2=1,calcR2LOB1Prod1Seg2Patients*cbalR2LOB1Prod2Seg2Perc,decLOB1Prod2Seg2Adj_R2*paramR2TimeConversion),0)</f>
        <v>48</v>
      </c>
      <c r="N93" s="131" t="s">
        <v>5955</v>
      </c>
      <c r="P93" s="170">
        <v>69</v>
      </c>
      <c r="Q93" s="770">
        <f t="shared" si="16"/>
        <v>-9</v>
      </c>
    </row>
    <row r="94" spans="1:17" ht="12.75" customHeight="1">
      <c r="A94" s="461"/>
      <c r="D94" s="170" t="str">
        <f>nmSeg3</f>
        <v>Other</v>
      </c>
      <c r="E94" s="447">
        <f>ROUND(IF(tlInputSubmitted_R1=1,calcLOB1Prod1Seg3Patients*cbalLOB1Prod2Seg3Perc,decLOB1Prod2Seg3Adj_R1*paramTimeConversion),0)</f>
        <v>204</v>
      </c>
      <c r="F94" s="447">
        <f>ROUND(IF(tlInputSubmitted_R1=1,calcLOB1Prod1Seg3Patients*cbalLOB1Prod2Seg3Perc,decLOB1Prod2Seg3Adj_R1*paramTimeConversion),0)</f>
        <v>276</v>
      </c>
      <c r="G94" s="447">
        <f>ROUND(IF(tlInputSubmitted_R1=1,calcLOB1Prod1Seg3Patients*cbalLOB1Prod2Seg3Perc,decLOB1Prod2Seg3Adj_R1*paramTimeConversion),0)</f>
        <v>144</v>
      </c>
      <c r="H94" s="131" t="s">
        <v>1472</v>
      </c>
      <c r="J94" s="170" t="str">
        <f>nmSeg3</f>
        <v>Other</v>
      </c>
      <c r="K94" s="447">
        <f>ROUND(IF(tlInputSubmitted_R2=1,calcR2LOB1Prod1Seg3Patients*cbalR2LOB1Prod2Seg3Perc,decLOB1Prod2Seg3Adj_R2*paramR2TimeConversion),0)</f>
        <v>204</v>
      </c>
      <c r="L94" s="447">
        <f>ROUND(IF(tlInputSubmitted_R2=1,calcR2LOB1Prod1Seg3Patients*cbalR2LOB1Prod2Seg3Perc,decLOB1Prod2Seg3Adj_R2*paramR2TimeConversion),0)</f>
        <v>276</v>
      </c>
      <c r="M94" s="447">
        <f>ROUND(IF(tlInputSubmitted_R2=1,calcR2LOB1Prod1Seg3Patients*cbalR2LOB1Prod2Seg3Perc,decLOB1Prod2Seg3Adj_R2*paramR2TimeConversion),0)</f>
        <v>144</v>
      </c>
      <c r="N94" s="131" t="s">
        <v>5956</v>
      </c>
      <c r="P94" s="170">
        <v>220</v>
      </c>
      <c r="Q94" s="770">
        <f t="shared" si="16"/>
        <v>-16</v>
      </c>
    </row>
    <row r="95" spans="1:17" ht="1.5" customHeight="1">
      <c r="A95" s="461"/>
      <c r="D95" s="449"/>
      <c r="E95" s="450"/>
      <c r="F95" s="450"/>
      <c r="G95" s="450"/>
      <c r="H95" s="131"/>
      <c r="J95" s="449"/>
      <c r="K95" s="450"/>
      <c r="L95" s="450"/>
      <c r="M95" s="450"/>
      <c r="N95" s="131"/>
      <c r="Q95" s="770">
        <f t="shared" si="16"/>
        <v>0</v>
      </c>
    </row>
    <row r="96" spans="1:17" ht="12.75" customHeight="1">
      <c r="A96" s="461"/>
      <c r="D96" s="131" t="s">
        <v>1583</v>
      </c>
      <c r="E96" s="448">
        <f>SUM(E88:E95)</f>
        <v>3132</v>
      </c>
      <c r="F96" s="448">
        <f t="shared" ref="F96:G96" si="17">SUM(F88:F95)</f>
        <v>4284</v>
      </c>
      <c r="G96" s="448">
        <f t="shared" si="17"/>
        <v>2304</v>
      </c>
      <c r="H96" s="131" t="s">
        <v>1584</v>
      </c>
      <c r="J96" s="131" t="s">
        <v>1583</v>
      </c>
      <c r="K96" s="448">
        <f>SUM(K88:K95)</f>
        <v>3180</v>
      </c>
      <c r="L96" s="448">
        <f t="shared" ref="L96:M96" si="18">SUM(L88:L95)</f>
        <v>4284</v>
      </c>
      <c r="M96" s="448">
        <f t="shared" si="18"/>
        <v>2304</v>
      </c>
      <c r="N96" s="131" t="s">
        <v>5957</v>
      </c>
      <c r="P96" s="170">
        <v>3441</v>
      </c>
      <c r="Q96" s="770">
        <f t="shared" si="16"/>
        <v>-309</v>
      </c>
    </row>
    <row r="97" spans="1:17" ht="12.75" customHeight="1">
      <c r="A97" s="461"/>
    </row>
    <row r="98" spans="1:17" ht="12.75" customHeight="1">
      <c r="A98" s="461"/>
      <c r="B98" s="87" t="s">
        <v>1473</v>
      </c>
    </row>
    <row r="99" spans="1:17" ht="12.75" customHeight="1">
      <c r="A99" s="461"/>
      <c r="C99" s="87" t="str">
        <f>nmEmp1</f>
        <v>Skilled Nursing</v>
      </c>
    </row>
    <row r="100" spans="1:17" ht="12.75" customHeight="1">
      <c r="A100" s="461"/>
      <c r="D100" s="170" t="str">
        <f>nmProd1 &amp; " " &amp; nmSeg1</f>
        <v>Admits Medicare</v>
      </c>
      <c r="E100" s="448">
        <f>calcLOB1Prod1Seg1Patients*cbalLOB1Emp1VisitPEp</f>
        <v>9873.6</v>
      </c>
      <c r="F100" s="448">
        <f>calcLOB1Prod1Seg1Patients*cbalLOB1Emp1VisitPEp</f>
        <v>13545.6</v>
      </c>
      <c r="G100" s="448">
        <f>calcLOB1Prod1Seg1Patients*cbalLOB1Emp1VisitPEp</f>
        <v>7262.4</v>
      </c>
      <c r="H100" s="131" t="s">
        <v>1474</v>
      </c>
      <c r="J100" s="170" t="str">
        <f>nmProd1 &amp; " " &amp; nmSeg1</f>
        <v>Admits Medicare</v>
      </c>
      <c r="K100" s="448">
        <f>calcR2LOB1Prod1Seg1Patients*cbalR2LOB1Emp1VisitPEp</f>
        <v>10036.799999999999</v>
      </c>
      <c r="L100" s="448">
        <f>calcR2LOB1Prod1Seg1Patients*cbalR2LOB1Emp1VisitPEp</f>
        <v>13545.6</v>
      </c>
      <c r="M100" s="448">
        <f>calcR2LOB1Prod1Seg1Patients*cbalR2LOB1Emp1VisitPEp</f>
        <v>7262.4</v>
      </c>
      <c r="N100" s="131" t="s">
        <v>5958</v>
      </c>
      <c r="P100" s="448">
        <v>10070.799999999999</v>
      </c>
      <c r="Q100" s="462">
        <f>E100-P100</f>
        <v>-197.19999999999891</v>
      </c>
    </row>
    <row r="101" spans="1:17" ht="12.75" customHeight="1">
      <c r="A101" s="461"/>
      <c r="D101" s="170" t="str">
        <f>nmProd1 &amp; " " &amp; nmSeg2</f>
        <v>Admits PPS</v>
      </c>
      <c r="E101" s="448">
        <f>calcLOB1Prod1Seg2Patients*cbalLOB1Emp1VisitPEp</f>
        <v>1713.6</v>
      </c>
      <c r="F101" s="448">
        <f>calcLOB1Prod1Seg2Patients*cbalLOB1Emp1VisitPEp</f>
        <v>2284.7999999999997</v>
      </c>
      <c r="G101" s="448">
        <f>calcLOB1Prod1Seg2Patients*cbalLOB1Emp1VisitPEp</f>
        <v>1224</v>
      </c>
      <c r="H101" s="131" t="s">
        <v>1475</v>
      </c>
      <c r="J101" s="170" t="str">
        <f>nmProd1 &amp; " " &amp; nmSeg2</f>
        <v>Admits PPS</v>
      </c>
      <c r="K101" s="448">
        <f>calcR2LOB1Prod1Seg2Patients*cbalR2LOB1Emp1VisitPEp</f>
        <v>1713.6</v>
      </c>
      <c r="L101" s="448">
        <f>calcR2LOB1Prod1Seg2Patients*cbalR2LOB1Emp1VisitPEp</f>
        <v>2284.7999999999997</v>
      </c>
      <c r="M101" s="448">
        <f>calcR2LOB1Prod1Seg2Patients*cbalR2LOB1Emp1VisitPEp</f>
        <v>1224</v>
      </c>
      <c r="N101" s="131" t="s">
        <v>5959</v>
      </c>
      <c r="P101" s="448">
        <v>1734</v>
      </c>
      <c r="Q101" s="462">
        <f t="shared" ref="Q101:Q107" si="19">E101-P101</f>
        <v>-20.400000000000091</v>
      </c>
    </row>
    <row r="102" spans="1:17" ht="12.75" customHeight="1">
      <c r="A102" s="461"/>
      <c r="D102" s="170" t="str">
        <f>nmProd1 &amp; " " &amp; nmSeg3</f>
        <v>Admits Other</v>
      </c>
      <c r="E102" s="448">
        <f>calcLOB1Prod1Seg3Patients*cbalLOB1Emp1VisitPEp</f>
        <v>5467.2</v>
      </c>
      <c r="F102" s="448">
        <f>calcLOB1Prod1Seg3Patients*cbalLOB1Emp1VisitPEp</f>
        <v>7507.2</v>
      </c>
      <c r="G102" s="448">
        <f>calcLOB1Prod1Seg3Patients*cbalLOB1Emp1VisitPEp</f>
        <v>4080</v>
      </c>
      <c r="H102" s="131" t="s">
        <v>1476</v>
      </c>
      <c r="J102" s="170" t="str">
        <f>nmProd1 &amp; " " &amp; nmSeg3</f>
        <v>Admits Other</v>
      </c>
      <c r="K102" s="448">
        <f>calcR2LOB1Prod1Seg3Patients*cbalR2LOB1Emp1VisitPEp</f>
        <v>5548.8</v>
      </c>
      <c r="L102" s="448">
        <f>calcR2LOB1Prod1Seg3Patients*cbalR2LOB1Emp1VisitPEp</f>
        <v>7507.2</v>
      </c>
      <c r="M102" s="448">
        <f>calcR2LOB1Prod1Seg3Patients*cbalR2LOB1Emp1VisitPEp</f>
        <v>4080</v>
      </c>
      <c r="N102" s="131" t="s">
        <v>5960</v>
      </c>
      <c r="P102" s="448">
        <v>5555.5999999999995</v>
      </c>
      <c r="Q102" s="462">
        <f t="shared" si="19"/>
        <v>-88.399999999999636</v>
      </c>
    </row>
    <row r="103" spans="1:17" ht="12.75" customHeight="1">
      <c r="A103" s="461"/>
      <c r="D103" s="170" t="str">
        <f>nmProd2 &amp; " " &amp; nmSeg1</f>
        <v>Recerts Medicare</v>
      </c>
      <c r="E103" s="448">
        <f>calcLOB1Prod2Seg1Patients*cbalLOB1Emp1VisitPEp</f>
        <v>2448</v>
      </c>
      <c r="F103" s="448">
        <f>calcLOB1Prod2Seg1Patients*cbalLOB1Emp1VisitPEp</f>
        <v>3345.6</v>
      </c>
      <c r="G103" s="448">
        <f>calcLOB1Prod2Seg1Patients*cbalLOB1Emp1VisitPEp</f>
        <v>1795.2</v>
      </c>
      <c r="H103" s="131" t="s">
        <v>1477</v>
      </c>
      <c r="J103" s="170" t="str">
        <f>nmProd2 &amp; " " &amp; nmSeg1</f>
        <v>Recerts Medicare</v>
      </c>
      <c r="K103" s="448">
        <f>calcR2LOB1Prod2Seg1Patients*cbalR2LOB1Emp1VisitPEp</f>
        <v>2529.6</v>
      </c>
      <c r="L103" s="448">
        <f>calcR2LOB1Prod2Seg1Patients*cbalR2LOB1Emp1VisitPEp</f>
        <v>3345.6</v>
      </c>
      <c r="M103" s="448">
        <f>calcR2LOB1Prod2Seg1Patients*cbalR2LOB1Emp1VisitPEp</f>
        <v>1795.2</v>
      </c>
      <c r="N103" s="131" t="s">
        <v>5961</v>
      </c>
      <c r="P103" s="448">
        <v>2516</v>
      </c>
      <c r="Q103" s="462">
        <f t="shared" si="19"/>
        <v>-68</v>
      </c>
    </row>
    <row r="104" spans="1:17" ht="12.75" customHeight="1">
      <c r="A104" s="461"/>
      <c r="D104" s="170" t="str">
        <f>nmProd2 &amp; " " &amp; nmSeg2</f>
        <v>Recerts PPS</v>
      </c>
      <c r="E104" s="448">
        <f>calcLOB1Prod2Seg2Patients*cbalLOB1Emp1VisitPEp</f>
        <v>408</v>
      </c>
      <c r="F104" s="448">
        <f>calcLOB1Prod2Seg2Patients*cbalLOB1Emp1VisitPEp</f>
        <v>571.19999999999993</v>
      </c>
      <c r="G104" s="448">
        <f>calcLOB1Prod2Seg2Patients*cbalLOB1Emp1VisitPEp</f>
        <v>326.39999999999998</v>
      </c>
      <c r="H104" s="131" t="s">
        <v>1478</v>
      </c>
      <c r="J104" s="170" t="str">
        <f>nmProd2 &amp; " " &amp; nmSeg2</f>
        <v>Recerts PPS</v>
      </c>
      <c r="K104" s="448">
        <f>calcR2LOB1Prod2Seg2Patients*cbalR2LOB1Emp1VisitPEp</f>
        <v>408</v>
      </c>
      <c r="L104" s="448">
        <f>calcR2LOB1Prod2Seg2Patients*cbalR2LOB1Emp1VisitPEp</f>
        <v>571.19999999999993</v>
      </c>
      <c r="M104" s="448">
        <f>calcR2LOB1Prod2Seg2Patients*cbalR2LOB1Emp1VisitPEp</f>
        <v>326.39999999999998</v>
      </c>
      <c r="N104" s="131" t="s">
        <v>5962</v>
      </c>
      <c r="P104" s="448">
        <v>435.2</v>
      </c>
      <c r="Q104" s="462">
        <f t="shared" si="19"/>
        <v>-27.199999999999989</v>
      </c>
    </row>
    <row r="105" spans="1:17" ht="12.75" customHeight="1">
      <c r="A105" s="461"/>
      <c r="D105" s="170" t="str">
        <f>nmProd2 &amp; " " &amp; nmSeg3</f>
        <v>Recerts Other</v>
      </c>
      <c r="E105" s="448">
        <f>calcLOB1Prod2Seg3Patients*cbalLOB1Emp1VisitPEp</f>
        <v>1387.2</v>
      </c>
      <c r="F105" s="448">
        <f>calcLOB1Prod2Seg3Patients*cbalLOB1Emp1VisitPEp</f>
        <v>1876.8</v>
      </c>
      <c r="G105" s="448">
        <f>calcLOB1Prod2Seg3Patients*cbalLOB1Emp1VisitPEp</f>
        <v>979.19999999999993</v>
      </c>
      <c r="H105" s="131" t="s">
        <v>1479</v>
      </c>
      <c r="J105" s="170" t="str">
        <f>nmProd2 &amp; " " &amp; nmSeg3</f>
        <v>Recerts Other</v>
      </c>
      <c r="K105" s="448">
        <f>calcR2LOB1Prod2Seg3Patients*cbalR2LOB1Emp1VisitPEp</f>
        <v>1387.2</v>
      </c>
      <c r="L105" s="448">
        <f>calcR2LOB1Prod2Seg3Patients*cbalR2LOB1Emp1VisitPEp</f>
        <v>1876.8</v>
      </c>
      <c r="M105" s="448">
        <f>calcR2LOB1Prod2Seg3Patients*cbalR2LOB1Emp1VisitPEp</f>
        <v>979.19999999999993</v>
      </c>
      <c r="N105" s="131" t="s">
        <v>5963</v>
      </c>
      <c r="P105" s="448">
        <v>1387.2</v>
      </c>
      <c r="Q105" s="462">
        <f t="shared" si="19"/>
        <v>0</v>
      </c>
    </row>
    <row r="106" spans="1:17" ht="1.5" customHeight="1">
      <c r="A106" s="461"/>
      <c r="D106" s="449"/>
      <c r="E106" s="450"/>
      <c r="F106" s="450"/>
      <c r="G106" s="450"/>
      <c r="H106" s="131"/>
      <c r="J106" s="449"/>
      <c r="K106" s="450"/>
      <c r="L106" s="450"/>
      <c r="M106" s="450"/>
      <c r="N106" s="131"/>
      <c r="P106" s="450"/>
      <c r="Q106" s="462">
        <f t="shared" si="19"/>
        <v>0</v>
      </c>
    </row>
    <row r="107" spans="1:17" ht="12.75" customHeight="1">
      <c r="A107" s="461"/>
      <c r="D107" s="170" t="str">
        <f>"Total "&amp; nmEmp1</f>
        <v>Total Skilled Nursing</v>
      </c>
      <c r="E107" s="448">
        <f>SUM(E100:E106)</f>
        <v>21297.600000000002</v>
      </c>
      <c r="F107" s="448">
        <f t="shared" ref="F107:G107" si="20">SUM(F100:F106)</f>
        <v>29131.199999999997</v>
      </c>
      <c r="G107" s="448">
        <f t="shared" si="20"/>
        <v>15667.2</v>
      </c>
      <c r="H107" s="131" t="s">
        <v>1493</v>
      </c>
      <c r="J107" s="170" t="str">
        <f>"Total "&amp; nmEmp1</f>
        <v>Total Skilled Nursing</v>
      </c>
      <c r="K107" s="448">
        <f>SUM(K100:K106)</f>
        <v>21624</v>
      </c>
      <c r="L107" s="448">
        <f t="shared" ref="L107:M107" si="21">SUM(L100:L106)</f>
        <v>29131.199999999997</v>
      </c>
      <c r="M107" s="448">
        <f t="shared" si="21"/>
        <v>15667.2</v>
      </c>
      <c r="N107" s="131" t="s">
        <v>5964</v>
      </c>
      <c r="P107" s="448">
        <v>21698.799999999999</v>
      </c>
      <c r="Q107" s="462">
        <f t="shared" si="19"/>
        <v>-401.19999999999709</v>
      </c>
    </row>
    <row r="108" spans="1:17" ht="12.75" customHeight="1">
      <c r="A108" s="461"/>
      <c r="E108" s="448"/>
      <c r="F108" s="448"/>
      <c r="G108" s="448"/>
      <c r="H108" s="131"/>
      <c r="K108" s="728"/>
      <c r="L108" s="448"/>
      <c r="M108" s="448"/>
      <c r="N108" s="131"/>
      <c r="P108" s="448"/>
    </row>
    <row r="109" spans="1:17" ht="12.75" customHeight="1">
      <c r="A109" s="461"/>
      <c r="C109" s="87" t="str">
        <f>nmEmp2</f>
        <v>Occupational Therapy</v>
      </c>
    </row>
    <row r="110" spans="1:17" ht="12.75" customHeight="1">
      <c r="A110" s="461"/>
      <c r="D110" s="170" t="str">
        <f>nmProd1 &amp; " " &amp; nmSeg1</f>
        <v>Admits Medicare</v>
      </c>
      <c r="E110" s="448">
        <f>calcLOB1Prod1Seg1Patients*cbalLOB1Emp2VisitPEp</f>
        <v>2541</v>
      </c>
      <c r="F110" s="448">
        <f>calcLOB1Prod1Seg1Patients*cbalLOB1Emp2VisitPEp</f>
        <v>3486</v>
      </c>
      <c r="G110" s="448">
        <f>calcLOB1Prod1Seg1Patients*cbalLOB1Emp2VisitPEp</f>
        <v>1869</v>
      </c>
      <c r="H110" s="131" t="s">
        <v>1480</v>
      </c>
      <c r="J110" s="170" t="str">
        <f>nmProd1 &amp; " " &amp; nmSeg1</f>
        <v>Admits Medicare</v>
      </c>
      <c r="K110" s="448">
        <f>calcR2LOB1Prod1Seg1Patients*cbalR2LOB1Emp2VisitPEp</f>
        <v>2583</v>
      </c>
      <c r="L110" s="448">
        <f>calcR2LOB1Prod1Seg1Patients*cbalR2LOB1Emp2VisitPEp</f>
        <v>3486</v>
      </c>
      <c r="M110" s="448">
        <f>calcR2LOB1Prod1Seg1Patients*cbalR2LOB1Emp2VisitPEp</f>
        <v>1869</v>
      </c>
      <c r="N110" s="131" t="s">
        <v>5965</v>
      </c>
      <c r="P110" s="448">
        <v>2702.7</v>
      </c>
    </row>
    <row r="111" spans="1:17" ht="12.75" customHeight="1">
      <c r="A111" s="461"/>
      <c r="D111" s="170" t="str">
        <f>nmProd1 &amp; " " &amp; nmSeg2</f>
        <v>Admits PPS</v>
      </c>
      <c r="E111" s="448">
        <f>calcLOB1Prod1Seg2Patients*cbalLOB1Emp2VisitPEp</f>
        <v>441</v>
      </c>
      <c r="F111" s="448">
        <f>calcLOB1Prod1Seg2Patients*cbalLOB1Emp2VisitPEp</f>
        <v>588</v>
      </c>
      <c r="G111" s="448">
        <f>calcLOB1Prod1Seg2Patients*cbalLOB1Emp2VisitPEp</f>
        <v>315</v>
      </c>
      <c r="H111" s="131" t="s">
        <v>1481</v>
      </c>
      <c r="J111" s="170" t="str">
        <f>nmProd1 &amp; " " &amp; nmSeg2</f>
        <v>Admits PPS</v>
      </c>
      <c r="K111" s="448">
        <f>calcR2LOB1Prod1Seg2Patients*cbalR2LOB1Emp2VisitPEp</f>
        <v>441</v>
      </c>
      <c r="L111" s="448">
        <f>calcR2LOB1Prod1Seg2Patients*cbalR2LOB1Emp2VisitPEp</f>
        <v>588</v>
      </c>
      <c r="M111" s="448">
        <f>calcR2LOB1Prod1Seg2Patients*cbalR2LOB1Emp2VisitPEp</f>
        <v>315</v>
      </c>
      <c r="N111" s="131" t="s">
        <v>5966</v>
      </c>
      <c r="P111" s="448">
        <v>519.75</v>
      </c>
    </row>
    <row r="112" spans="1:17" ht="12.75" customHeight="1">
      <c r="A112" s="461"/>
      <c r="D112" s="170" t="str">
        <f>nmProd1 &amp; " " &amp; nmSeg3</f>
        <v>Admits Other</v>
      </c>
      <c r="E112" s="448">
        <f>calcLOB1Prod1Seg3Patients*cbalLOB1Emp2VisitPEp</f>
        <v>1407</v>
      </c>
      <c r="F112" s="448">
        <f>calcLOB1Prod1Seg3Patients*cbalLOB1Emp2VisitPEp</f>
        <v>1932</v>
      </c>
      <c r="G112" s="448">
        <f>calcLOB1Prod1Seg3Patients*cbalLOB1Emp2VisitPEp</f>
        <v>1050</v>
      </c>
      <c r="H112" s="131" t="s">
        <v>1482</v>
      </c>
      <c r="J112" s="170" t="str">
        <f>nmProd1 &amp; " " &amp; nmSeg3</f>
        <v>Admits Other</v>
      </c>
      <c r="K112" s="448">
        <f>calcR2LOB1Prod1Seg3Patients*cbalR2LOB1Emp2VisitPEp</f>
        <v>1428</v>
      </c>
      <c r="L112" s="448">
        <f>calcR2LOB1Prod1Seg3Patients*cbalR2LOB1Emp2VisitPEp</f>
        <v>1932</v>
      </c>
      <c r="M112" s="448">
        <f>calcR2LOB1Prod1Seg3Patients*cbalR2LOB1Emp2VisitPEp</f>
        <v>1050</v>
      </c>
      <c r="N112" s="131" t="s">
        <v>5967</v>
      </c>
      <c r="P112" s="448">
        <v>1559.25</v>
      </c>
    </row>
    <row r="113" spans="1:16" ht="12.75" customHeight="1">
      <c r="A113" s="461"/>
      <c r="D113" s="170" t="str">
        <f>nmProd2 &amp; " " &amp; nmSeg1</f>
        <v>Recerts Medicare</v>
      </c>
      <c r="E113" s="448">
        <f>calcLOB1Prod2Seg1Patients*cbalLOB1Emp2VisitPEp</f>
        <v>630</v>
      </c>
      <c r="F113" s="448">
        <f>calcLOB1Prod2Seg1Patients*cbalLOB1Emp2VisitPEp</f>
        <v>861</v>
      </c>
      <c r="G113" s="448">
        <f>calcLOB1Prod2Seg1Patients*cbalLOB1Emp2VisitPEp</f>
        <v>462</v>
      </c>
      <c r="H113" s="131" t="s">
        <v>1483</v>
      </c>
      <c r="J113" s="170" t="str">
        <f>nmProd2 &amp; " " &amp; nmSeg1</f>
        <v>Recerts Medicare</v>
      </c>
      <c r="K113" s="448">
        <f>calcR2LOB1Prod2Seg1Patients*cbalR2LOB1Emp2VisitPEp</f>
        <v>651</v>
      </c>
      <c r="L113" s="448">
        <f>calcR2LOB1Prod2Seg1Patients*cbalR2LOB1Emp2VisitPEp</f>
        <v>861</v>
      </c>
      <c r="M113" s="448">
        <f>calcR2LOB1Prod2Seg1Patients*cbalR2LOB1Emp2VisitPEp</f>
        <v>462</v>
      </c>
      <c r="N113" s="131" t="s">
        <v>5968</v>
      </c>
      <c r="P113" s="448">
        <v>706.86</v>
      </c>
    </row>
    <row r="114" spans="1:16" ht="12.75" customHeight="1">
      <c r="A114" s="461"/>
      <c r="D114" s="170" t="str">
        <f>nmProd2 &amp; " " &amp; nmSeg2</f>
        <v>Recerts PPS</v>
      </c>
      <c r="E114" s="448">
        <f>calcLOB1Prod2Seg2Patients*cbalLOB1Emp2VisitPEp</f>
        <v>105</v>
      </c>
      <c r="F114" s="448">
        <f>calcLOB1Prod2Seg2Patients*cbalLOB1Emp2VisitPEp</f>
        <v>147</v>
      </c>
      <c r="G114" s="448">
        <f>calcLOB1Prod2Seg2Patients*cbalLOB1Emp2VisitPEp</f>
        <v>84</v>
      </c>
      <c r="H114" s="131" t="s">
        <v>1484</v>
      </c>
      <c r="J114" s="170" t="str">
        <f>nmProd2 &amp; " " &amp; nmSeg2</f>
        <v>Recerts PPS</v>
      </c>
      <c r="K114" s="448">
        <f>calcR2LOB1Prod2Seg2Patients*cbalR2LOB1Emp2VisitPEp</f>
        <v>105</v>
      </c>
      <c r="L114" s="448">
        <f>calcR2LOB1Prod2Seg2Patients*cbalR2LOB1Emp2VisitPEp</f>
        <v>147</v>
      </c>
      <c r="M114" s="448">
        <f>calcR2LOB1Prod2Seg2Patients*cbalR2LOB1Emp2VisitPEp</f>
        <v>84</v>
      </c>
      <c r="N114" s="131" t="s">
        <v>5969</v>
      </c>
      <c r="P114" s="448">
        <v>166.32</v>
      </c>
    </row>
    <row r="115" spans="1:16" ht="12.75" customHeight="1">
      <c r="A115" s="461"/>
      <c r="D115" s="170" t="str">
        <f>nmProd2 &amp; " " &amp; nmSeg3</f>
        <v>Recerts Other</v>
      </c>
      <c r="E115" s="448">
        <f>calcLOB1Prod2Seg3Patients*cbalLOB1Emp2VisitPEp</f>
        <v>357</v>
      </c>
      <c r="F115" s="448">
        <f>calcLOB1Prod2Seg3Patients*cbalLOB1Emp2VisitPEp</f>
        <v>483</v>
      </c>
      <c r="G115" s="448">
        <f>calcLOB1Prod2Seg3Patients*cbalLOB1Emp2VisitPEp</f>
        <v>252</v>
      </c>
      <c r="H115" s="131" t="s">
        <v>1485</v>
      </c>
      <c r="J115" s="170" t="str">
        <f>nmProd2 &amp; " " &amp; nmSeg3</f>
        <v>Recerts Other</v>
      </c>
      <c r="K115" s="448">
        <f>calcR2LOB1Prod2Seg3Patients*cbalR2LOB1Emp2VisitPEp</f>
        <v>357</v>
      </c>
      <c r="L115" s="448">
        <f>calcR2LOB1Prod2Seg3Patients*cbalR2LOB1Emp2VisitPEp</f>
        <v>483</v>
      </c>
      <c r="M115" s="448">
        <f>calcR2LOB1Prod2Seg3Patients*cbalR2LOB1Emp2VisitPEp</f>
        <v>252</v>
      </c>
      <c r="N115" s="131" t="s">
        <v>5970</v>
      </c>
      <c r="P115" s="448">
        <v>374.21999999999997</v>
      </c>
    </row>
    <row r="116" spans="1:16" ht="1.5" customHeight="1">
      <c r="A116" s="461"/>
      <c r="D116" s="449"/>
      <c r="E116" s="450"/>
      <c r="F116" s="450"/>
      <c r="G116" s="450"/>
      <c r="H116" s="131"/>
      <c r="J116" s="449"/>
      <c r="K116" s="450"/>
      <c r="L116" s="450"/>
      <c r="M116" s="450"/>
      <c r="N116" s="131"/>
      <c r="P116" s="450"/>
    </row>
    <row r="117" spans="1:16" ht="12.75" customHeight="1">
      <c r="A117" s="461"/>
      <c r="D117" s="170" t="str">
        <f>"Total "&amp; nmEmp2</f>
        <v>Total Occupational Therapy</v>
      </c>
      <c r="E117" s="448">
        <f>SUM(E110:E116)</f>
        <v>5481</v>
      </c>
      <c r="F117" s="448">
        <f t="shared" ref="F117" si="22">SUM(F110:F116)</f>
        <v>7497</v>
      </c>
      <c r="G117" s="448">
        <f t="shared" ref="G117" si="23">SUM(G110:G116)</f>
        <v>4032</v>
      </c>
      <c r="H117" s="131" t="s">
        <v>1494</v>
      </c>
      <c r="J117" s="170" t="str">
        <f>"Total "&amp; nmEmp2</f>
        <v>Total Occupational Therapy</v>
      </c>
      <c r="K117" s="448">
        <f>SUM(K110:K116)</f>
        <v>5565</v>
      </c>
      <c r="L117" s="448">
        <f t="shared" ref="L117:M117" si="24">SUM(L110:L116)</f>
        <v>7497</v>
      </c>
      <c r="M117" s="448">
        <f t="shared" si="24"/>
        <v>4032</v>
      </c>
      <c r="N117" s="131" t="s">
        <v>5971</v>
      </c>
      <c r="P117" s="448">
        <v>6029.0999999999995</v>
      </c>
    </row>
    <row r="118" spans="1:16" ht="12.75" customHeight="1">
      <c r="A118" s="461"/>
      <c r="E118" s="448"/>
      <c r="F118" s="448"/>
      <c r="G118" s="448"/>
      <c r="H118" s="131"/>
      <c r="K118" s="448"/>
      <c r="L118" s="448"/>
      <c r="M118" s="448"/>
      <c r="N118" s="131"/>
      <c r="P118" s="448"/>
    </row>
    <row r="119" spans="1:16" ht="12.75" customHeight="1">
      <c r="A119" s="461"/>
      <c r="C119" s="87" t="str">
        <f>nmEmp3</f>
        <v>Physical Therapy</v>
      </c>
    </row>
    <row r="120" spans="1:16" ht="12.75" customHeight="1">
      <c r="A120" s="461"/>
      <c r="D120" s="170" t="str">
        <f>nmProd1 &amp; " " &amp; nmSeg1</f>
        <v>Admits Medicare</v>
      </c>
      <c r="E120" s="448">
        <f>calcLOB1Prod1Seg1Patients*cbalLOB1Emp3VisitPEp</f>
        <v>9873.6</v>
      </c>
      <c r="F120" s="448">
        <f>calcLOB1Prod1Seg1Patients*cbalLOB1Emp3VisitPEp</f>
        <v>13545.6</v>
      </c>
      <c r="G120" s="448">
        <f>calcLOB1Prod1Seg1Patients*cbalLOB1Emp3VisitPEp</f>
        <v>7262.4</v>
      </c>
      <c r="H120" s="131" t="s">
        <v>1486</v>
      </c>
      <c r="J120" s="170" t="str">
        <f>nmProd1 &amp; " " &amp; nmSeg1</f>
        <v>Admits Medicare</v>
      </c>
      <c r="K120" s="448">
        <f>calcR2LOB1Prod1Seg1Patients*cbalR2LOB1Emp3VisitPEp</f>
        <v>10036.799999999999</v>
      </c>
      <c r="L120" s="448">
        <f>calcR2LOB1Prod1Seg1Patients*cbalR2LOB1Emp3VisitPEp</f>
        <v>13545.6</v>
      </c>
      <c r="M120" s="448">
        <f>calcR2LOB1Prod1Seg1Patients*cbalR2LOB1Emp3VisitPEp</f>
        <v>7262.4</v>
      </c>
      <c r="N120" s="131" t="s">
        <v>5972</v>
      </c>
      <c r="P120" s="448">
        <v>10501.92</v>
      </c>
    </row>
    <row r="121" spans="1:16" ht="12.75" customHeight="1">
      <c r="A121" s="461"/>
      <c r="D121" s="170" t="str">
        <f>nmProd1 &amp; " " &amp; nmSeg2</f>
        <v>Admits PPS</v>
      </c>
      <c r="E121" s="448">
        <f>calcLOB1Prod1Seg2Patients*cbalLOB1Emp3VisitPEp</f>
        <v>1713.6</v>
      </c>
      <c r="F121" s="448">
        <f>calcLOB1Prod1Seg2Patients*cbalLOB1Emp3VisitPEp</f>
        <v>2284.7999999999997</v>
      </c>
      <c r="G121" s="448">
        <f>calcLOB1Prod1Seg2Patients*cbalLOB1Emp3VisitPEp</f>
        <v>1224</v>
      </c>
      <c r="H121" s="131" t="s">
        <v>1487</v>
      </c>
      <c r="J121" s="170" t="str">
        <f>nmProd1 &amp; " " &amp; nmSeg2</f>
        <v>Admits PPS</v>
      </c>
      <c r="K121" s="448">
        <f>calcR2LOB1Prod1Seg2Patients*cbalR2LOB1Emp3VisitPEp</f>
        <v>1713.6</v>
      </c>
      <c r="L121" s="448">
        <f>calcR2LOB1Prod1Seg2Patients*cbalR2LOB1Emp3VisitPEp</f>
        <v>2284.7999999999997</v>
      </c>
      <c r="M121" s="448">
        <f>calcR2LOB1Prod1Seg2Patients*cbalR2LOB1Emp3VisitPEp</f>
        <v>1224</v>
      </c>
      <c r="N121" s="131" t="s">
        <v>5973</v>
      </c>
      <c r="P121" s="448">
        <v>2019.6000000000001</v>
      </c>
    </row>
    <row r="122" spans="1:16" ht="12.75" customHeight="1">
      <c r="A122" s="461"/>
      <c r="D122" s="170" t="str">
        <f>nmProd1 &amp; " " &amp; nmSeg3</f>
        <v>Admits Other</v>
      </c>
      <c r="E122" s="448">
        <f>calcLOB1Prod1Seg3Patients*cbalLOB1Emp3VisitPEp</f>
        <v>5467.2</v>
      </c>
      <c r="F122" s="448">
        <f>calcLOB1Prod1Seg3Patients*cbalLOB1Emp3VisitPEp</f>
        <v>7507.2</v>
      </c>
      <c r="G122" s="448">
        <f>calcLOB1Prod1Seg3Patients*cbalLOB1Emp3VisitPEp</f>
        <v>4080</v>
      </c>
      <c r="H122" s="131" t="s">
        <v>1488</v>
      </c>
      <c r="J122" s="170" t="str">
        <f>nmProd1 &amp; " " &amp; nmSeg3</f>
        <v>Admits Other</v>
      </c>
      <c r="K122" s="448">
        <f>calcR2LOB1Prod1Seg3Patients*cbalR2LOB1Emp3VisitPEp</f>
        <v>5548.8</v>
      </c>
      <c r="L122" s="448">
        <f>calcR2LOB1Prod1Seg3Patients*cbalR2LOB1Emp3VisitPEp</f>
        <v>7507.2</v>
      </c>
      <c r="M122" s="448">
        <f>calcR2LOB1Prod1Seg3Patients*cbalR2LOB1Emp3VisitPEp</f>
        <v>4080</v>
      </c>
      <c r="N122" s="131" t="s">
        <v>5974</v>
      </c>
      <c r="P122" s="448">
        <v>6058.8</v>
      </c>
    </row>
    <row r="123" spans="1:16" ht="12.75" customHeight="1">
      <c r="A123" s="461"/>
      <c r="D123" s="170" t="str">
        <f>nmProd2 &amp; " " &amp; nmSeg1</f>
        <v>Recerts Medicare</v>
      </c>
      <c r="E123" s="448">
        <f>calcLOB1Prod2Seg1Patients*cbalLOB1Emp3VisitPEp</f>
        <v>2448</v>
      </c>
      <c r="F123" s="448">
        <f>calcLOB1Prod2Seg1Patients*cbalLOB1Emp3VisitPEp</f>
        <v>3345.6</v>
      </c>
      <c r="G123" s="448">
        <f>calcLOB1Prod2Seg1Patients*cbalLOB1Emp3VisitPEp</f>
        <v>1795.2</v>
      </c>
      <c r="H123" s="131" t="s">
        <v>1489</v>
      </c>
      <c r="J123" s="170" t="str">
        <f>nmProd2 &amp; " " &amp; nmSeg1</f>
        <v>Recerts Medicare</v>
      </c>
      <c r="K123" s="448">
        <f>calcR2LOB1Prod2Seg1Patients*cbalR2LOB1Emp3VisitPEp</f>
        <v>2529.6</v>
      </c>
      <c r="L123" s="448">
        <f>calcR2LOB1Prod2Seg1Patients*cbalR2LOB1Emp3VisitPEp</f>
        <v>3345.6</v>
      </c>
      <c r="M123" s="448">
        <f>calcR2LOB1Prod2Seg1Patients*cbalR2LOB1Emp3VisitPEp</f>
        <v>1795.2</v>
      </c>
      <c r="N123" s="131" t="s">
        <v>5975</v>
      </c>
      <c r="P123" s="448">
        <v>2746.6559999999999</v>
      </c>
    </row>
    <row r="124" spans="1:16" ht="12.75" customHeight="1">
      <c r="A124" s="461"/>
      <c r="D124" s="170" t="str">
        <f>nmProd2 &amp; " " &amp; nmSeg2</f>
        <v>Recerts PPS</v>
      </c>
      <c r="E124" s="448">
        <f>calcLOB1Prod2Seg2Patients*cbalLOB1Emp3VisitPEp</f>
        <v>408</v>
      </c>
      <c r="F124" s="448">
        <f>calcLOB1Prod2Seg2Patients*cbalLOB1Emp3VisitPEp</f>
        <v>571.19999999999993</v>
      </c>
      <c r="G124" s="448">
        <f>calcLOB1Prod2Seg2Patients*cbalLOB1Emp3VisitPEp</f>
        <v>326.39999999999998</v>
      </c>
      <c r="H124" s="131" t="s">
        <v>1490</v>
      </c>
      <c r="J124" s="170" t="str">
        <f>nmProd2 &amp; " " &amp; nmSeg2</f>
        <v>Recerts PPS</v>
      </c>
      <c r="K124" s="448">
        <f>calcR2LOB1Prod2Seg2Patients*cbalR2LOB1Emp3VisitPEp</f>
        <v>408</v>
      </c>
      <c r="L124" s="448">
        <f>calcR2LOB1Prod2Seg2Patients*cbalR2LOB1Emp3VisitPEp</f>
        <v>571.19999999999993</v>
      </c>
      <c r="M124" s="448">
        <f>calcR2LOB1Prod2Seg2Patients*cbalR2LOB1Emp3VisitPEp</f>
        <v>326.39999999999998</v>
      </c>
      <c r="N124" s="131" t="s">
        <v>5976</v>
      </c>
      <c r="P124" s="448">
        <v>646.27200000000005</v>
      </c>
    </row>
    <row r="125" spans="1:16" ht="12.75" customHeight="1">
      <c r="A125" s="461"/>
      <c r="D125" s="170" t="str">
        <f>nmProd2 &amp; " " &amp; nmSeg3</f>
        <v>Recerts Other</v>
      </c>
      <c r="E125" s="448">
        <f>calcLOB1Prod2Seg3Patients*cbalLOB1Emp3VisitPEp</f>
        <v>1387.2</v>
      </c>
      <c r="F125" s="448">
        <f>calcLOB1Prod2Seg3Patients*cbalLOB1Emp3VisitPEp</f>
        <v>1876.8</v>
      </c>
      <c r="G125" s="448">
        <f>calcLOB1Prod2Seg3Patients*cbalLOB1Emp3VisitPEp</f>
        <v>979.19999999999993</v>
      </c>
      <c r="H125" s="131" t="s">
        <v>1491</v>
      </c>
      <c r="J125" s="170" t="str">
        <f>nmProd2 &amp; " " &amp; nmSeg3</f>
        <v>Recerts Other</v>
      </c>
      <c r="K125" s="448">
        <f>calcR2LOB1Prod2Seg3Patients*cbalR2LOB1Emp3VisitPEp</f>
        <v>1387.2</v>
      </c>
      <c r="L125" s="448">
        <f>calcR2LOB1Prod2Seg3Patients*cbalR2LOB1Emp3VisitPEp</f>
        <v>1876.8</v>
      </c>
      <c r="M125" s="448">
        <f>calcR2LOB1Prod2Seg3Patients*cbalR2LOB1Emp3VisitPEp</f>
        <v>979.19999999999993</v>
      </c>
      <c r="N125" s="131" t="s">
        <v>5977</v>
      </c>
      <c r="P125" s="448">
        <v>1454.1120000000001</v>
      </c>
    </row>
    <row r="126" spans="1:16" ht="1.5" customHeight="1">
      <c r="A126" s="461"/>
      <c r="D126" s="449"/>
      <c r="E126" s="450"/>
      <c r="F126" s="450"/>
      <c r="G126" s="450"/>
      <c r="H126" s="131"/>
      <c r="J126" s="449"/>
      <c r="K126" s="450"/>
      <c r="L126" s="450"/>
      <c r="M126" s="450"/>
      <c r="N126" s="131"/>
      <c r="P126" s="450"/>
    </row>
    <row r="127" spans="1:16" ht="12.75" customHeight="1">
      <c r="A127" s="461"/>
      <c r="D127" s="170" t="str">
        <f>"Total "&amp; nmEmp3</f>
        <v>Total Physical Therapy</v>
      </c>
      <c r="E127" s="448">
        <f>SUM(E120:E126)</f>
        <v>21297.600000000002</v>
      </c>
      <c r="F127" s="448">
        <f t="shared" ref="F127" si="25">SUM(F120:F126)</f>
        <v>29131.199999999997</v>
      </c>
      <c r="G127" s="448">
        <f t="shared" ref="G127" si="26">SUM(G120:G126)</f>
        <v>15667.2</v>
      </c>
      <c r="H127" s="131" t="s">
        <v>1495</v>
      </c>
      <c r="J127" s="170" t="str">
        <f>"Total "&amp; nmEmp3</f>
        <v>Total Physical Therapy</v>
      </c>
      <c r="K127" s="448">
        <f>SUM(K120:K126)</f>
        <v>21624</v>
      </c>
      <c r="L127" s="448">
        <f t="shared" ref="L127:M127" si="27">SUM(L120:L126)</f>
        <v>29131.199999999997</v>
      </c>
      <c r="M127" s="448">
        <f t="shared" si="27"/>
        <v>15667.2</v>
      </c>
      <c r="N127" s="131" t="s">
        <v>5978</v>
      </c>
      <c r="P127" s="448">
        <v>23427.360000000001</v>
      </c>
    </row>
    <row r="128" spans="1:16" ht="12.75" customHeight="1">
      <c r="A128" s="461"/>
    </row>
    <row r="129" spans="1:17" ht="12.75" customHeight="1">
      <c r="A129" s="461"/>
      <c r="B129" s="87" t="s">
        <v>1492</v>
      </c>
    </row>
    <row r="130" spans="1:17" ht="12.75" customHeight="1">
      <c r="A130" s="461"/>
      <c r="D130" s="170" t="str">
        <f>nmDisc1</f>
        <v>RN</v>
      </c>
      <c r="E130" s="475">
        <f>(SUMIF(cbal!E$71:E$86,$D130,cbal!E$129:E$144))*paramWorkWeeksPYear</f>
        <v>8220.3031578947375</v>
      </c>
      <c r="F130" s="475">
        <f>(SUMIF(cbal!F$71:F$86,$D130,cbal!F$129:F$144))*paramWorkWeeksPYear</f>
        <v>14623.056157894736</v>
      </c>
      <c r="G130" s="475">
        <f>(SUMIF(cbal!G$71:G$86,$D130,cbal!G$129:G$144))*paramWorkWeeksPYear</f>
        <v>9165.2491578947374</v>
      </c>
      <c r="J130" s="170" t="str">
        <f>nmDisc1</f>
        <v>RN</v>
      </c>
      <c r="K130" s="475">
        <f>(SUMIF(cbal!K$71:K$86,$D130,cbal!K$129:K$144))*paramR2WorkWeeksPYear</f>
        <v>7315.5293170436953</v>
      </c>
      <c r="L130" s="475">
        <f>(SUMIF(cbal!L$71:L$86,$D130,cbal!L$129:L$144))*paramR2WorkWeeksPYear</f>
        <v>13405.226372833331</v>
      </c>
      <c r="M130" s="475">
        <f>(SUMIF(cbal!M$71:M$86,$D130,cbal!M$129:M$144))*paramR2WorkWeeksPYear</f>
        <v>8210.6729358540033</v>
      </c>
      <c r="P130" s="475">
        <v>10128.46029366316</v>
      </c>
      <c r="Q130" s="462">
        <f>P130-E130</f>
        <v>1908.1571357684224</v>
      </c>
    </row>
    <row r="131" spans="1:17" ht="12.75" customHeight="1">
      <c r="A131" s="461"/>
      <c r="D131" s="170" t="str">
        <f>nmDisc2</f>
        <v>LPN</v>
      </c>
      <c r="E131" s="475">
        <f>(SUMIF(cbal!E$71:E$86,$D131,cbal!E$129:E$144))*paramWorkWeeksPYear</f>
        <v>10694.797113402063</v>
      </c>
      <c r="F131" s="475">
        <f>(SUMIF(cbal!F$71:F$86,$D131,cbal!F$129:F$144))*paramWorkWeeksPYear</f>
        <v>15518.821113402064</v>
      </c>
      <c r="G131" s="475">
        <f>(SUMIF(cbal!G$71:G$86,$D131,cbal!G$129:G$144))*paramWorkWeeksPYear</f>
        <v>9220.7771134020622</v>
      </c>
      <c r="J131" s="170" t="str">
        <f>nmDisc2</f>
        <v>LPN</v>
      </c>
      <c r="K131" s="475">
        <f>(SUMIF(cbal!K$71:K$86,$D131,cbal!K$129:K$144))*paramR2WorkWeeksPYear</f>
        <v>9247.8770425172625</v>
      </c>
      <c r="L131" s="475">
        <f>(SUMIF(cbal!L$71:L$86,$D131,cbal!L$129:L$144))*paramR2WorkWeeksPYear</f>
        <v>15442.833971686267</v>
      </c>
      <c r="M131" s="475">
        <f>(SUMIF(cbal!M$71:M$86,$D131,cbal!M$129:M$144))*paramR2WorkWeeksPYear</f>
        <v>8797.3479503888102</v>
      </c>
      <c r="P131" s="475">
        <v>11225.193043264331</v>
      </c>
      <c r="Q131" s="462">
        <f t="shared" ref="Q131:Q154" si="28">P131-E131</f>
        <v>530.39592986226853</v>
      </c>
    </row>
    <row r="132" spans="1:17" ht="1.5" customHeight="1">
      <c r="A132" s="461"/>
      <c r="D132" s="449"/>
      <c r="E132" s="450"/>
      <c r="F132" s="450"/>
      <c r="G132" s="450"/>
      <c r="H132" s="131"/>
      <c r="J132" s="449"/>
      <c r="K132" s="450"/>
      <c r="L132" s="450"/>
      <c r="M132" s="450"/>
      <c r="N132" s="131"/>
      <c r="P132" s="450"/>
      <c r="Q132" s="462">
        <f t="shared" si="28"/>
        <v>0</v>
      </c>
    </row>
    <row r="133" spans="1:17" ht="12.75" customHeight="1">
      <c r="A133" s="461"/>
      <c r="D133" s="170" t="str">
        <f>"Total "&amp; nmEmp1</f>
        <v>Total Skilled Nursing</v>
      </c>
      <c r="E133" s="448">
        <f>SUM(E130:E132)</f>
        <v>18915.1002712968</v>
      </c>
      <c r="F133" s="448">
        <f t="shared" ref="F133:G133" si="29">SUM(F130:F132)</f>
        <v>30141.877271296798</v>
      </c>
      <c r="G133" s="448">
        <f t="shared" si="29"/>
        <v>18386.0262712968</v>
      </c>
      <c r="H133" s="131" t="s">
        <v>1580</v>
      </c>
      <c r="J133" s="170" t="str">
        <f>"Total "&amp; nmEmp1</f>
        <v>Total Skilled Nursing</v>
      </c>
      <c r="K133" s="448">
        <f>SUM(K130:K132)</f>
        <v>16563.406359560959</v>
      </c>
      <c r="L133" s="448">
        <f t="shared" ref="L133" si="30">SUM(L130:L132)</f>
        <v>28848.060344519596</v>
      </c>
      <c r="M133" s="448">
        <f t="shared" ref="M133" si="31">SUM(M130:M132)</f>
        <v>17008.020886242812</v>
      </c>
      <c r="N133" s="131" t="s">
        <v>5979</v>
      </c>
      <c r="P133" s="448">
        <v>21353.653336927491</v>
      </c>
      <c r="Q133" s="462">
        <f t="shared" si="28"/>
        <v>2438.553065630691</v>
      </c>
    </row>
    <row r="134" spans="1:17" ht="12.75" customHeight="1">
      <c r="A134" s="461"/>
      <c r="D134" s="131" t="s">
        <v>550</v>
      </c>
      <c r="E134" s="448">
        <f t="shared" ref="E134:G135" si="32">(SUMIF($D$221:$D$246,$D134,E$221:E$246))*paramWorkWeeksPYear</f>
        <v>9141.5164005527295</v>
      </c>
      <c r="F134" s="448">
        <f t="shared" si="32"/>
        <v>14739.77583043202</v>
      </c>
      <c r="G134" s="448">
        <f t="shared" si="32"/>
        <v>8079.5619288741418</v>
      </c>
      <c r="H134" s="131"/>
      <c r="K134" s="448">
        <f t="shared" ref="K134:M135" si="33">(SUMIF($D$221:$D$246,$D134,K$221:K$246))*paramR2WorkWeeksPYear</f>
        <v>9397.5624203301704</v>
      </c>
      <c r="L134" s="448">
        <f t="shared" si="33"/>
        <v>14132.735320786334</v>
      </c>
      <c r="M134" s="448">
        <f t="shared" si="33"/>
        <v>7809.9416093372374</v>
      </c>
      <c r="N134" s="131"/>
      <c r="P134" s="448">
        <v>10166.834249376088</v>
      </c>
      <c r="Q134" s="462">
        <f t="shared" si="28"/>
        <v>1025.3178488233589</v>
      </c>
    </row>
    <row r="135" spans="1:17" ht="12.75" customHeight="1">
      <c r="A135" s="461"/>
      <c r="D135" s="131" t="s">
        <v>554</v>
      </c>
      <c r="E135" s="448">
        <f t="shared" si="32"/>
        <v>12156.083599447271</v>
      </c>
      <c r="F135" s="448">
        <f t="shared" si="32"/>
        <v>14391.424169567978</v>
      </c>
      <c r="G135" s="448">
        <f t="shared" si="32"/>
        <v>7587.638071125858</v>
      </c>
      <c r="H135" s="131"/>
      <c r="K135" s="448">
        <f t="shared" si="33"/>
        <v>12226.43757966983</v>
      </c>
      <c r="L135" s="448">
        <f t="shared" si="33"/>
        <v>14998.464679213661</v>
      </c>
      <c r="M135" s="448">
        <f t="shared" si="33"/>
        <v>7857.2583906627642</v>
      </c>
      <c r="N135" s="131"/>
      <c r="P135" s="448">
        <v>11531.965750623907</v>
      </c>
      <c r="Q135" s="462">
        <f t="shared" si="28"/>
        <v>-624.1178488233636</v>
      </c>
    </row>
    <row r="136" spans="1:17" ht="1.5" customHeight="1">
      <c r="A136" s="461"/>
      <c r="D136" s="449"/>
      <c r="E136" s="450"/>
      <c r="F136" s="450"/>
      <c r="G136" s="450"/>
      <c r="H136" s="131"/>
      <c r="J136" s="449"/>
      <c r="K136" s="450"/>
      <c r="L136" s="450"/>
      <c r="M136" s="450"/>
      <c r="N136" s="131"/>
      <c r="P136" s="450"/>
      <c r="Q136" s="462">
        <f t="shared" si="28"/>
        <v>0</v>
      </c>
    </row>
    <row r="137" spans="1:17" ht="12.75" customHeight="1">
      <c r="A137" s="461"/>
      <c r="D137" s="170" t="str">
        <f>"Total "&amp; nmEmp1 &amp; " Work"</f>
        <v>Total Skilled Nursing Work</v>
      </c>
      <c r="E137" s="448">
        <f>SUM(E134:E136)</f>
        <v>21297.599999999999</v>
      </c>
      <c r="F137" s="448">
        <f t="shared" ref="F137:G137" si="34">SUM(F134:F136)</f>
        <v>29131.199999999997</v>
      </c>
      <c r="G137" s="448">
        <f t="shared" si="34"/>
        <v>15667.2</v>
      </c>
      <c r="H137" s="131" t="s">
        <v>7916</v>
      </c>
      <c r="J137" s="170" t="str">
        <f>"Total "&amp; nmEmp1</f>
        <v>Total Skilled Nursing</v>
      </c>
      <c r="K137" s="448">
        <f>SUM(K134:K136)</f>
        <v>21624</v>
      </c>
      <c r="L137" s="448">
        <f t="shared" ref="L137" si="35">SUM(L134:L136)</f>
        <v>29131.199999999997</v>
      </c>
      <c r="M137" s="448">
        <f t="shared" ref="M137" si="36">SUM(M134:M136)</f>
        <v>15667.2</v>
      </c>
      <c r="N137" s="131" t="s">
        <v>7919</v>
      </c>
      <c r="P137" s="448">
        <v>21698.799999999996</v>
      </c>
      <c r="Q137" s="462">
        <f t="shared" si="28"/>
        <v>401.19999999999709</v>
      </c>
    </row>
    <row r="138" spans="1:17" ht="12.75" customHeight="1">
      <c r="A138" s="461"/>
      <c r="D138" s="131" t="s">
        <v>1585</v>
      </c>
      <c r="E138" s="451">
        <f>calcLOB1Emp1Work/calcLOB1Emp1Capacity</f>
        <v>1.1259575521425378</v>
      </c>
      <c r="F138" s="451">
        <f>calcLOB1Emp1Work/calcLOB1Emp1Capacity</f>
        <v>0.96646933227814447</v>
      </c>
      <c r="G138" s="451">
        <f>calcLOB1Emp1Work/calcLOB1Emp1Capacity</f>
        <v>0.85212540049824292</v>
      </c>
      <c r="H138" s="131" t="s">
        <v>4699</v>
      </c>
      <c r="J138" s="131" t="s">
        <v>1585</v>
      </c>
      <c r="K138" s="451">
        <f>calcR2LOB1Emp1Work/calcR2LOB1Emp1Capacity</f>
        <v>1.3055285567825181</v>
      </c>
      <c r="L138" s="451">
        <f>calcR2LOB1Emp1Work/calcR2LOB1Emp1Capacity</f>
        <v>1.0098148593735243</v>
      </c>
      <c r="M138" s="451">
        <f>calcR2LOB1Emp1Work/calcR2LOB1Emp1Capacity</f>
        <v>0.92116537866393655</v>
      </c>
      <c r="N138" s="131" t="s">
        <v>7671</v>
      </c>
      <c r="P138" s="451">
        <v>1.0161633542338928</v>
      </c>
      <c r="Q138" s="462">
        <f t="shared" si="28"/>
        <v>-0.10979419790864497</v>
      </c>
    </row>
    <row r="139" spans="1:17" ht="12.75" customHeight="1">
      <c r="A139" s="461"/>
      <c r="E139" s="451"/>
      <c r="F139" s="451"/>
      <c r="G139" s="451"/>
      <c r="P139" s="451"/>
      <c r="Q139" s="462">
        <f t="shared" si="28"/>
        <v>0</v>
      </c>
    </row>
    <row r="140" spans="1:17" ht="12.75" customHeight="1">
      <c r="A140" s="461"/>
      <c r="D140" s="131" t="s">
        <v>555</v>
      </c>
      <c r="E140" s="475">
        <f>(SUMIF(cbal!E$71:E$86,$D140,cbal!E$129:E$144))*paramWorkWeeksPYear</f>
        <v>4773.0063157894738</v>
      </c>
      <c r="F140" s="475">
        <f>(SUMIF(cbal!F$71:F$86,$D140,cbal!F$129:F$144))*paramWorkWeeksPYear</f>
        <v>8216.9463157894734</v>
      </c>
      <c r="G140" s="475">
        <f>(SUMIF(cbal!G$71:G$86,$D140,cbal!G$129:G$144))*paramWorkWeeksPYear</f>
        <v>5279.8503157894738</v>
      </c>
      <c r="J140" s="131" t="s">
        <v>555</v>
      </c>
      <c r="K140" s="475">
        <f>(SUMIF(cbal!K$71:K$86,$D140,cbal!K$129:K$144))*paramR2WorkWeeksPYear</f>
        <v>4148.2815209161363</v>
      </c>
      <c r="L140" s="475">
        <f>(SUMIF(cbal!L$71:L$86,$D140,cbal!L$129:L$144))*paramR2WorkWeeksPYear</f>
        <v>8176.2389184417243</v>
      </c>
      <c r="M140" s="475">
        <f>(SUMIF(cbal!M$71:M$86,$D140,cbal!M$129:M$144))*paramR2WorkWeeksPYear</f>
        <v>5025.7928179815226</v>
      </c>
      <c r="P140" s="475">
        <v>5454.2414646189482</v>
      </c>
      <c r="Q140" s="462">
        <f t="shared" si="28"/>
        <v>681.23514882947438</v>
      </c>
    </row>
    <row r="141" spans="1:17" ht="12.75" customHeight="1">
      <c r="A141" s="461"/>
      <c r="D141" s="131" t="s">
        <v>8486</v>
      </c>
      <c r="E141" s="475">
        <f>(SUMIF(cbal!E$71:E$86,$D141,cbal!E$129:E$144))*paramWorkWeeksPYear</f>
        <v>0</v>
      </c>
      <c r="F141" s="475">
        <f>(SUMIF(cbal!F$71:F$86,$D141,cbal!F$129:F$144))*paramWorkWeeksPYear</f>
        <v>0</v>
      </c>
      <c r="G141" s="475">
        <f>(SUMIF(cbal!G$71:G$86,$D141,cbal!G$129:G$144))*paramWorkWeeksPYear</f>
        <v>0</v>
      </c>
      <c r="J141" s="131" t="s">
        <v>8486</v>
      </c>
      <c r="K141" s="475">
        <f>(SUMIF(cbal!K$71:K$86,$D141,cbal!K$129:K$144))*paramR2WorkWeeksPYear</f>
        <v>0</v>
      </c>
      <c r="L141" s="475">
        <f>(SUMIF(cbal!L$71:L$86,$D141,cbal!L$129:L$144))*paramR2WorkWeeksPYear</f>
        <v>0</v>
      </c>
      <c r="M141" s="475">
        <f>(SUMIF(cbal!M$71:M$86,$D141,cbal!M$129:M$144))*paramR2WorkWeeksPYear</f>
        <v>0</v>
      </c>
      <c r="Q141" s="462">
        <f t="shared" si="28"/>
        <v>0</v>
      </c>
    </row>
    <row r="142" spans="1:17" ht="1.5" customHeight="1">
      <c r="A142" s="461"/>
      <c r="D142" s="449"/>
      <c r="E142" s="450"/>
      <c r="F142" s="450"/>
      <c r="G142" s="450"/>
      <c r="H142" s="131"/>
      <c r="J142" s="449"/>
      <c r="K142" s="450"/>
      <c r="L142" s="450"/>
      <c r="M142" s="450"/>
      <c r="N142" s="131"/>
      <c r="P142" s="450"/>
      <c r="Q142" s="462">
        <f t="shared" si="28"/>
        <v>0</v>
      </c>
    </row>
    <row r="143" spans="1:17" ht="12.75" customHeight="1">
      <c r="A143" s="461"/>
      <c r="D143" s="170" t="str">
        <f>"Total "&amp; nmEmp2</f>
        <v>Total Occupational Therapy</v>
      </c>
      <c r="E143" s="448">
        <f>SUM(E140:E142)</f>
        <v>4773.0063157894738</v>
      </c>
      <c r="F143" s="448">
        <f t="shared" ref="F143:G143" si="37">SUM(F140:F142)</f>
        <v>8216.9463157894734</v>
      </c>
      <c r="G143" s="448">
        <f t="shared" si="37"/>
        <v>5279.8503157894738</v>
      </c>
      <c r="H143" s="131" t="s">
        <v>1581</v>
      </c>
      <c r="J143" s="170" t="str">
        <f>"Total "&amp; nmEmp2</f>
        <v>Total Occupational Therapy</v>
      </c>
      <c r="K143" s="448">
        <f>SUM(K140:K142)</f>
        <v>4148.2815209161363</v>
      </c>
      <c r="L143" s="448">
        <f t="shared" ref="L143:M143" si="38">SUM(L140:L142)</f>
        <v>8176.2389184417243</v>
      </c>
      <c r="M143" s="448">
        <f t="shared" si="38"/>
        <v>5025.7928179815226</v>
      </c>
      <c r="N143" s="131" t="s">
        <v>5980</v>
      </c>
      <c r="P143" s="448">
        <v>5454.2414646189482</v>
      </c>
      <c r="Q143" s="462">
        <f t="shared" si="28"/>
        <v>681.23514882947438</v>
      </c>
    </row>
    <row r="144" spans="1:17" ht="12.75" customHeight="1">
      <c r="A144" s="461"/>
      <c r="D144" s="131" t="s">
        <v>555</v>
      </c>
      <c r="E144" s="448">
        <f>(SUMIF($D$484:$D$496,$D144,E$484:E$496))*paramWorkWeeksPYear</f>
        <v>5481</v>
      </c>
      <c r="F144" s="448">
        <f>(SUMIF($D$484:$D$496,$D144,F$484:F$496))*paramWorkWeeksPYear</f>
        <v>7497</v>
      </c>
      <c r="G144" s="448">
        <f>(SUMIF($D$484:$D$496,$D144,G$484:G$496))*paramWorkWeeksPYear</f>
        <v>4032</v>
      </c>
      <c r="H144" s="131"/>
      <c r="K144" s="448">
        <f>(SUMIF($D$484:$D$496,$D144,K$484:K$496))*paramR2WorkWeeksPYear</f>
        <v>5565</v>
      </c>
      <c r="L144" s="448">
        <f>(SUMIF($D$484:$D$496,$D144,L$484:L$496))*paramR2WorkWeeksPYear</f>
        <v>7497</v>
      </c>
      <c r="M144" s="448">
        <f>(SUMIF($D$484:$D$496,$D144,M$484:M$496))*paramR2WorkWeeksPYear</f>
        <v>4032</v>
      </c>
      <c r="N144" s="131"/>
      <c r="P144" s="448">
        <v>5584.2500000000009</v>
      </c>
      <c r="Q144" s="462">
        <f t="shared" si="28"/>
        <v>103.25000000000091</v>
      </c>
    </row>
    <row r="145" spans="1:17" ht="12.75" customHeight="1">
      <c r="A145" s="461"/>
      <c r="D145" s="131" t="s">
        <v>1579</v>
      </c>
      <c r="E145" s="448"/>
      <c r="F145" s="448"/>
      <c r="G145" s="448"/>
      <c r="H145" s="131"/>
      <c r="K145" s="448"/>
      <c r="L145" s="448"/>
      <c r="M145" s="448"/>
      <c r="N145" s="131"/>
      <c r="P145" s="448"/>
      <c r="Q145" s="462">
        <f t="shared" si="28"/>
        <v>0</v>
      </c>
    </row>
    <row r="146" spans="1:17" ht="1.5" customHeight="1">
      <c r="A146" s="461"/>
      <c r="D146" s="449"/>
      <c r="E146" s="450"/>
      <c r="F146" s="450"/>
      <c r="G146" s="450"/>
      <c r="H146" s="131"/>
      <c r="J146" s="449"/>
      <c r="K146" s="450"/>
      <c r="L146" s="450"/>
      <c r="M146" s="450"/>
      <c r="N146" s="131"/>
      <c r="P146" s="450"/>
      <c r="Q146" s="462">
        <f t="shared" si="28"/>
        <v>0</v>
      </c>
    </row>
    <row r="147" spans="1:17" ht="12.75" customHeight="1">
      <c r="A147" s="461"/>
      <c r="D147" s="170" t="str">
        <f>"Total "&amp; nmEmp1 &amp; " Work"</f>
        <v>Total Skilled Nursing Work</v>
      </c>
      <c r="E147" s="448">
        <f>SUM(E144:E146)</f>
        <v>5481</v>
      </c>
      <c r="F147" s="448">
        <f t="shared" ref="F147" si="39">SUM(F144:F146)</f>
        <v>7497</v>
      </c>
      <c r="G147" s="448">
        <f t="shared" ref="G147" si="40">SUM(G144:G146)</f>
        <v>4032</v>
      </c>
      <c r="H147" s="131" t="s">
        <v>7917</v>
      </c>
      <c r="J147" s="170" t="str">
        <f>"Total "&amp; nmEmp1</f>
        <v>Total Skilled Nursing</v>
      </c>
      <c r="K147" s="448">
        <f>SUM(K144:K146)</f>
        <v>5565</v>
      </c>
      <c r="L147" s="448">
        <f t="shared" ref="L147" si="41">SUM(L144:L146)</f>
        <v>7497</v>
      </c>
      <c r="M147" s="448">
        <f t="shared" ref="M147" si="42">SUM(M144:M146)</f>
        <v>4032</v>
      </c>
      <c r="N147" s="131" t="s">
        <v>7920</v>
      </c>
      <c r="P147" s="448">
        <v>5584.2500000000009</v>
      </c>
      <c r="Q147" s="462">
        <f t="shared" si="28"/>
        <v>103.25000000000091</v>
      </c>
    </row>
    <row r="148" spans="1:17" ht="12.75" customHeight="1">
      <c r="A148" s="461"/>
      <c r="D148" s="131" t="s">
        <v>1585</v>
      </c>
      <c r="E148" s="451">
        <f>calcLOB1Emp2Work/calcLOB1Emp2Capacity</f>
        <v>1.1483328613809767</v>
      </c>
      <c r="F148" s="451">
        <f>calcLOB1Emp2Work/calcLOB1Emp2Capacity</f>
        <v>0.91238274072619374</v>
      </c>
      <c r="G148" s="451">
        <f>calcLOB1Emp2Work/calcLOB1Emp2Capacity</f>
        <v>0.76365801279294643</v>
      </c>
      <c r="H148" s="131" t="s">
        <v>4700</v>
      </c>
      <c r="J148" s="131" t="s">
        <v>1585</v>
      </c>
      <c r="K148" s="451">
        <f>calcR2LOB1Emp2Work/calcR2LOB1Emp2Capacity</f>
        <v>1.341519366981387</v>
      </c>
      <c r="L148" s="451">
        <f>calcR2LOB1Emp2Work/calcR2LOB1Emp2Capacity</f>
        <v>0.91692526047524336</v>
      </c>
      <c r="M148" s="451">
        <f>calcR2LOB1Emp2Work/calcR2LOB1Emp2Capacity</f>
        <v>0.80226148311846779</v>
      </c>
      <c r="N148" s="131" t="s">
        <v>7672</v>
      </c>
      <c r="P148" s="451">
        <v>1.0238362265815335</v>
      </c>
      <c r="Q148" s="462">
        <f t="shared" si="28"/>
        <v>-0.12449663479944317</v>
      </c>
    </row>
    <row r="149" spans="1:17" ht="12.75" customHeight="1">
      <c r="A149" s="461"/>
      <c r="E149" s="451"/>
      <c r="F149" s="451"/>
      <c r="G149" s="451"/>
      <c r="P149" s="451"/>
      <c r="Q149" s="462">
        <f t="shared" si="28"/>
        <v>0</v>
      </c>
    </row>
    <row r="150" spans="1:17" ht="12.75" customHeight="1">
      <c r="A150" s="461"/>
      <c r="D150" s="131" t="s">
        <v>556</v>
      </c>
      <c r="E150" s="475">
        <f>(SUMIF(cbal!E$71:E$86,$D150,cbal!E$129:E$144))*paramWorkWeeksPYear</f>
        <v>17036.313402061856</v>
      </c>
      <c r="F150" s="475">
        <f>(SUMIF(cbal!F$71:F$86,$D150,cbal!F$129:F$144))*paramWorkWeeksPYear</f>
        <v>30849.351402061853</v>
      </c>
      <c r="G150" s="475">
        <f>(SUMIF(cbal!G$71:G$86,$D150,cbal!G$129:G$144))*paramWorkWeeksPYear</f>
        <v>17084.193402061854</v>
      </c>
      <c r="J150" s="131" t="s">
        <v>556</v>
      </c>
      <c r="K150" s="475">
        <f>(SUMIF(cbal!K$71:K$86,$D150,cbal!K$129:K$144))*paramR2WorkWeeksPYear</f>
        <v>14666.66762840437</v>
      </c>
      <c r="L150" s="475">
        <f>(SUMIF(cbal!L$71:L$86,$D150,cbal!L$129:L$144))*paramR2WorkWeeksPYear</f>
        <v>30690.592552405637</v>
      </c>
      <c r="M150" s="475">
        <f>(SUMIF(cbal!M$71:M$86,$D150,cbal!M$129:M$144))*paramR2WorkWeeksPYear</f>
        <v>16237.335076035353</v>
      </c>
      <c r="P150" s="475">
        <v>21059.794917129897</v>
      </c>
      <c r="Q150" s="462">
        <f t="shared" si="28"/>
        <v>4023.4815150680406</v>
      </c>
    </row>
    <row r="151" spans="1:17" ht="12.75" customHeight="1">
      <c r="A151" s="461"/>
      <c r="D151" s="131" t="s">
        <v>8485</v>
      </c>
      <c r="E151" s="475">
        <f>(SUMIF(cbal!E$71:E$86,$D151,cbal!E$129:E$144))*paramWorkWeeksPYear</f>
        <v>1440</v>
      </c>
      <c r="F151" s="475">
        <f>(SUMIF(cbal!F$71:F$86,$D151,cbal!F$129:F$144))*paramWorkWeeksPYear</f>
        <v>1440</v>
      </c>
      <c r="G151" s="475">
        <f>(SUMIF(cbal!G$71:G$86,$D151,cbal!G$129:G$144))*paramWorkWeeksPYear</f>
        <v>1440</v>
      </c>
      <c r="J151" s="131" t="s">
        <v>8485</v>
      </c>
      <c r="K151" s="475">
        <f>(SUMIF(cbal!K$71:K$86,$D151,cbal!K$129:K$144))*paramR2WorkWeeksPYear</f>
        <v>1440</v>
      </c>
      <c r="L151" s="475">
        <f>(SUMIF(cbal!L$71:L$86,$D151,cbal!L$129:L$144))*paramR2WorkWeeksPYear</f>
        <v>1440</v>
      </c>
      <c r="M151" s="475">
        <f>(SUMIF(cbal!M$71:M$86,$D151,cbal!M$129:M$144))*paramR2WorkWeeksPYear</f>
        <v>1440</v>
      </c>
      <c r="Q151" s="462">
        <f t="shared" si="28"/>
        <v>-1440</v>
      </c>
    </row>
    <row r="152" spans="1:17" ht="1.5" customHeight="1">
      <c r="A152" s="461"/>
      <c r="D152" s="449"/>
      <c r="E152" s="450"/>
      <c r="F152" s="450"/>
      <c r="G152" s="450"/>
      <c r="H152" s="131"/>
      <c r="J152" s="449"/>
      <c r="K152" s="450"/>
      <c r="L152" s="450"/>
      <c r="M152" s="450"/>
      <c r="N152" s="131"/>
      <c r="P152" s="450"/>
      <c r="Q152" s="462">
        <f t="shared" si="28"/>
        <v>0</v>
      </c>
    </row>
    <row r="153" spans="1:17" ht="12.75" customHeight="1">
      <c r="A153" s="461"/>
      <c r="D153" s="170" t="str">
        <f>"Total "&amp; nmEmp3</f>
        <v>Total Physical Therapy</v>
      </c>
      <c r="E153" s="448">
        <f>SUM(E150:E152)</f>
        <v>18476.313402061856</v>
      </c>
      <c r="F153" s="448">
        <f t="shared" ref="F153:G153" si="43">SUM(F150:F152)</f>
        <v>32289.351402061853</v>
      </c>
      <c r="G153" s="448">
        <f t="shared" si="43"/>
        <v>18524.193402061854</v>
      </c>
      <c r="H153" s="131" t="s">
        <v>1582</v>
      </c>
      <c r="J153" s="170" t="str">
        <f>"Total "&amp; nmEmp3</f>
        <v>Total Physical Therapy</v>
      </c>
      <c r="K153" s="448">
        <f>SUM(K150:K152)</f>
        <v>16106.66762840437</v>
      </c>
      <c r="L153" s="448">
        <f t="shared" ref="L153:M153" si="44">SUM(L150:L152)</f>
        <v>32130.592552405637</v>
      </c>
      <c r="M153" s="448">
        <f t="shared" si="44"/>
        <v>17677.335076035353</v>
      </c>
      <c r="N153" s="131" t="s">
        <v>5981</v>
      </c>
      <c r="P153" s="448">
        <v>21059.794917129897</v>
      </c>
      <c r="Q153" s="462">
        <f t="shared" si="28"/>
        <v>2583.4815150680406</v>
      </c>
    </row>
    <row r="154" spans="1:17" ht="12.75" customHeight="1">
      <c r="A154" s="461"/>
      <c r="D154" s="131" t="s">
        <v>556</v>
      </c>
      <c r="E154" s="448">
        <f>(SUMIF($D$640:$D$652,$D154,E$640:E$652))*paramWorkWeeksPYear</f>
        <v>21297.599999999999</v>
      </c>
      <c r="F154" s="448">
        <f>(SUMIF($D$640:$D$652,$D154,F$640:F$652))*paramWorkWeeksPYear</f>
        <v>29131.199999999997</v>
      </c>
      <c r="G154" s="448">
        <f>(SUMIF($D$640:$D$652,$D154,G$640:G$652))*paramWorkWeeksPYear</f>
        <v>15667.199999999999</v>
      </c>
      <c r="H154" s="131"/>
      <c r="K154" s="448">
        <f>(SUMIF($D$640:$D$652,$D154,K$640:K$652))*paramR2WorkWeeksPYear</f>
        <v>21624</v>
      </c>
      <c r="L154" s="448">
        <f>(SUMIF($D$640:$D$652,$D154,L$640:L$652))*paramR2WorkWeeksPYear</f>
        <v>29131.199999999997</v>
      </c>
      <c r="M154" s="448">
        <f>(SUMIF($D$640:$D$652,$D154,M$640:M$652))*paramR2WorkWeeksPYear</f>
        <v>15667.200000000004</v>
      </c>
      <c r="N154" s="131"/>
      <c r="P154" s="448">
        <v>21698.799999999996</v>
      </c>
      <c r="Q154" s="462">
        <f t="shared" si="28"/>
        <v>401.19999999999709</v>
      </c>
    </row>
    <row r="155" spans="1:17" ht="12.75" customHeight="1">
      <c r="A155" s="461"/>
      <c r="D155" s="131" t="s">
        <v>1579</v>
      </c>
      <c r="E155" s="448"/>
      <c r="F155" s="448"/>
      <c r="G155" s="448"/>
      <c r="H155" s="131"/>
      <c r="K155" s="448"/>
      <c r="L155" s="448"/>
      <c r="M155" s="448"/>
      <c r="N155" s="131"/>
      <c r="P155" s="448"/>
    </row>
    <row r="156" spans="1:17" ht="1.5" customHeight="1">
      <c r="A156" s="461"/>
      <c r="D156" s="449"/>
      <c r="E156" s="450"/>
      <c r="F156" s="450"/>
      <c r="G156" s="450"/>
      <c r="H156" s="131"/>
      <c r="J156" s="449"/>
      <c r="K156" s="450"/>
      <c r="L156" s="450"/>
      <c r="M156" s="450"/>
      <c r="N156" s="131"/>
      <c r="P156" s="450"/>
    </row>
    <row r="157" spans="1:17" ht="12.75" customHeight="1">
      <c r="A157" s="461"/>
      <c r="D157" s="170" t="str">
        <f>"Total "&amp; nmEmp1 &amp; " Work"</f>
        <v>Total Skilled Nursing Work</v>
      </c>
      <c r="E157" s="448">
        <f>SUM(E154:E156)</f>
        <v>21297.599999999999</v>
      </c>
      <c r="F157" s="448">
        <f t="shared" ref="F157" si="45">SUM(F154:F156)</f>
        <v>29131.199999999997</v>
      </c>
      <c r="G157" s="448">
        <f t="shared" ref="G157" si="46">SUM(G154:G156)</f>
        <v>15667.199999999999</v>
      </c>
      <c r="H157" s="131" t="s">
        <v>7918</v>
      </c>
      <c r="J157" s="170" t="str">
        <f>"Total "&amp; nmEmp1</f>
        <v>Total Skilled Nursing</v>
      </c>
      <c r="K157" s="448">
        <f>SUM(K154:K156)</f>
        <v>21624</v>
      </c>
      <c r="L157" s="448">
        <f t="shared" ref="L157" si="47">SUM(L154:L156)</f>
        <v>29131.199999999997</v>
      </c>
      <c r="M157" s="448">
        <f t="shared" ref="M157" si="48">SUM(M154:M156)</f>
        <v>15667.200000000004</v>
      </c>
      <c r="N157" s="131" t="s">
        <v>7921</v>
      </c>
      <c r="P157" s="448">
        <v>21698.799999999996</v>
      </c>
    </row>
    <row r="158" spans="1:17" ht="12.75" customHeight="1">
      <c r="A158" s="461"/>
      <c r="D158" s="131" t="s">
        <v>1585</v>
      </c>
      <c r="E158" s="451">
        <f>calcLOB1Emp3Work/calcLOB1Emp3Capacity</f>
        <v>1.1526974855072172</v>
      </c>
      <c r="F158" s="451">
        <f>calcLOB1Emp3Work/calcLOB1Emp3Capacity</f>
        <v>0.90219216971139937</v>
      </c>
      <c r="G158" s="451">
        <f>calcLOB1Emp3Work/calcLOB1Emp3Capacity</f>
        <v>0.84576961921894778</v>
      </c>
      <c r="H158" s="131" t="s">
        <v>4701</v>
      </c>
      <c r="J158" s="131" t="s">
        <v>1585</v>
      </c>
      <c r="K158" s="451">
        <f>calcR2LOB1Emp3Work/calcR2LOB1Emp3Capacity</f>
        <v>1.3425495887098164</v>
      </c>
      <c r="L158" s="451">
        <f>calcR2LOB1Emp3Work/calcR2LOB1Emp3Capacity</f>
        <v>0.9066499459194981</v>
      </c>
      <c r="M158" s="451">
        <f>calcR2LOB1Emp3Work/calcR2LOB1Emp3Capacity</f>
        <v>0.88628743713975133</v>
      </c>
      <c r="N158" s="131" t="s">
        <v>7673</v>
      </c>
      <c r="P158" s="451">
        <v>1.0303424171690454</v>
      </c>
    </row>
    <row r="159" spans="1:17" ht="12.75" customHeight="1">
      <c r="A159" s="461"/>
      <c r="D159" s="131"/>
      <c r="E159" s="451"/>
      <c r="F159" s="451"/>
      <c r="G159" s="451"/>
      <c r="H159" s="131"/>
      <c r="J159" s="131"/>
      <c r="K159" s="451"/>
      <c r="L159" s="451"/>
      <c r="M159" s="451"/>
      <c r="N159" s="131"/>
      <c r="P159" s="451"/>
    </row>
    <row r="160" spans="1:17" ht="12.75" customHeight="1">
      <c r="A160" s="461"/>
      <c r="D160" s="131" t="s">
        <v>8365</v>
      </c>
      <c r="E160" s="451">
        <f>(E133*E138+E143*E148+E153*E158)/(E133+E143+E153)</f>
        <v>1.1402077868585265</v>
      </c>
      <c r="F160" s="451">
        <f t="shared" ref="F160:G160" si="49">(F133*F138+F143*F148+F153*F158)/(F133+F143+F153)</f>
        <v>0.93080111425526457</v>
      </c>
      <c r="G160" s="451">
        <f t="shared" si="49"/>
        <v>0.83826360110558551</v>
      </c>
      <c r="H160" s="131" t="s">
        <v>8366</v>
      </c>
      <c r="J160" s="131"/>
      <c r="K160" s="451">
        <f>(K133*K138+K143*K148+K153*K158)/(K133+K143+K153)</f>
        <v>1.3257789307897019</v>
      </c>
      <c r="L160" s="451">
        <f t="shared" ref="L160:M160" si="50">(L133*L138+L143*L148+L153*L158)/(L133+L143+L153)</f>
        <v>0.95090019337413756</v>
      </c>
      <c r="M160" s="451">
        <f t="shared" si="50"/>
        <v>0.89059120892469779</v>
      </c>
      <c r="N160" s="131" t="s">
        <v>8367</v>
      </c>
      <c r="P160" s="451"/>
    </row>
    <row r="161" spans="1:14" ht="12.75" customHeight="1">
      <c r="A161" s="461"/>
      <c r="D161" s="131"/>
      <c r="E161" s="451"/>
      <c r="F161" s="451"/>
      <c r="G161" s="451"/>
      <c r="H161" s="131"/>
      <c r="J161" s="131"/>
      <c r="K161" s="451"/>
      <c r="L161" s="451"/>
      <c r="M161" s="451"/>
      <c r="N161" s="131"/>
    </row>
    <row r="162" spans="1:14" ht="12.75" customHeight="1">
      <c r="A162" s="461"/>
      <c r="B162" s="459"/>
      <c r="C162" s="131" t="s">
        <v>1586</v>
      </c>
    </row>
    <row r="163" spans="1:14" ht="12.75" customHeight="1">
      <c r="A163" s="461"/>
      <c r="B163" s="459"/>
      <c r="C163" s="170">
        <v>1</v>
      </c>
      <c r="D163" s="131" t="s">
        <v>550</v>
      </c>
      <c r="E163" s="560">
        <f>IF(VLOOKUP($C163,obal!$D$71:$G$82,E$3,FALSE)=$D163,obalLOB1AvgProdClinician1,0)</f>
        <v>27</v>
      </c>
      <c r="F163" s="560">
        <f>IF(VLOOKUP($C163,obal!$D$71:$G$82,F$3,FALSE)=$D163,obalLOB1AvgProdClinician1,0)</f>
        <v>27</v>
      </c>
      <c r="G163" s="560">
        <f>IF(VLOOKUP($C163,obal!$D$71:$G$82,G$3,FALSE)=$D163,obalLOB1AvgProdClinician1,0)</f>
        <v>27</v>
      </c>
      <c r="H163" s="131" t="s">
        <v>1625</v>
      </c>
      <c r="J163" s="131" t="s">
        <v>550</v>
      </c>
      <c r="K163" s="560">
        <f>IF(VLOOKUP($C163,obal!$J$71:$M$86,K$3,FALSE)=$D163,obalR2LOB1AvgProdClinician1,0)</f>
        <v>27</v>
      </c>
      <c r="L163" s="560">
        <f>IF(VLOOKUP($C163,obal!$J$71:$M$86,L$3,FALSE)=$D163,obalR2LOB1AvgProdClinician1,0)</f>
        <v>27</v>
      </c>
      <c r="M163" s="560">
        <f>IF(VLOOKUP($C163,obal!$J$71:$M$86,M$3,FALSE)=$D163,obalR2LOB1AvgProdClinician1,0)</f>
        <v>27</v>
      </c>
      <c r="N163" s="131" t="s">
        <v>5982</v>
      </c>
    </row>
    <row r="164" spans="1:14" ht="12.75" customHeight="1">
      <c r="A164" s="461"/>
      <c r="B164" s="459"/>
      <c r="C164" s="170">
        <v>2</v>
      </c>
      <c r="D164" s="131" t="s">
        <v>550</v>
      </c>
      <c r="E164" s="560">
        <f>IF(VLOOKUP($C164,obal!$D$71:$G$82,E$3,FALSE)=$D164,obalLOB1AvgProdClinician2,0)</f>
        <v>24</v>
      </c>
      <c r="F164" s="560">
        <f>IF(VLOOKUP($C164,obal!$D$71:$G$82,F$3,FALSE)=$D164,obalLOB1AvgProdClinician2,0)</f>
        <v>24</v>
      </c>
      <c r="G164" s="560">
        <f>IF(VLOOKUP($C164,obal!$D$71:$G$82,G$3,FALSE)=$D164,obalLOB1AvgProdClinician2,0)</f>
        <v>24</v>
      </c>
      <c r="H164" s="131" t="s">
        <v>1626</v>
      </c>
      <c r="J164" s="131" t="s">
        <v>550</v>
      </c>
      <c r="K164" s="560">
        <f>IF(VLOOKUP($C164,obal!$J$71:$M$86,K$3,FALSE)=$D164,obalR2LOB1AvgProdClinician2,0)</f>
        <v>24</v>
      </c>
      <c r="L164" s="560">
        <f>IF(VLOOKUP($C164,obal!$J$71:$M$86,L$3,FALSE)=$D164,obalR2LOB1AvgProdClinician2,0)</f>
        <v>24</v>
      </c>
      <c r="M164" s="560">
        <f>IF(VLOOKUP($C164,obal!$J$71:$M$86,M$3,FALSE)=$D164,obalR2LOB1AvgProdClinician2,0)</f>
        <v>24</v>
      </c>
      <c r="N164" s="131" t="s">
        <v>5983</v>
      </c>
    </row>
    <row r="165" spans="1:14" ht="12.75" customHeight="1">
      <c r="A165" s="461"/>
      <c r="B165" s="459"/>
      <c r="C165" s="170">
        <v>3</v>
      </c>
      <c r="D165" s="131" t="s">
        <v>550</v>
      </c>
      <c r="E165" s="560">
        <f>IF(VLOOKUP($C165,obal!$D$71:$G$82,E$3,FALSE)=$D165,obalLOB1AvgProdClinician3,0)</f>
        <v>12.526315789473685</v>
      </c>
      <c r="F165" s="560">
        <f>IF(VLOOKUP($C165,obal!$D$71:$G$82,F$3,FALSE)=$D165,obalLOB1AvgProdClinician3,0)</f>
        <v>12.526315789473685</v>
      </c>
      <c r="G165" s="560">
        <f>IF(VLOOKUP($C165,obal!$D$71:$G$82,G$3,FALSE)=$D165,obalLOB1AvgProdClinician3,0)</f>
        <v>12.526315789473685</v>
      </c>
      <c r="H165" s="131" t="s">
        <v>1627</v>
      </c>
      <c r="J165" s="131" t="s">
        <v>550</v>
      </c>
      <c r="K165" s="560">
        <f>IF(VLOOKUP($C165,obal!$J$71:$M$86,K$3,FALSE)=$D165,obalR2LOB1AvgProdClinician3,0)</f>
        <v>12.526315789473685</v>
      </c>
      <c r="L165" s="560">
        <f>IF(VLOOKUP($C165,obal!$J$71:$M$86,L$3,FALSE)=$D165,obalR2LOB1AvgProdClinician3,0)</f>
        <v>12.526315789473685</v>
      </c>
      <c r="M165" s="560">
        <f>IF(VLOOKUP($C165,obal!$J$71:$M$86,M$3,FALSE)=$D165,obalR2LOB1AvgProdClinician3,0)</f>
        <v>12.526315789473685</v>
      </c>
      <c r="N165" s="131" t="s">
        <v>5984</v>
      </c>
    </row>
    <row r="166" spans="1:14" ht="12.75" customHeight="1">
      <c r="A166" s="461"/>
      <c r="B166" s="459"/>
      <c r="C166" s="170">
        <v>4</v>
      </c>
      <c r="D166" s="131" t="s">
        <v>550</v>
      </c>
      <c r="E166" s="560">
        <f>IF(VLOOKUP($C166,obal!$D$71:$G$82,E$3,FALSE)=$D166,obalLOB1AvgProdClinician4,0)</f>
        <v>0</v>
      </c>
      <c r="F166" s="560">
        <f>IF(VLOOKUP($C166,obal!$D$71:$G$82,F$3,FALSE)=$D166,obalLOB1AvgProdClinician4,0)</f>
        <v>0</v>
      </c>
      <c r="G166" s="560">
        <f>IF(VLOOKUP($C166,obal!$D$71:$G$82,G$3,FALSE)=$D166,obalLOB1AvgProdClinician4,0)</f>
        <v>0</v>
      </c>
      <c r="H166" s="131" t="s">
        <v>1628</v>
      </c>
      <c r="J166" s="131" t="s">
        <v>550</v>
      </c>
      <c r="K166" s="560">
        <f>IF(VLOOKUP($C166,obal!$J$71:$M$86,K$3,FALSE)=$D166,obalR2LOB1AvgProdClinician4,0)</f>
        <v>0</v>
      </c>
      <c r="L166" s="560">
        <f>IF(VLOOKUP($C166,obal!$J$71:$M$86,L$3,FALSE)=$D166,obalR2LOB1AvgProdClinician4,0)</f>
        <v>0</v>
      </c>
      <c r="M166" s="560">
        <f>IF(VLOOKUP($C166,obal!$J$71:$M$86,M$3,FALSE)=$D166,obalR2LOB1AvgProdClinician4,0)</f>
        <v>0</v>
      </c>
      <c r="N166" s="131" t="s">
        <v>5985</v>
      </c>
    </row>
    <row r="167" spans="1:14" ht="12.75" customHeight="1">
      <c r="A167" s="461"/>
      <c r="B167" s="459"/>
      <c r="C167" s="170">
        <v>5</v>
      </c>
      <c r="D167" s="131" t="s">
        <v>550</v>
      </c>
      <c r="E167" s="560">
        <f>IF(VLOOKUP($C167,obal!$D$71:$G$82,E$3,FALSE)=$D167,obalLOB1AvgProdClinician5,0)</f>
        <v>0</v>
      </c>
      <c r="F167" s="560">
        <f>IF(VLOOKUP($C167,obal!$D$71:$G$82,F$3,FALSE)=$D167,obalLOB1AvgProdClinician5,0)</f>
        <v>0</v>
      </c>
      <c r="G167" s="560">
        <f>IF(VLOOKUP($C167,obal!$D$71:$G$82,G$3,FALSE)=$D167,obalLOB1AvgProdClinician5,0)</f>
        <v>0</v>
      </c>
      <c r="H167" s="131" t="s">
        <v>1629</v>
      </c>
      <c r="J167" s="131" t="s">
        <v>550</v>
      </c>
      <c r="K167" s="560">
        <f>IF(VLOOKUP($C167,obal!$J$71:$M$86,K$3,FALSE)=$D167,obalR2LOB1AvgProdClinician5,0)</f>
        <v>0</v>
      </c>
      <c r="L167" s="560">
        <f>IF(VLOOKUP($C167,obal!$J$71:$M$86,L$3,FALSE)=$D167,obalR2LOB1AvgProdClinician5,0)</f>
        <v>0</v>
      </c>
      <c r="M167" s="560">
        <f>IF(VLOOKUP($C167,obal!$J$71:$M$86,M$3,FALSE)=$D167,obalR2LOB1AvgProdClinician5,0)</f>
        <v>0</v>
      </c>
      <c r="N167" s="131" t="s">
        <v>5986</v>
      </c>
    </row>
    <row r="168" spans="1:14" ht="12.75" customHeight="1">
      <c r="A168" s="461"/>
      <c r="B168" s="459"/>
      <c r="C168" s="170">
        <v>6</v>
      </c>
      <c r="D168" s="131" t="s">
        <v>550</v>
      </c>
      <c r="E168" s="560">
        <f>IF(VLOOKUP($C168,obal!$D$71:$G$82,E$3,FALSE)=$D168,obalLOB1AvgProdClinician6,0)</f>
        <v>0</v>
      </c>
      <c r="F168" s="560">
        <f>IF(VLOOKUP($C168,obal!$D$71:$G$82,F$3,FALSE)=$D168,obalLOB1AvgProdClinician6,0)</f>
        <v>0</v>
      </c>
      <c r="G168" s="560">
        <f>IF(VLOOKUP($C168,obal!$D$71:$G$82,G$3,FALSE)=$D168,obalLOB1AvgProdClinician6,0)</f>
        <v>0</v>
      </c>
      <c r="H168" s="131" t="s">
        <v>1630</v>
      </c>
      <c r="J168" s="131" t="s">
        <v>550</v>
      </c>
      <c r="K168" s="560">
        <f>IF(VLOOKUP($C168,obal!$J$71:$M$86,K$3,FALSE)=$D168,obalR2LOB1AvgProdClinician6,0)</f>
        <v>0</v>
      </c>
      <c r="L168" s="560">
        <f>IF(VLOOKUP($C168,obal!$J$71:$M$86,L$3,FALSE)=$D168,obalR2LOB1AvgProdClinician6,0)</f>
        <v>0</v>
      </c>
      <c r="M168" s="560">
        <f>IF(VLOOKUP($C168,obal!$J$71:$M$86,M$3,FALSE)=$D168,obalR2LOB1AvgProdClinician6,0)</f>
        <v>0</v>
      </c>
      <c r="N168" s="131" t="s">
        <v>5987</v>
      </c>
    </row>
    <row r="169" spans="1:14" ht="12.75" customHeight="1">
      <c r="A169" s="461"/>
      <c r="B169" s="459"/>
      <c r="C169" s="170">
        <v>7</v>
      </c>
      <c r="D169" s="131" t="s">
        <v>550</v>
      </c>
      <c r="E169" s="560">
        <f>IF(VLOOKUP($C169,obal!$D$71:$G$82,E$3,FALSE)=$D169,obalLOB1AvgProdClinician7,0)</f>
        <v>0</v>
      </c>
      <c r="F169" s="560">
        <f>IF(VLOOKUP($C169,obal!$D$71:$G$82,F$3,FALSE)=$D169,obalLOB1AvgProdClinician7,0)</f>
        <v>0</v>
      </c>
      <c r="G169" s="560">
        <f>IF(VLOOKUP($C169,obal!$D$71:$G$82,G$3,FALSE)=$D169,obalLOB1AvgProdClinician7,0)</f>
        <v>0</v>
      </c>
      <c r="H169" s="131" t="s">
        <v>1631</v>
      </c>
      <c r="J169" s="131" t="s">
        <v>550</v>
      </c>
      <c r="K169" s="560">
        <f>IF(VLOOKUP($C169,obal!$J$71:$M$86,K$3,FALSE)=$D169,obalR2LOB1AvgProdClinician7,0)</f>
        <v>0</v>
      </c>
      <c r="L169" s="560">
        <f>IF(VLOOKUP($C169,obal!$J$71:$M$86,L$3,FALSE)=$D169,obalR2LOB1AvgProdClinician7,0)</f>
        <v>0</v>
      </c>
      <c r="M169" s="560">
        <f>IF(VLOOKUP($C169,obal!$J$71:$M$86,M$3,FALSE)=$D169,obalR2LOB1AvgProdClinician7,0)</f>
        <v>0</v>
      </c>
      <c r="N169" s="131" t="s">
        <v>5988</v>
      </c>
    </row>
    <row r="170" spans="1:14" ht="12.75" customHeight="1">
      <c r="A170" s="461"/>
      <c r="B170" s="459"/>
      <c r="C170" s="170">
        <v>8</v>
      </c>
      <c r="D170" s="131" t="s">
        <v>550</v>
      </c>
      <c r="E170" s="560">
        <f>IF(VLOOKUP($C170,obal!$D$71:$G$82,E$3,FALSE)=$D170,obalLOB1AvgProdClinician8,0)</f>
        <v>0</v>
      </c>
      <c r="F170" s="560">
        <f>IF(VLOOKUP($C170,obal!$D$71:$G$82,F$3,FALSE)=$D170,obalLOB1AvgProdClinician8,0)</f>
        <v>0</v>
      </c>
      <c r="G170" s="560">
        <f>IF(VLOOKUP($C170,obal!$D$71:$G$82,G$3,FALSE)=$D170,obalLOB1AvgProdClinician8,0)</f>
        <v>0</v>
      </c>
      <c r="H170" s="131" t="s">
        <v>1632</v>
      </c>
      <c r="J170" s="131" t="s">
        <v>550</v>
      </c>
      <c r="K170" s="560">
        <f>IF(VLOOKUP($C170,obal!$J$71:$M$86,K$3,FALSE)=$D170,obalR2LOB1AvgProdClinician8,0)</f>
        <v>0</v>
      </c>
      <c r="L170" s="560">
        <f>IF(VLOOKUP($C170,obal!$J$71:$M$86,L$3,FALSE)=$D170,obalR2LOB1AvgProdClinician8,0)</f>
        <v>0</v>
      </c>
      <c r="M170" s="560">
        <f>IF(VLOOKUP($C170,obal!$J$71:$M$86,M$3,FALSE)=$D170,obalR2LOB1AvgProdClinician8,0)</f>
        <v>0</v>
      </c>
      <c r="N170" s="131" t="s">
        <v>5989</v>
      </c>
    </row>
    <row r="171" spans="1:14" ht="12.75" customHeight="1">
      <c r="A171" s="461"/>
      <c r="B171" s="459"/>
      <c r="C171" s="170">
        <v>9</v>
      </c>
      <c r="D171" s="131" t="s">
        <v>550</v>
      </c>
      <c r="E171" s="560">
        <f>IF(VLOOKUP($C171,obal!$D$71:$G$82,E$3,FALSE)=$D171,obalLOB1AvgProdClinician9,0)</f>
        <v>0</v>
      </c>
      <c r="F171" s="560">
        <f>IF(VLOOKUP($C171,obal!$D$71:$G$82,F$3,FALSE)=$D171,obalLOB1AvgProdClinician9,0)</f>
        <v>0</v>
      </c>
      <c r="G171" s="560">
        <f>IF(VLOOKUP($C171,obal!$D$71:$G$82,G$3,FALSE)=$D171,obalLOB1AvgProdClinician9,0)</f>
        <v>0</v>
      </c>
      <c r="H171" s="131" t="s">
        <v>1633</v>
      </c>
      <c r="J171" s="131" t="s">
        <v>550</v>
      </c>
      <c r="K171" s="560">
        <f>IF(VLOOKUP($C171,obal!$J$71:$M$86,K$3,FALSE)=$D171,obalR2LOB1AvgProdClinician9,0)</f>
        <v>0</v>
      </c>
      <c r="L171" s="560">
        <f>IF(VLOOKUP($C171,obal!$J$71:$M$86,L$3,FALSE)=$D171,obalR2LOB1AvgProdClinician9,0)</f>
        <v>0</v>
      </c>
      <c r="M171" s="560">
        <f>IF(VLOOKUP($C171,obal!$J$71:$M$86,M$3,FALSE)=$D171,obalR2LOB1AvgProdClinician9,0)</f>
        <v>0</v>
      </c>
      <c r="N171" s="131" t="s">
        <v>5990</v>
      </c>
    </row>
    <row r="172" spans="1:14" ht="12.75" customHeight="1">
      <c r="A172" s="461"/>
      <c r="B172" s="459"/>
      <c r="C172" s="170">
        <v>10</v>
      </c>
      <c r="D172" s="131" t="s">
        <v>550</v>
      </c>
      <c r="E172" s="560">
        <f>IF(VLOOKUP($C172,obal!$D$71:$G$82,E$3,FALSE)=$D172,obalLOB1AvgProdClinician10,0)</f>
        <v>0</v>
      </c>
      <c r="F172" s="560">
        <f>IF(VLOOKUP($C172,obal!$D$71:$G$82,F$3,FALSE)=$D172,obalLOB1AvgProdClinician10,0)</f>
        <v>0</v>
      </c>
      <c r="G172" s="560">
        <f>IF(VLOOKUP($C172,obal!$D$71:$G$82,G$3,FALSE)=$D172,obalLOB1AvgProdClinician10,0)</f>
        <v>0</v>
      </c>
      <c r="H172" s="131" t="s">
        <v>1634</v>
      </c>
      <c r="J172" s="131" t="s">
        <v>550</v>
      </c>
      <c r="K172" s="560">
        <f>IF(VLOOKUP($C172,obal!$J$71:$M$86,K$3,FALSE)=$D172,obalR2LOB1AvgProdClinician10,0)</f>
        <v>0</v>
      </c>
      <c r="L172" s="560">
        <f>IF(VLOOKUP($C172,obal!$J$71:$M$86,L$3,FALSE)=$D172,obalR2LOB1AvgProdClinician10,0)</f>
        <v>0</v>
      </c>
      <c r="M172" s="560">
        <f>IF(VLOOKUP($C172,obal!$J$71:$M$86,M$3,FALSE)=$D172,obalR2LOB1AvgProdClinician10,0)</f>
        <v>0</v>
      </c>
      <c r="N172" s="131" t="s">
        <v>5991</v>
      </c>
    </row>
    <row r="173" spans="1:14" ht="12.75" customHeight="1">
      <c r="A173" s="461"/>
      <c r="B173" s="459"/>
      <c r="C173" s="170">
        <v>11</v>
      </c>
      <c r="D173" s="131" t="s">
        <v>550</v>
      </c>
      <c r="E173" s="560">
        <f>IF(VLOOKUP($C173,cbal!$D$71:$G$86,E$3,FALSE)=$D173,cbalLOB1AvgBaseProdClinician11,0)</f>
        <v>0</v>
      </c>
      <c r="F173" s="560">
        <f>IF(VLOOKUP($C173,cbal!$D$71:$G$86,F$3,FALSE)=$D173,cbalLOB1AvgBaseProdClinician11,0)</f>
        <v>0</v>
      </c>
      <c r="G173" s="560">
        <f>IF(VLOOKUP($C173,cbal!$D$71:$G$86,G$3,FALSE)=$D173,cbalLOB1AvgBaseProdClinician11,0)</f>
        <v>0</v>
      </c>
      <c r="H173" s="131" t="s">
        <v>1635</v>
      </c>
      <c r="J173" s="131" t="s">
        <v>550</v>
      </c>
      <c r="K173" s="560">
        <f>IF(VLOOKUP($C173,cbal!$J$71:$M$86,K$3,FALSE)=$D173,cbalR2LOB1AvgBaseProdClinician11,0)</f>
        <v>0</v>
      </c>
      <c r="L173" s="560">
        <f>IF(VLOOKUP($C173,cbal!$J$71:$M$86,L$3,FALSE)=$D173,cbalR2LOB1AvgBaseProdClinician11,0)</f>
        <v>0</v>
      </c>
      <c r="M173" s="560">
        <f>IF(VLOOKUP($C173,cbal!$J$71:$M$86,M$3,FALSE)=$D173,cbalR2LOB1AvgBaseProdClinician11,0)</f>
        <v>0</v>
      </c>
      <c r="N173" s="131" t="s">
        <v>5992</v>
      </c>
    </row>
    <row r="174" spans="1:14" ht="12.75" customHeight="1">
      <c r="A174" s="461"/>
      <c r="B174" s="459"/>
      <c r="C174" s="170">
        <v>12</v>
      </c>
      <c r="D174" s="131" t="s">
        <v>550</v>
      </c>
      <c r="E174" s="560">
        <f>IF(VLOOKUP($C174,cbal!$D$71:$G$86,E$3,FALSE)=$D174,cbalLOB1AvgBaseProdClinician12,0)</f>
        <v>0</v>
      </c>
      <c r="F174" s="560">
        <f>IF(VLOOKUP($C174,cbal!$D$71:$G$86,F$3,FALSE)=$D174,cbalLOB1AvgBaseProdClinician12,0)</f>
        <v>0</v>
      </c>
      <c r="G174" s="560">
        <f>IF(VLOOKUP($C174,cbal!$D$71:$G$86,G$3,FALSE)=$D174,cbalLOB1AvgBaseProdClinician12,0)</f>
        <v>0</v>
      </c>
      <c r="H174" s="131" t="s">
        <v>1636</v>
      </c>
      <c r="J174" s="131" t="s">
        <v>550</v>
      </c>
      <c r="K174" s="560">
        <f>IF(VLOOKUP($C174,cbal!$J$71:$M$86,K$3,FALSE)=$D174,cbalR2LOB1AvgBaseProdClinician12,0)</f>
        <v>0</v>
      </c>
      <c r="L174" s="560">
        <f>IF(VLOOKUP($C174,cbal!$J$71:$M$86,L$3,FALSE)=$D174,cbalR2LOB1AvgBaseProdClinician12,0)</f>
        <v>0</v>
      </c>
      <c r="M174" s="560">
        <f>IF(VLOOKUP($C174,cbal!$J$71:$M$86,M$3,FALSE)=$D174,cbalR2LOB1AvgBaseProdClinician12,0)</f>
        <v>0</v>
      </c>
      <c r="N174" s="131" t="s">
        <v>5993</v>
      </c>
    </row>
    <row r="175" spans="1:14" ht="12.75" customHeight="1">
      <c r="A175" s="461"/>
      <c r="B175" s="459"/>
      <c r="C175" s="571">
        <v>19</v>
      </c>
      <c r="D175" s="572" t="s">
        <v>550</v>
      </c>
      <c r="E175" s="747">
        <f>obalLOB1AvgProdClinician13</f>
        <v>126</v>
      </c>
      <c r="F175" s="747">
        <f>obalLOB1AvgProdClinician13</f>
        <v>275</v>
      </c>
      <c r="G175" s="747">
        <f>obalLOB1AvgProdClinician13</f>
        <v>150</v>
      </c>
      <c r="H175" s="131" t="s">
        <v>4034</v>
      </c>
      <c r="J175" s="572" t="s">
        <v>550</v>
      </c>
      <c r="K175" s="747">
        <f>obalR2LOB1AvgProdClinician13</f>
        <v>107.73</v>
      </c>
      <c r="L175" s="747">
        <f>obalR2LOB1AvgProdClinician13</f>
        <v>241.1206875</v>
      </c>
      <c r="M175" s="747">
        <f>obalR2LOB1AvgProdClinician13</f>
        <v>127.416375</v>
      </c>
      <c r="N175" s="131" t="s">
        <v>5994</v>
      </c>
    </row>
    <row r="176" spans="1:14" ht="12.75" customHeight="1">
      <c r="A176" s="461"/>
      <c r="B176" s="459"/>
      <c r="C176" s="170">
        <v>1</v>
      </c>
      <c r="D176" s="131" t="s">
        <v>554</v>
      </c>
      <c r="E176" s="560">
        <f>IF(VLOOKUP($C176,obal!$D$71:$G$82,E$3,FALSE)=$D176,obalLOB1AvgProdClinician1,0)</f>
        <v>0</v>
      </c>
      <c r="F176" s="560">
        <f>IF(VLOOKUP($C176,obal!$D$71:$G$82,F$3,FALSE)=$D176,obalLOB1AvgProdClinician1,0)</f>
        <v>0</v>
      </c>
      <c r="G176" s="560">
        <f>IF(VLOOKUP($C176,obal!$D$71:$G$82,G$3,FALSE)=$D176,obalLOB1AvgProdClinician1,0)</f>
        <v>0</v>
      </c>
      <c r="H176" s="131" t="s">
        <v>1637</v>
      </c>
      <c r="J176" s="131" t="s">
        <v>554</v>
      </c>
      <c r="K176" s="560">
        <f>IF(VLOOKUP($C176,obal!$J$71:$M$86,K$3,FALSE)=$D176,obalR2LOB1AvgProdClinician1,0)</f>
        <v>0</v>
      </c>
      <c r="L176" s="560">
        <f>IF(VLOOKUP($C176,obal!$J$71:$M$86,L$3,FALSE)=$D176,obalR2LOB1AvgProdClinician1,0)</f>
        <v>0</v>
      </c>
      <c r="M176" s="560">
        <f>IF(VLOOKUP($C176,obal!$J$71:$M$86,M$3,FALSE)=$D176,obalR2LOB1AvgProdClinician1,0)</f>
        <v>0</v>
      </c>
      <c r="N176" s="131" t="s">
        <v>5995</v>
      </c>
    </row>
    <row r="177" spans="1:14" ht="12.75" customHeight="1">
      <c r="A177" s="461"/>
      <c r="B177" s="459"/>
      <c r="C177" s="170">
        <v>2</v>
      </c>
      <c r="D177" s="131" t="s">
        <v>554</v>
      </c>
      <c r="E177" s="560">
        <f>IF(VLOOKUP($C177,obal!$D$71:$G$82,E$3,FALSE)=$D177,obalLOB1AvgProdClinician2,0)</f>
        <v>0</v>
      </c>
      <c r="F177" s="560">
        <f>IF(VLOOKUP($C177,obal!$D$71:$G$82,F$3,FALSE)=$D177,obalLOB1AvgProdClinician2,0)</f>
        <v>0</v>
      </c>
      <c r="G177" s="560">
        <f>IF(VLOOKUP($C177,obal!$D$71:$G$82,G$3,FALSE)=$D177,obalLOB1AvgProdClinician2,0)</f>
        <v>0</v>
      </c>
      <c r="H177" s="131" t="s">
        <v>1638</v>
      </c>
      <c r="J177" s="131" t="s">
        <v>554</v>
      </c>
      <c r="K177" s="560">
        <f>IF(VLOOKUP($C177,obal!$J$71:$M$86,K$3,FALSE)=$D177,obalR2LOB1AvgProdClinician2,0)</f>
        <v>0</v>
      </c>
      <c r="L177" s="560">
        <f>IF(VLOOKUP($C177,obal!$J$71:$M$86,L$3,FALSE)=$D177,obalR2LOB1AvgProdClinician2,0)</f>
        <v>0</v>
      </c>
      <c r="M177" s="560">
        <f>IF(VLOOKUP($C177,obal!$J$71:$M$86,M$3,FALSE)=$D177,obalR2LOB1AvgProdClinician2,0)</f>
        <v>0</v>
      </c>
      <c r="N177" s="131" t="s">
        <v>5996</v>
      </c>
    </row>
    <row r="178" spans="1:14" ht="12.75" customHeight="1">
      <c r="A178" s="461"/>
      <c r="B178" s="459"/>
      <c r="C178" s="170">
        <v>3</v>
      </c>
      <c r="D178" s="131" t="s">
        <v>554</v>
      </c>
      <c r="E178" s="560">
        <f>IF(VLOOKUP($C178,obal!$D$71:$G$82,E$3,FALSE)=$D178,obalLOB1AvgProdClinician3,0)</f>
        <v>0</v>
      </c>
      <c r="F178" s="560">
        <f>IF(VLOOKUP($C178,obal!$D$71:$G$82,F$3,FALSE)=$D178,obalLOB1AvgProdClinician3,0)</f>
        <v>0</v>
      </c>
      <c r="G178" s="560">
        <f>IF(VLOOKUP($C178,obal!$D$71:$G$82,G$3,FALSE)=$D178,obalLOB1AvgProdClinician3,0)</f>
        <v>0</v>
      </c>
      <c r="H178" s="131" t="s">
        <v>1639</v>
      </c>
      <c r="J178" s="131" t="s">
        <v>554</v>
      </c>
      <c r="K178" s="560">
        <f>IF(VLOOKUP($C178,obal!$J$71:$M$86,K$3,FALSE)=$D178,obalR2LOB1AvgProdClinician3,0)</f>
        <v>0</v>
      </c>
      <c r="L178" s="560">
        <f>IF(VLOOKUP($C178,obal!$J$71:$M$86,L$3,FALSE)=$D178,obalR2LOB1AvgProdClinician3,0)</f>
        <v>0</v>
      </c>
      <c r="M178" s="560">
        <f>IF(VLOOKUP($C178,obal!$J$71:$M$86,M$3,FALSE)=$D178,obalR2LOB1AvgProdClinician3,0)</f>
        <v>0</v>
      </c>
      <c r="N178" s="131" t="s">
        <v>5997</v>
      </c>
    </row>
    <row r="179" spans="1:14" ht="12.75" customHeight="1">
      <c r="A179" s="461"/>
      <c r="B179" s="459"/>
      <c r="C179" s="170">
        <v>4</v>
      </c>
      <c r="D179" s="131" t="s">
        <v>554</v>
      </c>
      <c r="E179" s="560">
        <f>IF(VLOOKUP($C179,obal!$D$71:$G$82,E$3,FALSE)=$D179,obalLOB1AvgProdClinician4,0)</f>
        <v>33</v>
      </c>
      <c r="F179" s="560">
        <f>IF(VLOOKUP($C179,obal!$D$71:$G$82,F$3,FALSE)=$D179,obalLOB1AvgProdClinician4,0)</f>
        <v>33</v>
      </c>
      <c r="G179" s="560">
        <f>IF(VLOOKUP($C179,obal!$D$71:$G$82,G$3,FALSE)=$D179,obalLOB1AvgProdClinician4,0)</f>
        <v>33</v>
      </c>
      <c r="H179" s="131" t="s">
        <v>1640</v>
      </c>
      <c r="J179" s="131" t="s">
        <v>554</v>
      </c>
      <c r="K179" s="560">
        <f>IF(VLOOKUP($C179,obal!$J$71:$M$86,K$3,FALSE)=$D179,obalR2LOB1AvgProdClinician4,0)</f>
        <v>33</v>
      </c>
      <c r="L179" s="560">
        <f>IF(VLOOKUP($C179,obal!$J$71:$M$86,L$3,FALSE)=$D179,obalR2LOB1AvgProdClinician4,0)</f>
        <v>33</v>
      </c>
      <c r="M179" s="560">
        <f>IF(VLOOKUP($C179,obal!$J$71:$M$86,M$3,FALSE)=$D179,obalR2LOB1AvgProdClinician4,0)</f>
        <v>33</v>
      </c>
      <c r="N179" s="131" t="s">
        <v>5998</v>
      </c>
    </row>
    <row r="180" spans="1:14" ht="12.75" customHeight="1">
      <c r="A180" s="461"/>
      <c r="B180" s="459"/>
      <c r="C180" s="170">
        <v>5</v>
      </c>
      <c r="D180" s="131" t="s">
        <v>554</v>
      </c>
      <c r="E180" s="560">
        <f>IF(VLOOKUP($C180,obal!$D$71:$G$82,E$3,FALSE)=$D180,obalLOB1AvgProdClinician5,0)</f>
        <v>17.52577319587629</v>
      </c>
      <c r="F180" s="560">
        <f>IF(VLOOKUP($C180,obal!$D$71:$G$82,F$3,FALSE)=$D180,obalLOB1AvgProdClinician5,0)</f>
        <v>17.52577319587629</v>
      </c>
      <c r="G180" s="560">
        <f>IF(VLOOKUP($C180,obal!$D$71:$G$82,G$3,FALSE)=$D180,obalLOB1AvgProdClinician5,0)</f>
        <v>17.52577319587629</v>
      </c>
      <c r="H180" s="131" t="s">
        <v>1641</v>
      </c>
      <c r="J180" s="131" t="s">
        <v>554</v>
      </c>
      <c r="K180" s="560">
        <f>IF(VLOOKUP($C180,obal!$J$71:$M$86,K$3,FALSE)=$D180,obalR2LOB1AvgProdClinician5,0)</f>
        <v>17.52577319587629</v>
      </c>
      <c r="L180" s="560">
        <f>IF(VLOOKUP($C180,obal!$J$71:$M$86,L$3,FALSE)=$D180,obalR2LOB1AvgProdClinician5,0)</f>
        <v>17.52577319587629</v>
      </c>
      <c r="M180" s="560">
        <f>IF(VLOOKUP($C180,obal!$J$71:$M$86,M$3,FALSE)=$D180,obalR2LOB1AvgProdClinician5,0)</f>
        <v>17.52577319587629</v>
      </c>
      <c r="N180" s="131" t="s">
        <v>5999</v>
      </c>
    </row>
    <row r="181" spans="1:14" ht="12.75" customHeight="1">
      <c r="A181" s="461"/>
      <c r="B181" s="459"/>
      <c r="C181" s="170">
        <v>6</v>
      </c>
      <c r="D181" s="131" t="s">
        <v>554</v>
      </c>
      <c r="E181" s="560">
        <f>IF(VLOOKUP($C181,obal!$D$71:$G$82,E$3,FALSE)=$D181,obalLOB1AvgProdClinician6,0)</f>
        <v>0</v>
      </c>
      <c r="F181" s="560">
        <f>IF(VLOOKUP($C181,obal!$D$71:$G$82,F$3,FALSE)=$D181,obalLOB1AvgProdClinician6,0)</f>
        <v>0</v>
      </c>
      <c r="G181" s="560">
        <f>IF(VLOOKUP($C181,obal!$D$71:$G$82,G$3,FALSE)=$D181,obalLOB1AvgProdClinician6,0)</f>
        <v>0</v>
      </c>
      <c r="H181" s="131" t="s">
        <v>1642</v>
      </c>
      <c r="J181" s="131" t="s">
        <v>554</v>
      </c>
      <c r="K181" s="560">
        <f>IF(VLOOKUP($C181,obal!$J$71:$M$86,K$3,FALSE)=$D181,obalR2LOB1AvgProdClinician6,0)</f>
        <v>0</v>
      </c>
      <c r="L181" s="560">
        <f>IF(VLOOKUP($C181,obal!$J$71:$M$86,L$3,FALSE)=$D181,obalR2LOB1AvgProdClinician6,0)</f>
        <v>0</v>
      </c>
      <c r="M181" s="560">
        <f>IF(VLOOKUP($C181,obal!$J$71:$M$86,M$3,FALSE)=$D181,obalR2LOB1AvgProdClinician6,0)</f>
        <v>0</v>
      </c>
      <c r="N181" s="131" t="s">
        <v>6000</v>
      </c>
    </row>
    <row r="182" spans="1:14" ht="12.75" customHeight="1">
      <c r="A182" s="461"/>
      <c r="B182" s="459"/>
      <c r="C182" s="170">
        <v>7</v>
      </c>
      <c r="D182" s="131" t="s">
        <v>554</v>
      </c>
      <c r="E182" s="560">
        <f>IF(VLOOKUP($C182,obal!$D$71:$G$82,E$3,FALSE)=$D182,obalLOB1AvgProdClinician7,0)</f>
        <v>0</v>
      </c>
      <c r="F182" s="560">
        <f>IF(VLOOKUP($C182,obal!$D$71:$G$82,F$3,FALSE)=$D182,obalLOB1AvgProdClinician7,0)</f>
        <v>0</v>
      </c>
      <c r="G182" s="560">
        <f>IF(VLOOKUP($C182,obal!$D$71:$G$82,G$3,FALSE)=$D182,obalLOB1AvgProdClinician7,0)</f>
        <v>0</v>
      </c>
      <c r="H182" s="131" t="s">
        <v>1643</v>
      </c>
      <c r="J182" s="131" t="s">
        <v>554</v>
      </c>
      <c r="K182" s="560">
        <f>IF(VLOOKUP($C182,obal!$J$71:$M$86,K$3,FALSE)=$D182,obalR2LOB1AvgProdClinician7,0)</f>
        <v>0</v>
      </c>
      <c r="L182" s="560">
        <f>IF(VLOOKUP($C182,obal!$J$71:$M$86,L$3,FALSE)=$D182,obalR2LOB1AvgProdClinician7,0)</f>
        <v>0</v>
      </c>
      <c r="M182" s="560">
        <f>IF(VLOOKUP($C182,obal!$J$71:$M$86,M$3,FALSE)=$D182,obalR2LOB1AvgProdClinician7,0)</f>
        <v>0</v>
      </c>
      <c r="N182" s="131" t="s">
        <v>6001</v>
      </c>
    </row>
    <row r="183" spans="1:14" ht="12.75" customHeight="1">
      <c r="A183" s="461"/>
      <c r="B183" s="459"/>
      <c r="C183" s="170">
        <v>8</v>
      </c>
      <c r="D183" s="131" t="s">
        <v>554</v>
      </c>
      <c r="E183" s="560">
        <f>IF(VLOOKUP($C183,obal!$D$71:$G$82,E$3,FALSE)=$D183,obalLOB1AvgProdClinician8,0)</f>
        <v>0</v>
      </c>
      <c r="F183" s="560">
        <f>IF(VLOOKUP($C183,obal!$D$71:$G$82,F$3,FALSE)=$D183,obalLOB1AvgProdClinician8,0)</f>
        <v>0</v>
      </c>
      <c r="G183" s="560">
        <f>IF(VLOOKUP($C183,obal!$D$71:$G$82,G$3,FALSE)=$D183,obalLOB1AvgProdClinician8,0)</f>
        <v>0</v>
      </c>
      <c r="H183" s="131" t="s">
        <v>1644</v>
      </c>
      <c r="J183" s="131" t="s">
        <v>554</v>
      </c>
      <c r="K183" s="560">
        <f>IF(VLOOKUP($C183,obal!$J$71:$M$86,K$3,FALSE)=$D183,obalR2LOB1AvgProdClinician8,0)</f>
        <v>0</v>
      </c>
      <c r="L183" s="560">
        <f>IF(VLOOKUP($C183,obal!$J$71:$M$86,L$3,FALSE)=$D183,obalR2LOB1AvgProdClinician8,0)</f>
        <v>0</v>
      </c>
      <c r="M183" s="560">
        <f>IF(VLOOKUP($C183,obal!$J$71:$M$86,M$3,FALSE)=$D183,obalR2LOB1AvgProdClinician8,0)</f>
        <v>0</v>
      </c>
      <c r="N183" s="131" t="s">
        <v>6002</v>
      </c>
    </row>
    <row r="184" spans="1:14" ht="12.75" customHeight="1">
      <c r="A184" s="461"/>
      <c r="B184" s="459"/>
      <c r="C184" s="170">
        <v>9</v>
      </c>
      <c r="D184" s="131" t="s">
        <v>554</v>
      </c>
      <c r="E184" s="560">
        <f>IF(VLOOKUP($C184,obal!$D$71:$G$82,E$3,FALSE)=$D184,obalLOB1AvgProdClinician9,0)</f>
        <v>0</v>
      </c>
      <c r="F184" s="560">
        <f>IF(VLOOKUP($C184,obal!$D$71:$G$82,F$3,FALSE)=$D184,obalLOB1AvgProdClinician9,0)</f>
        <v>0</v>
      </c>
      <c r="G184" s="560">
        <f>IF(VLOOKUP($C184,obal!$D$71:$G$82,G$3,FALSE)=$D184,obalLOB1AvgProdClinician9,0)</f>
        <v>0</v>
      </c>
      <c r="H184" s="131" t="s">
        <v>1645</v>
      </c>
      <c r="J184" s="131" t="s">
        <v>554</v>
      </c>
      <c r="K184" s="560">
        <f>IF(VLOOKUP($C184,obal!$J$71:$M$86,K$3,FALSE)=$D184,obalR2LOB1AvgProdClinician9,0)</f>
        <v>0</v>
      </c>
      <c r="L184" s="560">
        <f>IF(VLOOKUP($C184,obal!$J$71:$M$86,L$3,FALSE)=$D184,obalR2LOB1AvgProdClinician9,0)</f>
        <v>0</v>
      </c>
      <c r="M184" s="560">
        <f>IF(VLOOKUP($C184,obal!$J$71:$M$86,M$3,FALSE)=$D184,obalR2LOB1AvgProdClinician9,0)</f>
        <v>0</v>
      </c>
      <c r="N184" s="131" t="s">
        <v>6003</v>
      </c>
    </row>
    <row r="185" spans="1:14" ht="12.75" customHeight="1">
      <c r="A185" s="461"/>
      <c r="B185" s="459"/>
      <c r="C185" s="170">
        <v>10</v>
      </c>
      <c r="D185" s="131" t="s">
        <v>554</v>
      </c>
      <c r="E185" s="560">
        <f>IF(VLOOKUP($C185,obal!$D$71:$G$82,E$3,FALSE)=$D185,obalLOB1AvgProdClinician10,0)</f>
        <v>0</v>
      </c>
      <c r="F185" s="560">
        <f>IF(VLOOKUP($C185,obal!$D$71:$G$82,F$3,FALSE)=$D185,obalLOB1AvgProdClinician10,0)</f>
        <v>0</v>
      </c>
      <c r="G185" s="560">
        <f>IF(VLOOKUP($C185,obal!$D$71:$G$82,G$3,FALSE)=$D185,obalLOB1AvgProdClinician10,0)</f>
        <v>0</v>
      </c>
      <c r="H185" s="131" t="s">
        <v>1646</v>
      </c>
      <c r="J185" s="131" t="s">
        <v>554</v>
      </c>
      <c r="K185" s="560">
        <f>IF(VLOOKUP($C185,obal!$J$71:$M$86,K$3,FALSE)=$D185,obalR2LOB1AvgProdClinician10,0)</f>
        <v>0</v>
      </c>
      <c r="L185" s="560">
        <f>IF(VLOOKUP($C185,obal!$J$71:$M$86,L$3,FALSE)=$D185,obalR2LOB1AvgProdClinician10,0)</f>
        <v>0</v>
      </c>
      <c r="M185" s="560">
        <f>IF(VLOOKUP($C185,obal!$J$71:$M$86,M$3,FALSE)=$D185,obalR2LOB1AvgProdClinician10,0)</f>
        <v>0</v>
      </c>
      <c r="N185" s="131" t="s">
        <v>6004</v>
      </c>
    </row>
    <row r="186" spans="1:14" ht="12.75" customHeight="1">
      <c r="A186" s="461"/>
      <c r="B186" s="459"/>
      <c r="C186" s="170">
        <v>11</v>
      </c>
      <c r="D186" s="131" t="s">
        <v>554</v>
      </c>
      <c r="E186" s="560">
        <f>IF(VLOOKUP($C186,cbal!$D$71:$G$86,E$3,FALSE)=$D186,cbalLOB1AvgBaseProdClinician11,0)</f>
        <v>0</v>
      </c>
      <c r="F186" s="560">
        <f>IF(VLOOKUP($C186,cbal!$D$71:$G$86,F$3,FALSE)=$D186,cbalLOB1AvgBaseProdClinician11,0)</f>
        <v>0</v>
      </c>
      <c r="G186" s="560">
        <f>IF(VLOOKUP($C186,cbal!$D$71:$G$86,G$3,FALSE)=$D186,cbalLOB1AvgBaseProdClinician11,0)</f>
        <v>0</v>
      </c>
      <c r="H186" s="131" t="s">
        <v>1647</v>
      </c>
      <c r="J186" s="131" t="s">
        <v>554</v>
      </c>
      <c r="K186" s="560">
        <f>IF(VLOOKUP($C186,cbal!$J$71:$M$86,K$3,FALSE)=$D186,cbalR2LOB1AvgBaseProdClinician11,0)</f>
        <v>0</v>
      </c>
      <c r="L186" s="560">
        <f>IF(VLOOKUP($C186,cbal!$J$71:$M$86,L$3,FALSE)=$D186,cbalR2LOB1AvgBaseProdClinician11,0)</f>
        <v>0</v>
      </c>
      <c r="M186" s="560">
        <f>IF(VLOOKUP($C186,cbal!$J$71:$M$86,M$3,FALSE)=$D186,cbalR2LOB1AvgBaseProdClinician11,0)</f>
        <v>0</v>
      </c>
      <c r="N186" s="131" t="s">
        <v>6005</v>
      </c>
    </row>
    <row r="187" spans="1:14" ht="12.75" customHeight="1">
      <c r="A187" s="461"/>
      <c r="B187" s="459"/>
      <c r="C187" s="170">
        <v>12</v>
      </c>
      <c r="D187" s="131" t="s">
        <v>554</v>
      </c>
      <c r="E187" s="560">
        <f>IF(VLOOKUP($C187,cbal!$D$71:$G$86,E$3,FALSE)=$D187,cbalLOB1AvgBaseProdClinician12,0)</f>
        <v>0</v>
      </c>
      <c r="F187" s="560">
        <f>IF(VLOOKUP($C187,cbal!$D$71:$G$86,F$3,FALSE)=$D187,cbalLOB1AvgBaseProdClinician12,0)</f>
        <v>0</v>
      </c>
      <c r="G187" s="560">
        <f>IF(VLOOKUP($C187,cbal!$D$71:$G$86,G$3,FALSE)=$D187,cbalLOB1AvgBaseProdClinician12,0)</f>
        <v>0</v>
      </c>
      <c r="H187" s="131" t="s">
        <v>1648</v>
      </c>
      <c r="J187" s="131" t="s">
        <v>554</v>
      </c>
      <c r="K187" s="560">
        <f>IF(VLOOKUP($C187,cbal!$J$71:$M$86,K$3,FALSE)=$D187,cbalR2LOB1AvgBaseProdClinician12,0)</f>
        <v>0</v>
      </c>
      <c r="L187" s="560">
        <f>IF(VLOOKUP($C187,cbal!$J$71:$M$86,L$3,FALSE)=$D187,cbalR2LOB1AvgBaseProdClinician12,0)</f>
        <v>0</v>
      </c>
      <c r="M187" s="560">
        <f>IF(VLOOKUP($C187,cbal!$J$71:$M$86,M$3,FALSE)=$D187,cbalR2LOB1AvgBaseProdClinician12,0)</f>
        <v>0</v>
      </c>
      <c r="N187" s="131" t="s">
        <v>6006</v>
      </c>
    </row>
    <row r="188" spans="1:14" ht="12.75" customHeight="1">
      <c r="A188" s="461"/>
      <c r="B188" s="459"/>
      <c r="C188" s="571">
        <v>20</v>
      </c>
      <c r="D188" s="572" t="s">
        <v>554</v>
      </c>
      <c r="E188" s="747">
        <f>obalLOB1AvgProdClinician14</f>
        <v>201.5</v>
      </c>
      <c r="F188" s="747">
        <f>obalLOB1AvgProdClinician14</f>
        <v>280</v>
      </c>
      <c r="G188" s="747">
        <f>obalLOB1AvgProdClinician14</f>
        <v>150</v>
      </c>
      <c r="H188" s="131" t="s">
        <v>4035</v>
      </c>
      <c r="J188" s="572" t="s">
        <v>554</v>
      </c>
      <c r="K188" s="747">
        <f>obalR2LOB1AvgProdClinician14</f>
        <v>172.2825</v>
      </c>
      <c r="L188" s="747">
        <f>obalR2LOB1AvgProdClinician14</f>
        <v>272.78300000000002</v>
      </c>
      <c r="M188" s="747">
        <f>obalR2LOB1AvgProdClinician14</f>
        <v>141.57374999999999</v>
      </c>
      <c r="N188" s="131" t="s">
        <v>6007</v>
      </c>
    </row>
    <row r="189" spans="1:14" ht="1.5" customHeight="1">
      <c r="A189" s="461"/>
      <c r="B189" s="459"/>
      <c r="D189" s="449"/>
      <c r="E189" s="751"/>
      <c r="F189" s="751"/>
      <c r="G189" s="751"/>
      <c r="H189" s="131"/>
      <c r="J189" s="449"/>
      <c r="K189" s="450"/>
      <c r="L189" s="450"/>
      <c r="M189" s="450"/>
      <c r="N189" s="131"/>
    </row>
    <row r="190" spans="1:14" ht="12.75" customHeight="1">
      <c r="A190" s="461"/>
      <c r="B190" s="459"/>
      <c r="D190" s="131" t="s">
        <v>1587</v>
      </c>
      <c r="E190" s="448">
        <f>SUM(E163:E189)</f>
        <v>441.55208898535</v>
      </c>
      <c r="F190" s="448">
        <f t="shared" ref="F190:G190" si="51">SUM(F163:F189)</f>
        <v>669.05208898535</v>
      </c>
      <c r="G190" s="448">
        <f t="shared" si="51"/>
        <v>414.05208898535</v>
      </c>
      <c r="H190" s="131" t="s">
        <v>1649</v>
      </c>
      <c r="J190" s="131" t="s">
        <v>1587</v>
      </c>
      <c r="K190" s="448">
        <f>SUM(K163:K189)</f>
        <v>394.06458898534999</v>
      </c>
      <c r="L190" s="448">
        <f t="shared" ref="L190:M190" si="52">SUM(L163:L189)</f>
        <v>627.95577648535004</v>
      </c>
      <c r="M190" s="448">
        <f t="shared" si="52"/>
        <v>383.04221398534997</v>
      </c>
      <c r="N190" s="131" t="s">
        <v>6008</v>
      </c>
    </row>
    <row r="191" spans="1:14" ht="12.75" customHeight="1">
      <c r="A191" s="461"/>
      <c r="B191" s="459"/>
      <c r="E191" s="462"/>
      <c r="K191" s="462"/>
    </row>
    <row r="192" spans="1:14" ht="12.75" customHeight="1">
      <c r="A192" s="461"/>
      <c r="B192" s="459"/>
      <c r="C192" s="131" t="s">
        <v>1616</v>
      </c>
    </row>
    <row r="193" spans="1:17" ht="12.75" customHeight="1">
      <c r="A193" s="461"/>
      <c r="B193" s="459"/>
      <c r="C193" s="170">
        <v>1</v>
      </c>
      <c r="D193" s="131" t="s">
        <v>550</v>
      </c>
      <c r="E193" s="452">
        <f>calcLOB1Clinician1Disc1Emp1BaseProd/calcLOB1Emp1BaseProdCapacity</f>
        <v>6.1147938541166812E-2</v>
      </c>
      <c r="F193" s="452">
        <f>calcLOB1Clinician1Disc1Emp1BaseProd/calcLOB1Emp1BaseProdCapacity</f>
        <v>4.0355602268497229E-2</v>
      </c>
      <c r="G193" s="452">
        <f>calcLOB1Clinician1Disc1Emp1BaseProd/calcLOB1Emp1BaseProdCapacity</f>
        <v>6.5209186762381757E-2</v>
      </c>
      <c r="H193" s="131" t="s">
        <v>1650</v>
      </c>
      <c r="J193" s="131" t="s">
        <v>550</v>
      </c>
      <c r="K193" s="452">
        <f>calcR2LOB1Clinician1Disc1Emp1BaseProd/calcR2LOB1Emp1BaseProdCapacity</f>
        <v>6.8516686742953622E-2</v>
      </c>
      <c r="L193" s="452">
        <f>calcR2LOB1Clinician1Disc1Emp1BaseProd/calcR2LOB1Emp1BaseProdCapacity</f>
        <v>4.2996658381133465E-2</v>
      </c>
      <c r="M193" s="452">
        <f>calcR2LOB1Clinician1Disc1Emp1BaseProd/calcR2LOB1Emp1BaseProdCapacity</f>
        <v>7.0488314379450245E-2</v>
      </c>
      <c r="N193" s="131" t="s">
        <v>6009</v>
      </c>
      <c r="P193" s="452">
        <v>6.0667055987886333E-2</v>
      </c>
      <c r="Q193" s="452">
        <f>P193-E193</f>
        <v>-4.8088255328047891E-4</v>
      </c>
    </row>
    <row r="194" spans="1:17" ht="12.75" customHeight="1">
      <c r="A194" s="461"/>
      <c r="B194" s="459"/>
      <c r="C194" s="170">
        <v>2</v>
      </c>
      <c r="D194" s="131" t="s">
        <v>550</v>
      </c>
      <c r="E194" s="452">
        <f>calcLOB1Clinician2Disc1Emp1BaseProd/calcLOB1Emp1BaseProdCapacity</f>
        <v>5.4353723147703828E-2</v>
      </c>
      <c r="F194" s="452">
        <f>calcLOB1Clinician2Disc1Emp1BaseProd/calcLOB1Emp1BaseProdCapacity</f>
        <v>3.5871646460886426E-2</v>
      </c>
      <c r="G194" s="452">
        <f>calcLOB1Clinician2Disc1Emp1BaseProd/calcLOB1Emp1BaseProdCapacity</f>
        <v>5.7963721566561564E-2</v>
      </c>
      <c r="H194" s="131" t="s">
        <v>1651</v>
      </c>
      <c r="J194" s="131" t="s">
        <v>550</v>
      </c>
      <c r="K194" s="452">
        <f>calcR2LOB1Clinician2Disc1Emp1BaseProd/calcR2LOB1Emp1BaseProdCapacity</f>
        <v>6.0903721549292113E-2</v>
      </c>
      <c r="L194" s="452">
        <f>calcR2LOB1Clinician2Disc1Emp1BaseProd/calcR2LOB1Emp1BaseProdCapacity</f>
        <v>3.8219251894340861E-2</v>
      </c>
      <c r="M194" s="452">
        <f>calcR2LOB1Clinician2Disc1Emp1BaseProd/calcR2LOB1Emp1BaseProdCapacity</f>
        <v>6.2656279448400215E-2</v>
      </c>
      <c r="N194" s="131" t="s">
        <v>6010</v>
      </c>
      <c r="P194" s="452">
        <v>5.3926271989232298E-2</v>
      </c>
      <c r="Q194" s="452">
        <f t="shared" ref="Q194:Q248" si="53">P194-E194</f>
        <v>-4.2745115847152987E-4</v>
      </c>
    </row>
    <row r="195" spans="1:17" ht="12.75" customHeight="1">
      <c r="A195" s="461"/>
      <c r="B195" s="459"/>
      <c r="C195" s="170">
        <v>3</v>
      </c>
      <c r="D195" s="131" t="s">
        <v>550</v>
      </c>
      <c r="E195" s="452">
        <f>calcLOB1Clinician3Disc1Emp1BaseProd/calcLOB1Emp1BaseProdCapacity</f>
        <v>2.836882918674016E-2</v>
      </c>
      <c r="F195" s="452">
        <f>calcLOB1Clinician3Disc1Emp1BaseProd/calcLOB1Emp1BaseProdCapacity</f>
        <v>1.8722482144059145E-2</v>
      </c>
      <c r="G195" s="452">
        <f>calcLOB1Clinician3Disc1Emp1BaseProd/calcLOB1Emp1BaseProdCapacity</f>
        <v>3.025299502816152E-2</v>
      </c>
      <c r="H195" s="131" t="s">
        <v>1652</v>
      </c>
      <c r="J195" s="131" t="s">
        <v>550</v>
      </c>
      <c r="K195" s="452">
        <f>calcR2LOB1Clinician3Disc1Emp1BaseProd/calcR2LOB1Emp1BaseProdCapacity</f>
        <v>3.1787468703358607E-2</v>
      </c>
      <c r="L195" s="452">
        <f>calcR2LOB1Clinician3Disc1Emp1BaseProd/calcR2LOB1Emp1BaseProdCapacity</f>
        <v>1.9947767436081416E-2</v>
      </c>
      <c r="M195" s="452">
        <f>calcR2LOB1Clinician3Disc1Emp1BaseProd/calcR2LOB1Emp1BaseProdCapacity</f>
        <v>3.2702180940173797E-2</v>
      </c>
      <c r="N195" s="131" t="s">
        <v>6011</v>
      </c>
      <c r="P195" s="452">
        <v>2.8145729678590543E-2</v>
      </c>
      <c r="Q195" s="452">
        <f t="shared" si="53"/>
        <v>-2.2309950814961704E-4</v>
      </c>
    </row>
    <row r="196" spans="1:17" ht="12.75" customHeight="1">
      <c r="A196" s="461"/>
      <c r="B196" s="459"/>
      <c r="C196" s="170">
        <v>4</v>
      </c>
      <c r="D196" s="131" t="s">
        <v>550</v>
      </c>
      <c r="E196" s="452">
        <f>calcLOB1Clinician4Disc1Emp1BaseProd/calcLOB1Emp1BaseProdCapacity</f>
        <v>0</v>
      </c>
      <c r="F196" s="452">
        <f>calcLOB1Clinician4Disc1Emp1BaseProd/calcLOB1Emp1BaseProdCapacity</f>
        <v>0</v>
      </c>
      <c r="G196" s="452">
        <f>calcLOB1Clinician4Disc1Emp1BaseProd/calcLOB1Emp1BaseProdCapacity</f>
        <v>0</v>
      </c>
      <c r="H196" s="131" t="s">
        <v>1653</v>
      </c>
      <c r="J196" s="131" t="s">
        <v>550</v>
      </c>
      <c r="K196" s="452">
        <f>calcR2LOB1Clinician4Disc1Emp1BaseProd/calcR2LOB1Emp1BaseProdCapacity</f>
        <v>0</v>
      </c>
      <c r="L196" s="452">
        <f>calcR2LOB1Clinician4Disc1Emp1BaseProd/calcR2LOB1Emp1BaseProdCapacity</f>
        <v>0</v>
      </c>
      <c r="M196" s="452">
        <f>calcR2LOB1Clinician4Disc1Emp1BaseProd/calcR2LOB1Emp1BaseProdCapacity</f>
        <v>0</v>
      </c>
      <c r="N196" s="131" t="s">
        <v>6012</v>
      </c>
      <c r="P196" s="452">
        <v>0</v>
      </c>
      <c r="Q196" s="452">
        <f t="shared" si="53"/>
        <v>0</v>
      </c>
    </row>
    <row r="197" spans="1:17" ht="12.75" customHeight="1">
      <c r="A197" s="461"/>
      <c r="B197" s="459"/>
      <c r="C197" s="170">
        <v>5</v>
      </c>
      <c r="D197" s="131" t="s">
        <v>550</v>
      </c>
      <c r="E197" s="452">
        <f>calcLOB1Clinician5Disc1Emp1BaseProd/calcLOB1Emp1BaseProdCapacity</f>
        <v>0</v>
      </c>
      <c r="F197" s="452">
        <f>calcLOB1Clinician5Disc1Emp1BaseProd/calcLOB1Emp1BaseProdCapacity</f>
        <v>0</v>
      </c>
      <c r="G197" s="452">
        <f>calcLOB1Clinician5Disc1Emp1BaseProd/calcLOB1Emp1BaseProdCapacity</f>
        <v>0</v>
      </c>
      <c r="H197" s="131" t="s">
        <v>1654</v>
      </c>
      <c r="J197" s="131" t="s">
        <v>550</v>
      </c>
      <c r="K197" s="452">
        <f>calcR2LOB1Clinician5Disc1Emp1BaseProd/calcR2LOB1Emp1BaseProdCapacity</f>
        <v>0</v>
      </c>
      <c r="L197" s="452">
        <f>calcR2LOB1Clinician5Disc1Emp1BaseProd/calcR2LOB1Emp1BaseProdCapacity</f>
        <v>0</v>
      </c>
      <c r="M197" s="452">
        <f>calcR2LOB1Clinician5Disc1Emp1BaseProd/calcR2LOB1Emp1BaseProdCapacity</f>
        <v>0</v>
      </c>
      <c r="N197" s="131" t="s">
        <v>6013</v>
      </c>
      <c r="P197" s="452">
        <v>0</v>
      </c>
      <c r="Q197" s="452">
        <f t="shared" si="53"/>
        <v>0</v>
      </c>
    </row>
    <row r="198" spans="1:17" ht="12.75" customHeight="1">
      <c r="A198" s="461"/>
      <c r="B198" s="459"/>
      <c r="C198" s="170">
        <v>6</v>
      </c>
      <c r="D198" s="131" t="s">
        <v>550</v>
      </c>
      <c r="E198" s="452">
        <f>calcLOB1Clinician6Disc1Emp1BaseProd/calcLOB1Emp1BaseProdCapacity</f>
        <v>0</v>
      </c>
      <c r="F198" s="452">
        <f>calcLOB1Clinician6Disc1Emp1BaseProd/calcLOB1Emp1BaseProdCapacity</f>
        <v>0</v>
      </c>
      <c r="G198" s="452">
        <f>calcLOB1Clinician6Disc1Emp1BaseProd/calcLOB1Emp1BaseProdCapacity</f>
        <v>0</v>
      </c>
      <c r="H198" s="131" t="s">
        <v>1655</v>
      </c>
      <c r="J198" s="131" t="s">
        <v>550</v>
      </c>
      <c r="K198" s="452">
        <f>calcR2LOB1Clinician6Disc1Emp1BaseProd/calcR2LOB1Emp1BaseProdCapacity</f>
        <v>0</v>
      </c>
      <c r="L198" s="452">
        <f>calcR2LOB1Clinician6Disc1Emp1BaseProd/calcR2LOB1Emp1BaseProdCapacity</f>
        <v>0</v>
      </c>
      <c r="M198" s="452">
        <f>calcR2LOB1Clinician6Disc1Emp1BaseProd/calcR2LOB1Emp1BaseProdCapacity</f>
        <v>0</v>
      </c>
      <c r="N198" s="131" t="s">
        <v>6014</v>
      </c>
      <c r="P198" s="452">
        <v>0</v>
      </c>
      <c r="Q198" s="452">
        <f t="shared" si="53"/>
        <v>0</v>
      </c>
    </row>
    <row r="199" spans="1:17" ht="12.75" customHeight="1">
      <c r="A199" s="461"/>
      <c r="B199" s="459"/>
      <c r="C199" s="170">
        <v>7</v>
      </c>
      <c r="D199" s="131" t="s">
        <v>550</v>
      </c>
      <c r="E199" s="452">
        <f>calcLOB1Clinician7Disc1Emp1BaseProd/calcLOB1Emp1BaseProdCapacity</f>
        <v>0</v>
      </c>
      <c r="F199" s="452">
        <f>calcLOB1Clinician7Disc1Emp1BaseProd/calcLOB1Emp1BaseProdCapacity</f>
        <v>0</v>
      </c>
      <c r="G199" s="452">
        <f>calcLOB1Clinician7Disc1Emp1BaseProd/calcLOB1Emp1BaseProdCapacity</f>
        <v>0</v>
      </c>
      <c r="H199" s="131" t="s">
        <v>1656</v>
      </c>
      <c r="J199" s="131" t="s">
        <v>550</v>
      </c>
      <c r="K199" s="452">
        <f>calcR2LOB1Clinician7Disc1Emp1BaseProd/calcR2LOB1Emp1BaseProdCapacity</f>
        <v>0</v>
      </c>
      <c r="L199" s="452">
        <f>calcR2LOB1Clinician7Disc1Emp1BaseProd/calcR2LOB1Emp1BaseProdCapacity</f>
        <v>0</v>
      </c>
      <c r="M199" s="452">
        <f>calcR2LOB1Clinician7Disc1Emp1BaseProd/calcR2LOB1Emp1BaseProdCapacity</f>
        <v>0</v>
      </c>
      <c r="N199" s="131" t="s">
        <v>6015</v>
      </c>
      <c r="P199" s="452">
        <v>0</v>
      </c>
      <c r="Q199" s="452">
        <f t="shared" si="53"/>
        <v>0</v>
      </c>
    </row>
    <row r="200" spans="1:17" ht="12.75" customHeight="1">
      <c r="A200" s="461"/>
      <c r="B200" s="459"/>
      <c r="C200" s="170">
        <v>8</v>
      </c>
      <c r="D200" s="131" t="s">
        <v>550</v>
      </c>
      <c r="E200" s="452">
        <f>calcLOB1Clinician8Disc1Emp1BaseProd/calcLOB1Emp1BaseProdCapacity</f>
        <v>0</v>
      </c>
      <c r="F200" s="452">
        <f>calcLOB1Clinician8Disc1Emp1BaseProd/calcLOB1Emp1BaseProdCapacity</f>
        <v>0</v>
      </c>
      <c r="G200" s="452">
        <f>calcLOB1Clinician8Disc1Emp1BaseProd/calcLOB1Emp1BaseProdCapacity</f>
        <v>0</v>
      </c>
      <c r="H200" s="131" t="s">
        <v>1657</v>
      </c>
      <c r="J200" s="131" t="s">
        <v>550</v>
      </c>
      <c r="K200" s="452">
        <f>calcR2LOB1Clinician8Disc1Emp1BaseProd/calcR2LOB1Emp1BaseProdCapacity</f>
        <v>0</v>
      </c>
      <c r="L200" s="452">
        <f>calcR2LOB1Clinician8Disc1Emp1BaseProd/calcR2LOB1Emp1BaseProdCapacity</f>
        <v>0</v>
      </c>
      <c r="M200" s="452">
        <f>calcR2LOB1Clinician8Disc1Emp1BaseProd/calcR2LOB1Emp1BaseProdCapacity</f>
        <v>0</v>
      </c>
      <c r="N200" s="131" t="s">
        <v>6016</v>
      </c>
      <c r="P200" s="452">
        <v>0</v>
      </c>
      <c r="Q200" s="452">
        <f t="shared" si="53"/>
        <v>0</v>
      </c>
    </row>
    <row r="201" spans="1:17" ht="12.75" customHeight="1">
      <c r="A201" s="461"/>
      <c r="B201" s="459"/>
      <c r="C201" s="170">
        <v>9</v>
      </c>
      <c r="D201" s="131" t="s">
        <v>550</v>
      </c>
      <c r="E201" s="452">
        <f>calcLOB1Clinician9Disc1Emp1BaseProd/calcLOB1Emp1BaseProdCapacity</f>
        <v>0</v>
      </c>
      <c r="F201" s="452">
        <f>calcLOB1Clinician9Disc1Emp1BaseProd/calcLOB1Emp1BaseProdCapacity</f>
        <v>0</v>
      </c>
      <c r="G201" s="452">
        <f>calcLOB1Clinician9Disc1Emp1BaseProd/calcLOB1Emp1BaseProdCapacity</f>
        <v>0</v>
      </c>
      <c r="H201" s="131" t="s">
        <v>1658</v>
      </c>
      <c r="J201" s="131" t="s">
        <v>550</v>
      </c>
      <c r="K201" s="452">
        <f>calcR2LOB1Clinician9Disc1Emp1BaseProd/calcR2LOB1Emp1BaseProdCapacity</f>
        <v>0</v>
      </c>
      <c r="L201" s="452">
        <f>calcR2LOB1Clinician9Disc1Emp1BaseProd/calcR2LOB1Emp1BaseProdCapacity</f>
        <v>0</v>
      </c>
      <c r="M201" s="452">
        <f>calcR2LOB1Clinician9Disc1Emp1BaseProd/calcR2LOB1Emp1BaseProdCapacity</f>
        <v>0</v>
      </c>
      <c r="N201" s="131" t="s">
        <v>6017</v>
      </c>
      <c r="P201" s="452">
        <v>0</v>
      </c>
      <c r="Q201" s="452">
        <f t="shared" si="53"/>
        <v>0</v>
      </c>
    </row>
    <row r="202" spans="1:17" ht="12.75" customHeight="1">
      <c r="A202" s="461"/>
      <c r="B202" s="459"/>
      <c r="C202" s="170">
        <v>10</v>
      </c>
      <c r="D202" s="131" t="s">
        <v>550</v>
      </c>
      <c r="E202" s="452">
        <f>calcLOB1Clinician10Disc1Emp1BaseProd/calcLOB1Emp1BaseProdCapacity</f>
        <v>0</v>
      </c>
      <c r="F202" s="452">
        <f>calcLOB1Clinician10Disc1Emp1BaseProd/calcLOB1Emp1BaseProdCapacity</f>
        <v>0</v>
      </c>
      <c r="G202" s="452">
        <f>calcLOB1Clinician10Disc1Emp1BaseProd/calcLOB1Emp1BaseProdCapacity</f>
        <v>0</v>
      </c>
      <c r="H202" s="131" t="s">
        <v>1659</v>
      </c>
      <c r="J202" s="131" t="s">
        <v>550</v>
      </c>
      <c r="K202" s="452">
        <f>calcR2LOB1Clinician10Disc1Emp1BaseProd/calcR2LOB1Emp1BaseProdCapacity</f>
        <v>0</v>
      </c>
      <c r="L202" s="452">
        <f>calcR2LOB1Clinician10Disc1Emp1BaseProd/calcR2LOB1Emp1BaseProdCapacity</f>
        <v>0</v>
      </c>
      <c r="M202" s="452">
        <f>calcR2LOB1Clinician10Disc1Emp1BaseProd/calcR2LOB1Emp1BaseProdCapacity</f>
        <v>0</v>
      </c>
      <c r="N202" s="131" t="s">
        <v>6018</v>
      </c>
      <c r="P202" s="452">
        <v>0</v>
      </c>
      <c r="Q202" s="452">
        <f t="shared" si="53"/>
        <v>0</v>
      </c>
    </row>
    <row r="203" spans="1:17" ht="12.75" customHeight="1">
      <c r="A203" s="461"/>
      <c r="B203" s="459"/>
      <c r="C203" s="170">
        <v>11</v>
      </c>
      <c r="D203" s="131" t="s">
        <v>550</v>
      </c>
      <c r="E203" s="452">
        <f>calcLOB1Clinician11Disc1Emp1BaseProd/calcLOB1Emp1BaseProdCapacity</f>
        <v>0</v>
      </c>
      <c r="F203" s="452">
        <f>calcLOB1Clinician11Disc1Emp1BaseProd/calcLOB1Emp1BaseProdCapacity</f>
        <v>0</v>
      </c>
      <c r="G203" s="452">
        <f>calcLOB1Clinician11Disc1Emp1BaseProd/calcLOB1Emp1BaseProdCapacity</f>
        <v>0</v>
      </c>
      <c r="H203" s="131" t="s">
        <v>1660</v>
      </c>
      <c r="J203" s="131" t="s">
        <v>550</v>
      </c>
      <c r="K203" s="452">
        <f>calcR2LOB1Clinician11Disc1Emp1BaseProd/calcR2LOB1Emp1BaseProdCapacity</f>
        <v>0</v>
      </c>
      <c r="L203" s="452">
        <f>calcR2LOB1Clinician11Disc1Emp1BaseProd/calcR2LOB1Emp1BaseProdCapacity</f>
        <v>0</v>
      </c>
      <c r="M203" s="452">
        <f>calcR2LOB1Clinician11Disc1Emp1BaseProd/calcR2LOB1Emp1BaseProdCapacity</f>
        <v>0</v>
      </c>
      <c r="N203" s="131" t="s">
        <v>6019</v>
      </c>
      <c r="P203" s="452">
        <v>0</v>
      </c>
      <c r="Q203" s="452">
        <f t="shared" si="53"/>
        <v>0</v>
      </c>
    </row>
    <row r="204" spans="1:17" ht="12.75" customHeight="1">
      <c r="A204" s="461"/>
      <c r="B204" s="459"/>
      <c r="C204" s="170">
        <v>12</v>
      </c>
      <c r="D204" s="131" t="s">
        <v>550</v>
      </c>
      <c r="E204" s="452">
        <f>calcLOB1Clinician12Disc1Emp1BaseProd/calcLOB1Emp1BaseProdCapacity</f>
        <v>0</v>
      </c>
      <c r="F204" s="452">
        <f>calcLOB1Clinician12Disc1Emp1BaseProd/calcLOB1Emp1BaseProdCapacity</f>
        <v>0</v>
      </c>
      <c r="G204" s="452">
        <f>calcLOB1Clinician12Disc1Emp1BaseProd/calcLOB1Emp1BaseProdCapacity</f>
        <v>0</v>
      </c>
      <c r="H204" s="131" t="s">
        <v>1661</v>
      </c>
      <c r="J204" s="131" t="s">
        <v>550</v>
      </c>
      <c r="K204" s="452">
        <f>calcR2LOB1Clinician12Disc1Emp1BaseProd/calcR2LOB1Emp1BaseProdCapacity</f>
        <v>0</v>
      </c>
      <c r="L204" s="452">
        <f>calcR2LOB1Clinician12Disc1Emp1BaseProd/calcR2LOB1Emp1BaseProdCapacity</f>
        <v>0</v>
      </c>
      <c r="M204" s="452">
        <f>calcR2LOB1Clinician12Disc1Emp1BaseProd/calcR2LOB1Emp1BaseProdCapacity</f>
        <v>0</v>
      </c>
      <c r="N204" s="131" t="s">
        <v>6020</v>
      </c>
      <c r="P204" s="452">
        <v>0</v>
      </c>
      <c r="Q204" s="452">
        <f t="shared" si="53"/>
        <v>0</v>
      </c>
    </row>
    <row r="205" spans="1:17" ht="12.75" customHeight="1">
      <c r="A205" s="461"/>
      <c r="B205" s="459"/>
      <c r="D205" s="131" t="s">
        <v>550</v>
      </c>
      <c r="E205" s="452">
        <f>calcLOB1Clinician13Disc1Emp1BaseProd/calcLOB1Emp1BaseProdCapacity</f>
        <v>0.28535704652544513</v>
      </c>
      <c r="F205" s="452">
        <f>calcLOB1Clinician13Disc1Emp1BaseProd/calcLOB1Emp1BaseProdCapacity</f>
        <v>0.41102928236432362</v>
      </c>
      <c r="G205" s="452">
        <f>calcLOB1Clinician13Disc1Emp1BaseProd/calcLOB1Emp1BaseProdCapacity</f>
        <v>0.36227325979100977</v>
      </c>
      <c r="H205" s="131" t="s">
        <v>4036</v>
      </c>
      <c r="J205" s="131" t="s">
        <v>550</v>
      </c>
      <c r="K205" s="452">
        <f>calcR2LOB1Clinician13Disc1Emp1BaseProd/calcR2LOB1Emp1BaseProdCapacity</f>
        <v>0.27338158010438501</v>
      </c>
      <c r="L205" s="452">
        <f>calcR2LOB1Clinician13Disc1Emp1BaseProd/calcR2LOB1Emp1BaseProdCapacity</f>
        <v>0.38397717885413107</v>
      </c>
      <c r="M205" s="452">
        <f>calcR2LOB1Clinician13Disc1Emp1BaseProd/calcR2LOB1Emp1BaseProdCapacity</f>
        <v>0.33264316659592313</v>
      </c>
      <c r="N205" s="131" t="s">
        <v>6021</v>
      </c>
      <c r="P205" s="452">
        <v>0.32580455993494511</v>
      </c>
      <c r="Q205" s="452">
        <f t="shared" si="53"/>
        <v>4.044751340949998E-2</v>
      </c>
    </row>
    <row r="206" spans="1:17" ht="12.75" customHeight="1">
      <c r="A206" s="461"/>
      <c r="B206" s="459"/>
      <c r="C206" s="170">
        <v>1</v>
      </c>
      <c r="D206" s="131" t="s">
        <v>554</v>
      </c>
      <c r="E206" s="452">
        <f>calcLOB1Clinician1Disc2Emp1BaseProd/calcLOB1Emp1BaseProdCapacity</f>
        <v>0</v>
      </c>
      <c r="F206" s="452">
        <f>calcLOB1Clinician1Disc2Emp1BaseProd/calcLOB1Emp1BaseProdCapacity</f>
        <v>0</v>
      </c>
      <c r="G206" s="452">
        <f>calcLOB1Clinician1Disc2Emp1BaseProd/calcLOB1Emp1BaseProdCapacity</f>
        <v>0</v>
      </c>
      <c r="H206" s="131" t="s">
        <v>1662</v>
      </c>
      <c r="J206" s="131" t="s">
        <v>554</v>
      </c>
      <c r="K206" s="452">
        <f>calcR2LOB1Clinician1Disc2Emp1BaseProd/calcR2LOB1Emp1BaseProdCapacity</f>
        <v>0</v>
      </c>
      <c r="L206" s="452">
        <f>calcR2LOB1Clinician1Disc2Emp1BaseProd/calcR2LOB1Emp1BaseProdCapacity</f>
        <v>0</v>
      </c>
      <c r="M206" s="452">
        <f>calcR2LOB1Clinician1Disc2Emp1BaseProd/calcR2LOB1Emp1BaseProdCapacity</f>
        <v>0</v>
      </c>
      <c r="N206" s="131" t="s">
        <v>6022</v>
      </c>
      <c r="P206" s="452">
        <v>0</v>
      </c>
      <c r="Q206" s="452">
        <f t="shared" si="53"/>
        <v>0</v>
      </c>
    </row>
    <row r="207" spans="1:17" ht="12.75" customHeight="1">
      <c r="A207" s="461"/>
      <c r="B207" s="459"/>
      <c r="C207" s="170">
        <v>2</v>
      </c>
      <c r="D207" s="131" t="s">
        <v>554</v>
      </c>
      <c r="E207" s="452">
        <f>calcLOB1Clinician2Disc2Emp1BaseProd/calcLOB1Emp1BaseProdCapacity</f>
        <v>0</v>
      </c>
      <c r="F207" s="452">
        <f>calcLOB1Clinician2Disc2Emp1BaseProd/calcLOB1Emp1BaseProdCapacity</f>
        <v>0</v>
      </c>
      <c r="G207" s="452">
        <f>calcLOB1Clinician2Disc2Emp1BaseProd/calcLOB1Emp1BaseProdCapacity</f>
        <v>0</v>
      </c>
      <c r="H207" s="131" t="s">
        <v>1663</v>
      </c>
      <c r="J207" s="131" t="s">
        <v>554</v>
      </c>
      <c r="K207" s="452">
        <f>calcR2LOB1Clinician2Disc2Emp1BaseProd/calcR2LOB1Emp1BaseProdCapacity</f>
        <v>0</v>
      </c>
      <c r="L207" s="452">
        <f>calcR2LOB1Clinician2Disc2Emp1BaseProd/calcR2LOB1Emp1BaseProdCapacity</f>
        <v>0</v>
      </c>
      <c r="M207" s="452">
        <f>calcR2LOB1Clinician2Disc2Emp1BaseProd/calcR2LOB1Emp1BaseProdCapacity</f>
        <v>0</v>
      </c>
      <c r="N207" s="131" t="s">
        <v>6023</v>
      </c>
      <c r="P207" s="452">
        <v>0</v>
      </c>
      <c r="Q207" s="452">
        <f t="shared" si="53"/>
        <v>0</v>
      </c>
    </row>
    <row r="208" spans="1:17" ht="12.75" customHeight="1">
      <c r="A208" s="461"/>
      <c r="B208" s="459"/>
      <c r="C208" s="170">
        <v>3</v>
      </c>
      <c r="D208" s="131" t="s">
        <v>554</v>
      </c>
      <c r="E208" s="452">
        <f>calcLOB1Clinician3Disc2Emp1BaseProd/calcLOB1Emp1BaseProdCapacity</f>
        <v>0</v>
      </c>
      <c r="F208" s="452">
        <f>calcLOB1Clinician3Disc2Emp1BaseProd/calcLOB1Emp1BaseProdCapacity</f>
        <v>0</v>
      </c>
      <c r="G208" s="452">
        <f>calcLOB1Clinician3Disc2Emp1BaseProd/calcLOB1Emp1BaseProdCapacity</f>
        <v>0</v>
      </c>
      <c r="H208" s="131" t="s">
        <v>1664</v>
      </c>
      <c r="J208" s="131" t="s">
        <v>554</v>
      </c>
      <c r="K208" s="452">
        <f>calcR2LOB1Clinician3Disc2Emp1BaseProd/calcR2LOB1Emp1BaseProdCapacity</f>
        <v>0</v>
      </c>
      <c r="L208" s="452">
        <f>calcR2LOB1Clinician3Disc2Emp1BaseProd/calcR2LOB1Emp1BaseProdCapacity</f>
        <v>0</v>
      </c>
      <c r="M208" s="452">
        <f>calcR2LOB1Clinician3Disc2Emp1BaseProd/calcR2LOB1Emp1BaseProdCapacity</f>
        <v>0</v>
      </c>
      <c r="N208" s="131" t="s">
        <v>6024</v>
      </c>
      <c r="P208" s="452">
        <v>0</v>
      </c>
      <c r="Q208" s="452">
        <f t="shared" si="53"/>
        <v>0</v>
      </c>
    </row>
    <row r="209" spans="1:17" ht="12.75" customHeight="1">
      <c r="A209" s="461"/>
      <c r="B209" s="459"/>
      <c r="C209" s="170">
        <v>4</v>
      </c>
      <c r="D209" s="131" t="s">
        <v>554</v>
      </c>
      <c r="E209" s="452">
        <f>calcLOB1Clinician4Disc2Emp1BaseProd/calcLOB1Emp1BaseProdCapacity</f>
        <v>7.4736369328092772E-2</v>
      </c>
      <c r="F209" s="452">
        <f>calcLOB1Clinician4Disc2Emp1BaseProd/calcLOB1Emp1BaseProdCapacity</f>
        <v>4.9323513883718834E-2</v>
      </c>
      <c r="G209" s="452">
        <f>calcLOB1Clinician4Disc2Emp1BaseProd/calcLOB1Emp1BaseProdCapacity</f>
        <v>7.9700117154022157E-2</v>
      </c>
      <c r="H209" s="131" t="s">
        <v>1665</v>
      </c>
      <c r="J209" s="131" t="s">
        <v>554</v>
      </c>
      <c r="K209" s="452">
        <f>calcR2LOB1Clinician4Disc2Emp1BaseProd/calcR2LOB1Emp1BaseProdCapacity</f>
        <v>8.3742617130276656E-2</v>
      </c>
      <c r="L209" s="452">
        <f>calcR2LOB1Clinician4Disc2Emp1BaseProd/calcR2LOB1Emp1BaseProdCapacity</f>
        <v>5.255147135471868E-2</v>
      </c>
      <c r="M209" s="452">
        <f>calcR2LOB1Clinician4Disc2Emp1BaseProd/calcR2LOB1Emp1BaseProdCapacity</f>
        <v>8.6152384241550292E-2</v>
      </c>
      <c r="N209" s="131" t="s">
        <v>6025</v>
      </c>
      <c r="P209" s="452">
        <v>7.4148623985194409E-2</v>
      </c>
      <c r="Q209" s="452">
        <f t="shared" si="53"/>
        <v>-5.8774534289836311E-4</v>
      </c>
    </row>
    <row r="210" spans="1:17" ht="12.75" customHeight="1">
      <c r="A210" s="461"/>
      <c r="B210" s="459"/>
      <c r="C210" s="170">
        <v>5</v>
      </c>
      <c r="D210" s="131" t="s">
        <v>554</v>
      </c>
      <c r="E210" s="452">
        <f>calcLOB1Clinician5Disc2Emp1BaseProd/calcLOB1Emp1BaseProdCapacity</f>
        <v>3.9691292676587851E-2</v>
      </c>
      <c r="F210" s="452">
        <f>calcLOB1Clinician5Disc2Emp1BaseProd/calcLOB1Emp1BaseProdCapacity</f>
        <v>2.6194930834839748E-2</v>
      </c>
      <c r="G210" s="452">
        <f>calcLOB1Clinician5Disc2Emp1BaseProd/calcLOB1Emp1BaseProdCapacity</f>
        <v>4.2327459906853382E-2</v>
      </c>
      <c r="H210" s="131" t="s">
        <v>1666</v>
      </c>
      <c r="J210" s="131" t="s">
        <v>554</v>
      </c>
      <c r="K210" s="452">
        <f>calcR2LOB1Clinician5Disc2Emp1BaseProd/calcR2LOB1Emp1BaseProdCapacity</f>
        <v>4.4474367110737371E-2</v>
      </c>
      <c r="L210" s="452">
        <f>calcR2LOB1Clinician5Disc2Emp1BaseProd/calcR2LOB1Emp1BaseProdCapacity</f>
        <v>2.7909247517345134E-2</v>
      </c>
      <c r="M210" s="452">
        <f>calcR2LOB1Clinician5Disc2Emp1BaseProd/calcR2LOB1Emp1BaseProdCapacity</f>
        <v>4.5754155954587789E-2</v>
      </c>
      <c r="N210" s="131" t="s">
        <v>6026</v>
      </c>
      <c r="P210" s="452">
        <v>3.9379150507600907E-2</v>
      </c>
      <c r="Q210" s="452">
        <f t="shared" si="53"/>
        <v>-3.1214216898694386E-4</v>
      </c>
    </row>
    <row r="211" spans="1:17" ht="12.75" customHeight="1">
      <c r="A211" s="461"/>
      <c r="B211" s="459"/>
      <c r="C211" s="170">
        <v>6</v>
      </c>
      <c r="D211" s="131" t="s">
        <v>554</v>
      </c>
      <c r="E211" s="452">
        <f>calcLOB1Clinician6Disc2Emp1BaseProd/calcLOB1Emp1BaseProdCapacity</f>
        <v>0</v>
      </c>
      <c r="F211" s="452">
        <f>calcLOB1Clinician6Disc2Emp1BaseProd/calcLOB1Emp1BaseProdCapacity</f>
        <v>0</v>
      </c>
      <c r="G211" s="452">
        <f>calcLOB1Clinician6Disc2Emp1BaseProd/calcLOB1Emp1BaseProdCapacity</f>
        <v>0</v>
      </c>
      <c r="H211" s="131" t="s">
        <v>1667</v>
      </c>
      <c r="J211" s="131" t="s">
        <v>554</v>
      </c>
      <c r="K211" s="452">
        <f>calcR2LOB1Clinician6Disc2Emp1BaseProd/calcR2LOB1Emp1BaseProdCapacity</f>
        <v>0</v>
      </c>
      <c r="L211" s="452">
        <f>calcR2LOB1Clinician6Disc2Emp1BaseProd/calcR2LOB1Emp1BaseProdCapacity</f>
        <v>0</v>
      </c>
      <c r="M211" s="452">
        <f>calcR2LOB1Clinician6Disc2Emp1BaseProd/calcR2LOB1Emp1BaseProdCapacity</f>
        <v>0</v>
      </c>
      <c r="N211" s="131" t="s">
        <v>6027</v>
      </c>
      <c r="P211" s="452">
        <v>0</v>
      </c>
      <c r="Q211" s="452">
        <f t="shared" si="53"/>
        <v>0</v>
      </c>
    </row>
    <row r="212" spans="1:17" ht="12.75" customHeight="1">
      <c r="A212" s="461"/>
      <c r="B212" s="459"/>
      <c r="C212" s="170">
        <v>7</v>
      </c>
      <c r="D212" s="131" t="s">
        <v>554</v>
      </c>
      <c r="E212" s="452">
        <f>calcLOB1Clinician7Disc2Emp1BaseProd/calcLOB1Emp1BaseProdCapacity</f>
        <v>0</v>
      </c>
      <c r="F212" s="452">
        <f>calcLOB1Clinician7Disc2Emp1BaseProd/calcLOB1Emp1BaseProdCapacity</f>
        <v>0</v>
      </c>
      <c r="G212" s="452">
        <f>calcLOB1Clinician7Disc2Emp1BaseProd/calcLOB1Emp1BaseProdCapacity</f>
        <v>0</v>
      </c>
      <c r="H212" s="131" t="s">
        <v>1668</v>
      </c>
      <c r="J212" s="131" t="s">
        <v>554</v>
      </c>
      <c r="K212" s="452">
        <f>calcR2LOB1Clinician7Disc2Emp1BaseProd/calcR2LOB1Emp1BaseProdCapacity</f>
        <v>0</v>
      </c>
      <c r="L212" s="452">
        <f>calcR2LOB1Clinician7Disc2Emp1BaseProd/calcR2LOB1Emp1BaseProdCapacity</f>
        <v>0</v>
      </c>
      <c r="M212" s="452">
        <f>calcR2LOB1Clinician7Disc2Emp1BaseProd/calcR2LOB1Emp1BaseProdCapacity</f>
        <v>0</v>
      </c>
      <c r="N212" s="131" t="s">
        <v>6028</v>
      </c>
      <c r="P212" s="452">
        <v>0</v>
      </c>
      <c r="Q212" s="452">
        <f t="shared" si="53"/>
        <v>0</v>
      </c>
    </row>
    <row r="213" spans="1:17" ht="12.75" customHeight="1">
      <c r="A213" s="461"/>
      <c r="B213" s="459"/>
      <c r="C213" s="170">
        <v>8</v>
      </c>
      <c r="D213" s="131" t="s">
        <v>554</v>
      </c>
      <c r="E213" s="452">
        <f>calcLOB1Clinician8Disc2Emp1BaseProd/calcLOB1Emp1BaseProdCapacity</f>
        <v>0</v>
      </c>
      <c r="F213" s="452">
        <f>calcLOB1Clinician8Disc2Emp1BaseProd/calcLOB1Emp1BaseProdCapacity</f>
        <v>0</v>
      </c>
      <c r="G213" s="452">
        <f>calcLOB1Clinician8Disc2Emp1BaseProd/calcLOB1Emp1BaseProdCapacity</f>
        <v>0</v>
      </c>
      <c r="H213" s="131" t="s">
        <v>1669</v>
      </c>
      <c r="J213" s="131" t="s">
        <v>554</v>
      </c>
      <c r="K213" s="452">
        <f>calcR2LOB1Clinician8Disc2Emp1BaseProd/calcR2LOB1Emp1BaseProdCapacity</f>
        <v>0</v>
      </c>
      <c r="L213" s="452">
        <f>calcR2LOB1Clinician8Disc2Emp1BaseProd/calcR2LOB1Emp1BaseProdCapacity</f>
        <v>0</v>
      </c>
      <c r="M213" s="452">
        <f>calcR2LOB1Clinician8Disc2Emp1BaseProd/calcR2LOB1Emp1BaseProdCapacity</f>
        <v>0</v>
      </c>
      <c r="N213" s="131" t="s">
        <v>6029</v>
      </c>
      <c r="P213" s="452">
        <v>0</v>
      </c>
      <c r="Q213" s="452">
        <f t="shared" si="53"/>
        <v>0</v>
      </c>
    </row>
    <row r="214" spans="1:17" ht="12.75" customHeight="1">
      <c r="A214" s="461"/>
      <c r="B214" s="459"/>
      <c r="C214" s="170">
        <v>9</v>
      </c>
      <c r="D214" s="131" t="s">
        <v>554</v>
      </c>
      <c r="E214" s="452">
        <f>calcLOB1Clinician9Disc2Emp1BaseProd/calcLOB1Emp1BaseProdCapacity</f>
        <v>0</v>
      </c>
      <c r="F214" s="452">
        <f>calcLOB1Clinician9Disc2Emp1BaseProd/calcLOB1Emp1BaseProdCapacity</f>
        <v>0</v>
      </c>
      <c r="G214" s="452">
        <f>calcLOB1Clinician9Disc2Emp1BaseProd/calcLOB1Emp1BaseProdCapacity</f>
        <v>0</v>
      </c>
      <c r="H214" s="131" t="s">
        <v>1670</v>
      </c>
      <c r="J214" s="131" t="s">
        <v>554</v>
      </c>
      <c r="K214" s="452">
        <f>calcR2LOB1Clinician9Disc2Emp1BaseProd/calcR2LOB1Emp1BaseProdCapacity</f>
        <v>0</v>
      </c>
      <c r="L214" s="452">
        <f>calcR2LOB1Clinician9Disc2Emp1BaseProd/calcR2LOB1Emp1BaseProdCapacity</f>
        <v>0</v>
      </c>
      <c r="M214" s="452">
        <f>calcR2LOB1Clinician9Disc2Emp1BaseProd/calcR2LOB1Emp1BaseProdCapacity</f>
        <v>0</v>
      </c>
      <c r="N214" s="131" t="s">
        <v>6030</v>
      </c>
      <c r="P214" s="452">
        <v>0</v>
      </c>
      <c r="Q214" s="452">
        <f t="shared" si="53"/>
        <v>0</v>
      </c>
    </row>
    <row r="215" spans="1:17" ht="12.75" customHeight="1">
      <c r="A215" s="461"/>
      <c r="B215" s="459"/>
      <c r="C215" s="170">
        <v>10</v>
      </c>
      <c r="D215" s="131" t="s">
        <v>554</v>
      </c>
      <c r="E215" s="452">
        <f>calcLOB1Clinician10Disc2Emp1BaseProd/calcLOB1Emp1BaseProdCapacity</f>
        <v>0</v>
      </c>
      <c r="F215" s="452">
        <f>calcLOB1Clinician10Disc2Emp1BaseProd/calcLOB1Emp1BaseProdCapacity</f>
        <v>0</v>
      </c>
      <c r="G215" s="452">
        <f>calcLOB1Clinician10Disc2Emp1BaseProd/calcLOB1Emp1BaseProdCapacity</f>
        <v>0</v>
      </c>
      <c r="H215" s="131" t="s">
        <v>1671</v>
      </c>
      <c r="J215" s="131" t="s">
        <v>554</v>
      </c>
      <c r="K215" s="452">
        <f>calcR2LOB1Clinician10Disc2Emp1BaseProd/calcR2LOB1Emp1BaseProdCapacity</f>
        <v>0</v>
      </c>
      <c r="L215" s="452">
        <f>calcR2LOB1Clinician10Disc2Emp1BaseProd/calcR2LOB1Emp1BaseProdCapacity</f>
        <v>0</v>
      </c>
      <c r="M215" s="452">
        <f>calcR2LOB1Clinician10Disc2Emp1BaseProd/calcR2LOB1Emp1BaseProdCapacity</f>
        <v>0</v>
      </c>
      <c r="N215" s="131" t="s">
        <v>6031</v>
      </c>
      <c r="P215" s="452">
        <v>0</v>
      </c>
      <c r="Q215" s="452">
        <f t="shared" si="53"/>
        <v>0</v>
      </c>
    </row>
    <row r="216" spans="1:17" ht="12.75" customHeight="1">
      <c r="A216" s="461"/>
      <c r="B216" s="459"/>
      <c r="C216" s="170">
        <v>11</v>
      </c>
      <c r="D216" s="131" t="s">
        <v>554</v>
      </c>
      <c r="E216" s="452">
        <f>calcLOB1Clinician11Disc2Emp1BaseProd/calcLOB1Emp1BaseProdCapacity</f>
        <v>0</v>
      </c>
      <c r="F216" s="452">
        <f>calcLOB1Clinician11Disc2Emp1BaseProd/calcLOB1Emp1BaseProdCapacity</f>
        <v>0</v>
      </c>
      <c r="G216" s="452">
        <f>calcLOB1Clinician11Disc2Emp1BaseProd/calcLOB1Emp1BaseProdCapacity</f>
        <v>0</v>
      </c>
      <c r="H216" s="131" t="s">
        <v>1672</v>
      </c>
      <c r="J216" s="131" t="s">
        <v>554</v>
      </c>
      <c r="K216" s="452">
        <f>calcR2LOB1Clinician11Disc2Emp1BaseProd/calcR2LOB1Emp1BaseProdCapacity</f>
        <v>0</v>
      </c>
      <c r="L216" s="452">
        <f>calcR2LOB1Clinician11Disc2Emp1BaseProd/calcR2LOB1Emp1BaseProdCapacity</f>
        <v>0</v>
      </c>
      <c r="M216" s="452">
        <f>calcR2LOB1Clinician11Disc2Emp1BaseProd/calcR2LOB1Emp1BaseProdCapacity</f>
        <v>0</v>
      </c>
      <c r="N216" s="131" t="s">
        <v>6032</v>
      </c>
      <c r="P216" s="452">
        <v>0</v>
      </c>
      <c r="Q216" s="452">
        <f t="shared" si="53"/>
        <v>0</v>
      </c>
    </row>
    <row r="217" spans="1:17" ht="12.75" customHeight="1">
      <c r="A217" s="461"/>
      <c r="B217" s="459"/>
      <c r="C217" s="170">
        <v>12</v>
      </c>
      <c r="D217" s="131" t="s">
        <v>554</v>
      </c>
      <c r="E217" s="452">
        <f>calcLOB1Clinician12Disc2Emp1BaseProd/calcLOB1Emp1BaseProdCapacity</f>
        <v>0</v>
      </c>
      <c r="F217" s="452">
        <f>calcLOB1Clinician12Disc2Emp1BaseProd/calcLOB1Emp1BaseProdCapacity</f>
        <v>0</v>
      </c>
      <c r="G217" s="452">
        <f>calcLOB1Clinician12Disc2Emp1BaseProd/calcLOB1Emp1BaseProdCapacity</f>
        <v>0</v>
      </c>
      <c r="H217" s="131" t="s">
        <v>1673</v>
      </c>
      <c r="J217" s="131" t="s">
        <v>554</v>
      </c>
      <c r="K217" s="452">
        <f>calcR2LOB1Clinician12Disc2Emp1BaseProd/calcR2LOB1Emp1BaseProdCapacity</f>
        <v>0</v>
      </c>
      <c r="L217" s="452">
        <f>calcR2LOB1Clinician12Disc2Emp1BaseProd/calcR2LOB1Emp1BaseProdCapacity</f>
        <v>0</v>
      </c>
      <c r="M217" s="452">
        <f>calcR2LOB1Clinician12Disc2Emp1BaseProd/calcR2LOB1Emp1BaseProdCapacity</f>
        <v>0</v>
      </c>
      <c r="N217" s="131" t="s">
        <v>6033</v>
      </c>
      <c r="P217" s="452">
        <v>0</v>
      </c>
      <c r="Q217" s="452">
        <f t="shared" si="53"/>
        <v>0</v>
      </c>
    </row>
    <row r="218" spans="1:17" ht="12.75" customHeight="1">
      <c r="A218" s="461"/>
      <c r="B218" s="459"/>
      <c r="D218" s="131" t="s">
        <v>554</v>
      </c>
      <c r="E218" s="452">
        <f>calcLOB1Clinician14Disc2Emp1BaseProd/calcLOB1Emp1BaseProdCapacity</f>
        <v>0.45634480059426341</v>
      </c>
      <c r="F218" s="452">
        <f>calcLOB1Clinician14Disc2Emp1BaseProd/calcLOB1Emp1BaseProdCapacity</f>
        <v>0.41850254204367499</v>
      </c>
      <c r="G218" s="452">
        <f>calcLOB1Clinician14Disc2Emp1BaseProd/calcLOB1Emp1BaseProdCapacity</f>
        <v>0.36227325979100977</v>
      </c>
      <c r="H218" s="131" t="s">
        <v>4037</v>
      </c>
      <c r="J218" s="131" t="s">
        <v>554</v>
      </c>
      <c r="K218" s="452">
        <f>calcR2LOB1Clinician14Disc2Emp1BaseProd/calcR2LOB1Emp1BaseProdCapacity</f>
        <v>0.43719355865899662</v>
      </c>
      <c r="L218" s="452">
        <f>calcR2LOB1Clinician14Disc2Emp1BaseProd/calcR2LOB1Emp1BaseProdCapacity</f>
        <v>0.43439842456224931</v>
      </c>
      <c r="M218" s="452">
        <f>calcR2LOB1Clinician14Disc2Emp1BaseProd/calcR2LOB1Emp1BaseProdCapacity</f>
        <v>0.36960351843991451</v>
      </c>
      <c r="N218" s="131" t="s">
        <v>6034</v>
      </c>
      <c r="P218" s="452">
        <v>0.41792860791655029</v>
      </c>
      <c r="Q218" s="452">
        <f t="shared" si="53"/>
        <v>-3.8416192677713124E-2</v>
      </c>
    </row>
    <row r="219" spans="1:17" ht="12.75" customHeight="1">
      <c r="A219" s="461"/>
      <c r="B219" s="459"/>
      <c r="Q219" s="170">
        <f t="shared" si="53"/>
        <v>0</v>
      </c>
    </row>
    <row r="220" spans="1:17" ht="12.75" customHeight="1">
      <c r="A220" s="461"/>
      <c r="B220" s="459"/>
      <c r="C220" s="131" t="s">
        <v>3589</v>
      </c>
      <c r="Q220" s="170">
        <f t="shared" si="53"/>
        <v>0</v>
      </c>
    </row>
    <row r="221" spans="1:17" ht="12.75" customHeight="1">
      <c r="A221" s="461"/>
      <c r="B221" s="459"/>
      <c r="C221" s="170">
        <v>1</v>
      </c>
      <c r="D221" s="131" t="s">
        <v>550</v>
      </c>
      <c r="E221" s="453">
        <f>calcLOB1Emp1Visits/paramWorkWeeksPYear*calcLOB1Clinician1Disc1Emp1AllowPerc</f>
        <v>27.131340330715716</v>
      </c>
      <c r="F221" s="453">
        <f>calcLOB1Emp1Visits/paramWorkWeeksPYear*calcLOB1Clinician1Disc1Emp1AllowPerc</f>
        <v>24.491815016750966</v>
      </c>
      <c r="G221" s="453">
        <f>calcLOB1Emp1Visits/paramWorkWeeksPYear*calcLOB1Clinician1Disc1Emp1AllowPerc</f>
        <v>21.284278559241407</v>
      </c>
      <c r="H221" s="131" t="s">
        <v>3688</v>
      </c>
      <c r="J221" s="131" t="s">
        <v>550</v>
      </c>
      <c r="K221" s="724">
        <f>calcR2LOB1Emp1Visits/paramR2WorkWeeksPYear*calcR2LOB1Clinician1Disc1Emp1AllowPerc</f>
        <v>30.866767377700608</v>
      </c>
      <c r="L221" s="724">
        <f>calcR2LOB1Emp1Visits/paramR2WorkWeeksPYear*calcR2LOB1Clinician1Disc1Emp1AllowPerc</f>
        <v>26.0946719715099</v>
      </c>
      <c r="M221" s="724">
        <f>calcR2LOB1Emp1Visits/paramR2WorkWeeksPYear*calcR2LOB1Clinician1Disc1Emp1AllowPerc</f>
        <v>23.007385813452562</v>
      </c>
      <c r="N221" s="131" t="s">
        <v>6035</v>
      </c>
      <c r="P221" s="453">
        <v>29.573673117694895</v>
      </c>
      <c r="Q221" s="453">
        <f t="shared" si="53"/>
        <v>2.4423327869791791</v>
      </c>
    </row>
    <row r="222" spans="1:17" ht="12.75" customHeight="1">
      <c r="A222" s="461"/>
      <c r="B222" s="459"/>
      <c r="C222" s="170">
        <v>2</v>
      </c>
      <c r="D222" s="131" t="s">
        <v>550</v>
      </c>
      <c r="E222" s="453">
        <f>calcLOB1Emp1Visits/paramWorkWeeksPYear*calcLOB1Clinician2Disc1Emp1AllowPerc</f>
        <v>24.116746960636192</v>
      </c>
      <c r="F222" s="453">
        <f>calcLOB1Emp1Visits/paramWorkWeeksPYear*calcLOB1Clinician2Disc1Emp1AllowPerc</f>
        <v>21.77050223711197</v>
      </c>
      <c r="G222" s="453">
        <f>calcLOB1Emp1Visits/paramWorkWeeksPYear*calcLOB1Clinician2Disc1Emp1AllowPerc</f>
        <v>18.919358719325697</v>
      </c>
      <c r="H222" s="131" t="s">
        <v>3689</v>
      </c>
      <c r="J222" s="131" t="s">
        <v>550</v>
      </c>
      <c r="K222" s="453">
        <f>calcR2LOB1Emp1Visits/paramR2WorkWeeksPYear*calcR2LOB1Clinician2Disc1Emp1AllowPerc</f>
        <v>27.437126557956098</v>
      </c>
      <c r="L222" s="453">
        <f>calcR2LOB1Emp1Visits/paramR2WorkWeeksPYear*calcR2LOB1Clinician2Disc1Emp1AllowPerc</f>
        <v>23.195263974675466</v>
      </c>
      <c r="M222" s="453">
        <f>calcR2LOB1Emp1Visits/paramR2WorkWeeksPYear*calcR2LOB1Clinician2Disc1Emp1AllowPerc</f>
        <v>20.451009611957833</v>
      </c>
      <c r="N222" s="131" t="s">
        <v>6036</v>
      </c>
      <c r="P222" s="453">
        <v>26.287709437951019</v>
      </c>
      <c r="Q222" s="453">
        <f t="shared" si="53"/>
        <v>2.1709624773148271</v>
      </c>
    </row>
    <row r="223" spans="1:17" ht="12.75" customHeight="1">
      <c r="A223" s="461"/>
      <c r="B223" s="459"/>
      <c r="C223" s="170">
        <v>3</v>
      </c>
      <c r="D223" s="131" t="s">
        <v>550</v>
      </c>
      <c r="E223" s="453">
        <f>calcLOB1Emp1Visits/paramWorkWeeksPYear*calcLOB1Clinician3Disc1Emp1AllowPerc</f>
        <v>12.58724951015661</v>
      </c>
      <c r="F223" s="453">
        <f>calcLOB1Emp1Visits/paramWorkWeeksPYear*calcLOB1Clinician3Disc1Emp1AllowPerc</f>
        <v>11.362674413229495</v>
      </c>
      <c r="G223" s="453">
        <f>calcLOB1Emp1Visits/paramWorkWeeksPYear*calcLOB1Clinician3Disc1Emp1AllowPerc</f>
        <v>9.8745775771919213</v>
      </c>
      <c r="H223" s="131" t="s">
        <v>3690</v>
      </c>
      <c r="J223" s="131" t="s">
        <v>550</v>
      </c>
      <c r="K223" s="453">
        <f>calcR2LOB1Emp1Visits/paramR2WorkWeeksPYear*calcR2LOB1Clinician3Disc1Emp1AllowPerc</f>
        <v>14.320254650863053</v>
      </c>
      <c r="L223" s="453">
        <f>calcR2LOB1Emp1Visits/paramR2WorkWeeksPYear*calcR2LOB1Clinician3Disc1Emp1AllowPerc</f>
        <v>12.10630005695781</v>
      </c>
      <c r="M223" s="453">
        <f>calcR2LOB1Emp1Visits/paramR2WorkWeeksPYear*calcR2LOB1Clinician3Disc1Emp1AllowPerc</f>
        <v>10.673991858872728</v>
      </c>
      <c r="N223" s="131" t="s">
        <v>6037</v>
      </c>
      <c r="P223" s="453">
        <v>13.720339575070927</v>
      </c>
      <c r="Q223" s="453">
        <f t="shared" si="53"/>
        <v>1.1330900649143167</v>
      </c>
    </row>
    <row r="224" spans="1:17" ht="12.75" customHeight="1">
      <c r="A224" s="461"/>
      <c r="B224" s="459"/>
      <c r="C224" s="170">
        <v>4</v>
      </c>
      <c r="D224" s="131" t="s">
        <v>550</v>
      </c>
      <c r="E224" s="453">
        <f>calcLOB1Emp1Visits/paramWorkWeeksPYear*calcLOB1Clinician4Disc1Emp1AllowPerc</f>
        <v>0</v>
      </c>
      <c r="F224" s="453">
        <f>calcLOB1Emp1Visits/paramWorkWeeksPYear*calcLOB1Clinician4Disc1Emp1AllowPerc</f>
        <v>0</v>
      </c>
      <c r="G224" s="453">
        <f>calcLOB1Emp1Visits/paramWorkWeeksPYear*calcLOB1Clinician4Disc1Emp1AllowPerc</f>
        <v>0</v>
      </c>
      <c r="H224" s="131" t="s">
        <v>3691</v>
      </c>
      <c r="J224" s="131" t="s">
        <v>550</v>
      </c>
      <c r="K224" s="453">
        <f>calcR2LOB1Emp1Visits/paramR2WorkWeeksPYear*calcR2LOB1Clinician4Disc1Emp1AllowPerc</f>
        <v>0</v>
      </c>
      <c r="L224" s="453">
        <f>calcR2LOB1Emp1Visits/paramR2WorkWeeksPYear*calcR2LOB1Clinician4Disc1Emp1AllowPerc</f>
        <v>0</v>
      </c>
      <c r="M224" s="453">
        <f>calcR2LOB1Emp1Visits/paramR2WorkWeeksPYear*calcR2LOB1Clinician4Disc1Emp1AllowPerc</f>
        <v>0</v>
      </c>
      <c r="N224" s="131" t="s">
        <v>6038</v>
      </c>
      <c r="P224" s="453">
        <v>0</v>
      </c>
      <c r="Q224" s="453">
        <f t="shared" si="53"/>
        <v>0</v>
      </c>
    </row>
    <row r="225" spans="1:17" ht="12.75" customHeight="1">
      <c r="A225" s="461"/>
      <c r="B225" s="459"/>
      <c r="C225" s="170">
        <v>5</v>
      </c>
      <c r="D225" s="131" t="s">
        <v>550</v>
      </c>
      <c r="E225" s="453">
        <f>calcLOB1Emp1Visits/paramWorkWeeksPYear*calcLOB1Clinician5Disc1Emp1AllowPerc</f>
        <v>0</v>
      </c>
      <c r="F225" s="453">
        <f>calcLOB1Emp1Visits/paramWorkWeeksPYear*calcLOB1Clinician5Disc1Emp1AllowPerc</f>
        <v>0</v>
      </c>
      <c r="G225" s="453">
        <f>calcLOB1Emp1Visits/paramWorkWeeksPYear*calcLOB1Clinician5Disc1Emp1AllowPerc</f>
        <v>0</v>
      </c>
      <c r="H225" s="131" t="s">
        <v>3692</v>
      </c>
      <c r="J225" s="131" t="s">
        <v>550</v>
      </c>
      <c r="K225" s="453">
        <f>calcR2LOB1Emp1Visits/paramR2WorkWeeksPYear*calcR2LOB1Clinician5Disc1Emp1AllowPerc</f>
        <v>0</v>
      </c>
      <c r="L225" s="453">
        <f>calcR2LOB1Emp1Visits/paramR2WorkWeeksPYear*calcR2LOB1Clinician5Disc1Emp1AllowPerc</f>
        <v>0</v>
      </c>
      <c r="M225" s="453">
        <f>calcR2LOB1Emp1Visits/paramR2WorkWeeksPYear*calcR2LOB1Clinician5Disc1Emp1AllowPerc</f>
        <v>0</v>
      </c>
      <c r="N225" s="131" t="s">
        <v>6039</v>
      </c>
      <c r="P225" s="453">
        <v>0</v>
      </c>
      <c r="Q225" s="453">
        <f t="shared" si="53"/>
        <v>0</v>
      </c>
    </row>
    <row r="226" spans="1:17" ht="12.75" customHeight="1">
      <c r="A226" s="461"/>
      <c r="B226" s="459"/>
      <c r="C226" s="170">
        <v>6</v>
      </c>
      <c r="D226" s="131" t="s">
        <v>550</v>
      </c>
      <c r="E226" s="453">
        <f>calcLOB1Emp1Visits/paramWorkWeeksPYear*calcLOB1Clinician6Disc1Emp1AllowPerc</f>
        <v>0</v>
      </c>
      <c r="F226" s="453">
        <f>calcLOB1Emp1Visits/paramWorkWeeksPYear*calcLOB1Clinician6Disc1Emp1AllowPerc</f>
        <v>0</v>
      </c>
      <c r="G226" s="453">
        <f>calcLOB1Emp1Visits/paramWorkWeeksPYear*calcLOB1Clinician6Disc1Emp1AllowPerc</f>
        <v>0</v>
      </c>
      <c r="H226" s="131" t="s">
        <v>3693</v>
      </c>
      <c r="J226" s="131" t="s">
        <v>550</v>
      </c>
      <c r="K226" s="453">
        <f>calcR2LOB1Emp1Visits/paramR2WorkWeeksPYear*calcR2LOB1Clinician6Disc1Emp1AllowPerc</f>
        <v>0</v>
      </c>
      <c r="L226" s="453">
        <f>calcR2LOB1Emp1Visits/paramR2WorkWeeksPYear*calcR2LOB1Clinician6Disc1Emp1AllowPerc</f>
        <v>0</v>
      </c>
      <c r="M226" s="453">
        <f>calcR2LOB1Emp1Visits/paramR2WorkWeeksPYear*calcR2LOB1Clinician6Disc1Emp1AllowPerc</f>
        <v>0</v>
      </c>
      <c r="N226" s="131" t="s">
        <v>6040</v>
      </c>
      <c r="P226" s="453">
        <v>0</v>
      </c>
      <c r="Q226" s="453">
        <f t="shared" si="53"/>
        <v>0</v>
      </c>
    </row>
    <row r="227" spans="1:17" ht="12.75" customHeight="1">
      <c r="A227" s="461"/>
      <c r="B227" s="459"/>
      <c r="C227" s="170">
        <v>7</v>
      </c>
      <c r="D227" s="131" t="s">
        <v>550</v>
      </c>
      <c r="E227" s="453">
        <f>calcLOB1Emp1Visits/paramWorkWeeksPYear*calcLOB1Clinician7Disc1Emp1AllowPerc</f>
        <v>0</v>
      </c>
      <c r="F227" s="453">
        <f>calcLOB1Emp1Visits/paramWorkWeeksPYear*calcLOB1Clinician7Disc1Emp1AllowPerc</f>
        <v>0</v>
      </c>
      <c r="G227" s="453">
        <f>calcLOB1Emp1Visits/paramWorkWeeksPYear*calcLOB1Clinician7Disc1Emp1AllowPerc</f>
        <v>0</v>
      </c>
      <c r="H227" s="131" t="s">
        <v>3694</v>
      </c>
      <c r="J227" s="131" t="s">
        <v>550</v>
      </c>
      <c r="K227" s="453">
        <f>calcR2LOB1Emp1Visits/paramR2WorkWeeksPYear*calcR2LOB1Clinician7Disc1Emp1AllowPerc</f>
        <v>0</v>
      </c>
      <c r="L227" s="453">
        <f>calcR2LOB1Emp1Visits/paramR2WorkWeeksPYear*calcR2LOB1Clinician7Disc1Emp1AllowPerc</f>
        <v>0</v>
      </c>
      <c r="M227" s="453">
        <f>calcR2LOB1Emp1Visits/paramR2WorkWeeksPYear*calcR2LOB1Clinician7Disc1Emp1AllowPerc</f>
        <v>0</v>
      </c>
      <c r="N227" s="131" t="s">
        <v>6041</v>
      </c>
      <c r="P227" s="453">
        <v>0</v>
      </c>
      <c r="Q227" s="453">
        <f t="shared" si="53"/>
        <v>0</v>
      </c>
    </row>
    <row r="228" spans="1:17" ht="12.75" customHeight="1">
      <c r="A228" s="461"/>
      <c r="B228" s="459"/>
      <c r="C228" s="170">
        <v>8</v>
      </c>
      <c r="D228" s="131" t="s">
        <v>550</v>
      </c>
      <c r="E228" s="453">
        <f>calcLOB1Emp1Visits/paramWorkWeeksPYear*calcLOB1Clinician8Disc1Emp1AllowPerc</f>
        <v>0</v>
      </c>
      <c r="F228" s="453">
        <f>calcLOB1Emp1Visits/paramWorkWeeksPYear*calcLOB1Clinician8Disc1Emp1AllowPerc</f>
        <v>0</v>
      </c>
      <c r="G228" s="453">
        <f>calcLOB1Emp1Visits/paramWorkWeeksPYear*calcLOB1Clinician8Disc1Emp1AllowPerc</f>
        <v>0</v>
      </c>
      <c r="H228" s="131" t="s">
        <v>3695</v>
      </c>
      <c r="J228" s="131" t="s">
        <v>550</v>
      </c>
      <c r="K228" s="453">
        <f>calcR2LOB1Emp1Visits/paramR2WorkWeeksPYear*calcR2LOB1Clinician8Disc1Emp1AllowPerc</f>
        <v>0</v>
      </c>
      <c r="L228" s="453">
        <f>calcR2LOB1Emp1Visits/paramR2WorkWeeksPYear*calcR2LOB1Clinician8Disc1Emp1AllowPerc</f>
        <v>0</v>
      </c>
      <c r="M228" s="453">
        <f>calcR2LOB1Emp1Visits/paramR2WorkWeeksPYear*calcR2LOB1Clinician8Disc1Emp1AllowPerc</f>
        <v>0</v>
      </c>
      <c r="N228" s="131" t="s">
        <v>6042</v>
      </c>
      <c r="P228" s="453">
        <v>0</v>
      </c>
      <c r="Q228" s="453">
        <f t="shared" si="53"/>
        <v>0</v>
      </c>
    </row>
    <row r="229" spans="1:17" ht="12.75" customHeight="1">
      <c r="A229" s="461"/>
      <c r="B229" s="459"/>
      <c r="C229" s="170">
        <v>9</v>
      </c>
      <c r="D229" s="131" t="s">
        <v>550</v>
      </c>
      <c r="E229" s="453">
        <f>calcLOB1Emp1Visits/paramWorkWeeksPYear*calcLOB1Clinician9Disc1Emp1AllowPerc</f>
        <v>0</v>
      </c>
      <c r="F229" s="453">
        <f>calcLOB1Emp1Visits/paramWorkWeeksPYear*calcLOB1Clinician9Disc1Emp1AllowPerc</f>
        <v>0</v>
      </c>
      <c r="G229" s="453">
        <f>calcLOB1Emp1Visits/paramWorkWeeksPYear*calcLOB1Clinician9Disc1Emp1AllowPerc</f>
        <v>0</v>
      </c>
      <c r="H229" s="131" t="s">
        <v>3696</v>
      </c>
      <c r="J229" s="131" t="s">
        <v>550</v>
      </c>
      <c r="K229" s="453">
        <f>calcR2LOB1Emp1Visits/paramR2WorkWeeksPYear*calcR2LOB1Clinician9Disc1Emp1AllowPerc</f>
        <v>0</v>
      </c>
      <c r="L229" s="453">
        <f>calcR2LOB1Emp1Visits/paramR2WorkWeeksPYear*calcR2LOB1Clinician9Disc1Emp1AllowPerc</f>
        <v>0</v>
      </c>
      <c r="M229" s="453">
        <f>calcR2LOB1Emp1Visits/paramR2WorkWeeksPYear*calcR2LOB1Clinician9Disc1Emp1AllowPerc</f>
        <v>0</v>
      </c>
      <c r="N229" s="131" t="s">
        <v>6043</v>
      </c>
      <c r="P229" s="453">
        <v>0</v>
      </c>
      <c r="Q229" s="453">
        <f t="shared" si="53"/>
        <v>0</v>
      </c>
    </row>
    <row r="230" spans="1:17" ht="12.75" customHeight="1">
      <c r="A230" s="461"/>
      <c r="B230" s="459"/>
      <c r="C230" s="170">
        <v>10</v>
      </c>
      <c r="D230" s="131" t="s">
        <v>550</v>
      </c>
      <c r="E230" s="453">
        <f>calcLOB1Emp1Visits/paramWorkWeeksPYear*calcLOB1Clinician10Disc1Emp1AllowPerc</f>
        <v>0</v>
      </c>
      <c r="F230" s="453">
        <f>calcLOB1Emp1Visits/paramWorkWeeksPYear*calcLOB1Clinician10Disc1Emp1AllowPerc</f>
        <v>0</v>
      </c>
      <c r="G230" s="453">
        <f>calcLOB1Emp1Visits/paramWorkWeeksPYear*calcLOB1Clinician10Disc1Emp1AllowPerc</f>
        <v>0</v>
      </c>
      <c r="H230" s="131" t="s">
        <v>3697</v>
      </c>
      <c r="J230" s="131" t="s">
        <v>550</v>
      </c>
      <c r="K230" s="453">
        <f>calcR2LOB1Emp1Visits/paramR2WorkWeeksPYear*calcR2LOB1Clinician10Disc1Emp1AllowPerc</f>
        <v>0</v>
      </c>
      <c r="L230" s="453">
        <f>calcR2LOB1Emp1Visits/paramR2WorkWeeksPYear*calcR2LOB1Clinician10Disc1Emp1AllowPerc</f>
        <v>0</v>
      </c>
      <c r="M230" s="453">
        <f>calcR2LOB1Emp1Visits/paramR2WorkWeeksPYear*calcR2LOB1Clinician10Disc1Emp1AllowPerc</f>
        <v>0</v>
      </c>
      <c r="N230" s="131" t="s">
        <v>6044</v>
      </c>
      <c r="P230" s="453">
        <v>0</v>
      </c>
      <c r="Q230" s="453">
        <f t="shared" si="53"/>
        <v>0</v>
      </c>
    </row>
    <row r="231" spans="1:17" ht="12.75" customHeight="1">
      <c r="A231" s="461"/>
      <c r="B231" s="459"/>
      <c r="C231" s="170">
        <v>11</v>
      </c>
      <c r="D231" s="131" t="s">
        <v>550</v>
      </c>
      <c r="E231" s="453">
        <f>calcLOB1Emp1Visits/paramWorkWeeksPYear*calcLOB1Clinician11Disc1Emp1AllowPerc</f>
        <v>0</v>
      </c>
      <c r="F231" s="453">
        <f>calcLOB1Emp1Visits/paramWorkWeeksPYear*calcLOB1Clinician11Disc1Emp1AllowPerc</f>
        <v>0</v>
      </c>
      <c r="G231" s="453">
        <f>calcLOB1Emp1Visits/paramWorkWeeksPYear*calcLOB1Clinician11Disc1Emp1AllowPerc</f>
        <v>0</v>
      </c>
      <c r="H231" s="131" t="s">
        <v>3698</v>
      </c>
      <c r="J231" s="131" t="s">
        <v>550</v>
      </c>
      <c r="K231" s="453">
        <f>calcR2LOB1Emp1Visits/paramR2WorkWeeksPYear*calcR2LOB1Clinician11Disc1Emp1AllowPerc</f>
        <v>0</v>
      </c>
      <c r="L231" s="453">
        <f>calcR2LOB1Emp1Visits/paramR2WorkWeeksPYear*calcR2LOB1Clinician11Disc1Emp1AllowPerc</f>
        <v>0</v>
      </c>
      <c r="M231" s="453">
        <f>calcR2LOB1Emp1Visits/paramR2WorkWeeksPYear*calcR2LOB1Clinician11Disc1Emp1AllowPerc</f>
        <v>0</v>
      </c>
      <c r="N231" s="131" t="s">
        <v>6045</v>
      </c>
      <c r="P231" s="453">
        <v>0</v>
      </c>
      <c r="Q231" s="453">
        <f t="shared" si="53"/>
        <v>0</v>
      </c>
    </row>
    <row r="232" spans="1:17" ht="12.75" customHeight="1">
      <c r="A232" s="461"/>
      <c r="B232" s="459"/>
      <c r="C232" s="170">
        <v>12</v>
      </c>
      <c r="D232" s="131" t="s">
        <v>550</v>
      </c>
      <c r="E232" s="453">
        <f>calcLOB1Emp1Visits/paramWorkWeeksPYear*calcLOB1Clinician12Disc1Emp1AllowPerc</f>
        <v>0</v>
      </c>
      <c r="F232" s="453">
        <f>calcLOB1Emp1Visits/paramWorkWeeksPYear*calcLOB1Clinician12Disc1Emp1AllowPerc</f>
        <v>0</v>
      </c>
      <c r="G232" s="453">
        <f>calcLOB1Emp1Visits/paramWorkWeeksPYear*calcLOB1Clinician12Disc1Emp1AllowPerc</f>
        <v>0</v>
      </c>
      <c r="H232" s="131" t="s">
        <v>3699</v>
      </c>
      <c r="J232" s="131" t="s">
        <v>550</v>
      </c>
      <c r="K232" s="453">
        <f>calcR2LOB1Emp1Visits/paramR2WorkWeeksPYear*calcR2LOB1Clinician12Disc1Emp1AllowPerc</f>
        <v>0</v>
      </c>
      <c r="L232" s="453">
        <f>calcR2LOB1Emp1Visits/paramR2WorkWeeksPYear*calcR2LOB1Clinician12Disc1Emp1AllowPerc</f>
        <v>0</v>
      </c>
      <c r="M232" s="453">
        <f>calcR2LOB1Emp1Visits/paramR2WorkWeeksPYear*calcR2LOB1Clinician12Disc1Emp1AllowPerc</f>
        <v>0</v>
      </c>
      <c r="N232" s="131" t="s">
        <v>6046</v>
      </c>
      <c r="P232" s="453">
        <v>0</v>
      </c>
      <c r="Q232" s="453">
        <f t="shared" si="53"/>
        <v>0</v>
      </c>
    </row>
    <row r="233" spans="1:17" ht="12.75" customHeight="1">
      <c r="A233" s="461"/>
      <c r="B233" s="459"/>
      <c r="D233" s="131" t="s">
        <v>550</v>
      </c>
      <c r="E233" s="453">
        <f>calcLOB1Emp1Visits/paramWorkWeeksPYear*calcLOB1Clinician13Disc1Emp1AllowPerc</f>
        <v>126.61292154334002</v>
      </c>
      <c r="F233" s="453">
        <f>calcLOB1Emp1Visits/paramWorkWeeksPYear*calcLOB1Clinician13Disc1Emp1AllowPerc</f>
        <v>249.45367146690799</v>
      </c>
      <c r="G233" s="453">
        <f>calcLOB1Emp1Visits/paramWorkWeeksPYear*calcLOB1Clinician13Disc1Emp1AllowPerc</f>
        <v>118.2459919957856</v>
      </c>
      <c r="H233" s="131" t="s">
        <v>4038</v>
      </c>
      <c r="J233" s="131" t="s">
        <v>550</v>
      </c>
      <c r="K233" s="453">
        <f>calcR2LOB1Emp1Visits/paramR2WorkWeeksPYear*calcR2LOB1Clinician13Disc1Emp1AllowPerc</f>
        <v>123.15840183702545</v>
      </c>
      <c r="L233" s="453">
        <f>calcR2LOB1Emp1Visits/paramR2WorkWeeksPYear*calcR2LOB1Clinician13Disc1Emp1AllowPerc</f>
        <v>233.03574984657214</v>
      </c>
      <c r="M233" s="453">
        <f>calcR2LOB1Emp1Visits/paramR2WorkWeeksPYear*calcR2LOB1Clinician13Disc1Emp1AllowPerc</f>
        <v>108.57472957690932</v>
      </c>
      <c r="N233" s="131" t="s">
        <v>6047</v>
      </c>
      <c r="P233" s="453">
        <v>158.8215778542874</v>
      </c>
      <c r="Q233" s="453">
        <f t="shared" si="53"/>
        <v>32.208656310947376</v>
      </c>
    </row>
    <row r="234" spans="1:17" ht="12.75" customHeight="1">
      <c r="A234" s="461"/>
      <c r="B234" s="459"/>
      <c r="C234" s="170">
        <v>1</v>
      </c>
      <c r="D234" s="131" t="s">
        <v>554</v>
      </c>
      <c r="E234" s="453">
        <f>calcLOB1Emp1Visits/paramWorkWeeksPYear*calcLOB1Clinician1Disc2Emp1AllowPerc</f>
        <v>0</v>
      </c>
      <c r="F234" s="453">
        <f>calcLOB1Emp1Visits/paramWorkWeeksPYear*calcLOB1Clinician1Disc2Emp1AllowPerc</f>
        <v>0</v>
      </c>
      <c r="G234" s="453">
        <f>calcLOB1Emp1Visits/paramWorkWeeksPYear*calcLOB1Clinician1Disc2Emp1AllowPerc</f>
        <v>0</v>
      </c>
      <c r="H234" s="131" t="s">
        <v>3700</v>
      </c>
      <c r="J234" s="131" t="s">
        <v>554</v>
      </c>
      <c r="K234" s="453">
        <f>calcR2LOB1Emp1Visits/paramR2WorkWeeksPYear*calcR2LOB1Clinician1Disc2Emp1AllowPerc</f>
        <v>0</v>
      </c>
      <c r="L234" s="453">
        <f>calcR2LOB1Emp1Visits/paramR2WorkWeeksPYear*calcR2LOB1Clinician1Disc2Emp1AllowPerc</f>
        <v>0</v>
      </c>
      <c r="M234" s="453">
        <f>calcR2LOB1Emp1Visits/paramR2WorkWeeksPYear*calcR2LOB1Clinician1Disc2Emp1AllowPerc</f>
        <v>0</v>
      </c>
      <c r="N234" s="131" t="s">
        <v>6048</v>
      </c>
      <c r="P234" s="453">
        <v>0</v>
      </c>
      <c r="Q234" s="453">
        <f t="shared" si="53"/>
        <v>0</v>
      </c>
    </row>
    <row r="235" spans="1:17" ht="12.75" customHeight="1">
      <c r="A235" s="461"/>
      <c r="B235" s="459"/>
      <c r="C235" s="170">
        <v>2</v>
      </c>
      <c r="D235" s="131" t="s">
        <v>554</v>
      </c>
      <c r="E235" s="453">
        <f>calcLOB1Emp1Visits/paramWorkWeeksPYear*calcLOB1Clinician2Disc2Emp1AllowPerc</f>
        <v>0</v>
      </c>
      <c r="F235" s="453">
        <f>calcLOB1Emp1Visits/paramWorkWeeksPYear*calcLOB1Clinician2Disc2Emp1AllowPerc</f>
        <v>0</v>
      </c>
      <c r="G235" s="453">
        <f>calcLOB1Emp1Visits/paramWorkWeeksPYear*calcLOB1Clinician2Disc2Emp1AllowPerc</f>
        <v>0</v>
      </c>
      <c r="H235" s="131" t="s">
        <v>3701</v>
      </c>
      <c r="J235" s="131" t="s">
        <v>554</v>
      </c>
      <c r="K235" s="453">
        <f>calcR2LOB1Emp1Visits/paramR2WorkWeeksPYear*calcR2LOB1Clinician2Disc2Emp1AllowPerc</f>
        <v>0</v>
      </c>
      <c r="L235" s="453">
        <f>calcR2LOB1Emp1Visits/paramR2WorkWeeksPYear*calcR2LOB1Clinician2Disc2Emp1AllowPerc</f>
        <v>0</v>
      </c>
      <c r="M235" s="453">
        <f>calcR2LOB1Emp1Visits/paramR2WorkWeeksPYear*calcR2LOB1Clinician2Disc2Emp1AllowPerc</f>
        <v>0</v>
      </c>
      <c r="N235" s="131" t="s">
        <v>6049</v>
      </c>
      <c r="P235" s="453">
        <v>0</v>
      </c>
      <c r="Q235" s="453">
        <f t="shared" si="53"/>
        <v>0</v>
      </c>
    </row>
    <row r="236" spans="1:17" ht="12.75" customHeight="1">
      <c r="A236" s="461"/>
      <c r="B236" s="459"/>
      <c r="C236" s="170">
        <v>3</v>
      </c>
      <c r="D236" s="131" t="s">
        <v>554</v>
      </c>
      <c r="E236" s="453">
        <f>calcLOB1Emp1Visits/paramWorkWeeksPYear*calcLOB1Clinician3Disc2Emp1AllowPerc</f>
        <v>0</v>
      </c>
      <c r="F236" s="453">
        <f>calcLOB1Emp1Visits/paramWorkWeeksPYear*calcLOB1Clinician3Disc2Emp1AllowPerc</f>
        <v>0</v>
      </c>
      <c r="G236" s="453">
        <f>calcLOB1Emp1Visits/paramWorkWeeksPYear*calcLOB1Clinician3Disc2Emp1AllowPerc</f>
        <v>0</v>
      </c>
      <c r="H236" s="131" t="s">
        <v>3702</v>
      </c>
      <c r="J236" s="131" t="s">
        <v>554</v>
      </c>
      <c r="K236" s="453">
        <f>calcR2LOB1Emp1Visits/paramR2WorkWeeksPYear*calcR2LOB1Clinician3Disc2Emp1AllowPerc</f>
        <v>0</v>
      </c>
      <c r="L236" s="453">
        <f>calcR2LOB1Emp1Visits/paramR2WorkWeeksPYear*calcR2LOB1Clinician3Disc2Emp1AllowPerc</f>
        <v>0</v>
      </c>
      <c r="M236" s="453">
        <f>calcR2LOB1Emp1Visits/paramR2WorkWeeksPYear*calcR2LOB1Clinician3Disc2Emp1AllowPerc</f>
        <v>0</v>
      </c>
      <c r="N236" s="131" t="s">
        <v>6050</v>
      </c>
      <c r="P236" s="453">
        <v>0</v>
      </c>
      <c r="Q236" s="453">
        <f t="shared" si="53"/>
        <v>0</v>
      </c>
    </row>
    <row r="237" spans="1:17" ht="12.75" customHeight="1">
      <c r="A237" s="461"/>
      <c r="B237" s="459"/>
      <c r="C237" s="170">
        <v>4</v>
      </c>
      <c r="D237" s="131" t="s">
        <v>554</v>
      </c>
      <c r="E237" s="453">
        <f>calcLOB1Emp1Visits/paramWorkWeeksPYear*calcLOB1Clinician4Disc2Emp1AllowPerc</f>
        <v>33.160527070874764</v>
      </c>
      <c r="F237" s="453">
        <f>calcLOB1Emp1Visits/paramWorkWeeksPYear*calcLOB1Clinician4Disc2Emp1AllowPerc</f>
        <v>29.934440576028958</v>
      </c>
      <c r="G237" s="453">
        <f>calcLOB1Emp1Visits/paramWorkWeeksPYear*calcLOB1Clinician4Disc2Emp1AllowPerc</f>
        <v>26.014118239072836</v>
      </c>
      <c r="H237" s="131" t="s">
        <v>3703</v>
      </c>
      <c r="J237" s="131" t="s">
        <v>554</v>
      </c>
      <c r="K237" s="453">
        <f>calcR2LOB1Emp1Visits/paramR2WorkWeeksPYear*calcR2LOB1Clinician4Disc2Emp1AllowPerc</f>
        <v>37.726049017189631</v>
      </c>
      <c r="L237" s="453">
        <f>calcR2LOB1Emp1Visits/paramR2WorkWeeksPYear*calcR2LOB1Clinician4Disc2Emp1AllowPerc</f>
        <v>31.893487965178767</v>
      </c>
      <c r="M237" s="453">
        <f>calcR2LOB1Emp1Visits/paramR2WorkWeeksPYear*calcR2LOB1Clinician4Disc2Emp1AllowPerc</f>
        <v>28.120138216442019</v>
      </c>
      <c r="N237" s="131" t="s">
        <v>6051</v>
      </c>
      <c r="P237" s="453">
        <v>36.145600477182647</v>
      </c>
      <c r="Q237" s="453">
        <f t="shared" si="53"/>
        <v>2.9850734063078832</v>
      </c>
    </row>
    <row r="238" spans="1:17" ht="12.75" customHeight="1">
      <c r="A238" s="461"/>
      <c r="B238" s="459"/>
      <c r="C238" s="170">
        <v>5</v>
      </c>
      <c r="D238" s="131" t="s">
        <v>554</v>
      </c>
      <c r="E238" s="453">
        <f>calcLOB1Emp1Visits/paramWorkWeeksPYear*calcLOB1Clinician5Disc2Emp1AllowPerc</f>
        <v>17.611026560602031</v>
      </c>
      <c r="F238" s="453">
        <f>calcLOB1Emp1Visits/paramWorkWeeksPYear*calcLOB1Clinician5Disc2Emp1AllowPerc</f>
        <v>15.897703523664243</v>
      </c>
      <c r="G238" s="453">
        <f>calcLOB1Emp1Visits/paramWorkWeeksPYear*calcLOB1Clinician5Disc2Emp1AllowPerc</f>
        <v>13.815682913596945</v>
      </c>
      <c r="H238" s="131" t="s">
        <v>3704</v>
      </c>
      <c r="J238" s="131" t="s">
        <v>554</v>
      </c>
      <c r="K238" s="453">
        <f>calcR2LOB1Emp1Visits/paramR2WorkWeeksPYear*calcR2LOB1Clinician5Disc2Emp1AllowPerc</f>
        <v>20.035702383387186</v>
      </c>
      <c r="L238" s="453">
        <f>calcR2LOB1Emp1Visits/paramR2WorkWeeksPYear*calcR2LOB1Clinician5Disc2Emp1AllowPerc</f>
        <v>16.938122318276761</v>
      </c>
      <c r="M238" s="453">
        <f>calcR2LOB1Emp1Visits/paramR2WorkWeeksPYear*calcR2LOB1Clinician5Disc2Emp1AllowPerc</f>
        <v>14.934156503577455</v>
      </c>
      <c r="N238" s="131" t="s">
        <v>6052</v>
      </c>
      <c r="P238" s="453">
        <v>19.196351393692755</v>
      </c>
      <c r="Q238" s="453">
        <f t="shared" si="53"/>
        <v>1.5853248330907235</v>
      </c>
    </row>
    <row r="239" spans="1:17" ht="12.75" customHeight="1">
      <c r="A239" s="461"/>
      <c r="B239" s="459"/>
      <c r="C239" s="170">
        <v>6</v>
      </c>
      <c r="D239" s="131" t="s">
        <v>554</v>
      </c>
      <c r="E239" s="453">
        <f>calcLOB1Emp1Visits/paramWorkWeeksPYear*calcLOB1Clinician6Disc2Emp1AllowPerc</f>
        <v>0</v>
      </c>
      <c r="F239" s="453">
        <f>calcLOB1Emp1Visits/paramWorkWeeksPYear*calcLOB1Clinician6Disc2Emp1AllowPerc</f>
        <v>0</v>
      </c>
      <c r="G239" s="453">
        <f>calcLOB1Emp1Visits/paramWorkWeeksPYear*calcLOB1Clinician6Disc2Emp1AllowPerc</f>
        <v>0</v>
      </c>
      <c r="H239" s="131" t="s">
        <v>3705</v>
      </c>
      <c r="J239" s="131" t="s">
        <v>554</v>
      </c>
      <c r="K239" s="453">
        <f>calcR2LOB1Emp1Visits/paramR2WorkWeeksPYear*calcR2LOB1Clinician6Disc2Emp1AllowPerc</f>
        <v>0</v>
      </c>
      <c r="L239" s="453">
        <f>calcR2LOB1Emp1Visits/paramR2WorkWeeksPYear*calcR2LOB1Clinician6Disc2Emp1AllowPerc</f>
        <v>0</v>
      </c>
      <c r="M239" s="453">
        <f>calcR2LOB1Emp1Visits/paramR2WorkWeeksPYear*calcR2LOB1Clinician6Disc2Emp1AllowPerc</f>
        <v>0</v>
      </c>
      <c r="N239" s="131" t="s">
        <v>6053</v>
      </c>
      <c r="P239" s="453">
        <v>0</v>
      </c>
      <c r="Q239" s="453">
        <f t="shared" si="53"/>
        <v>0</v>
      </c>
    </row>
    <row r="240" spans="1:17" ht="12.75" customHeight="1">
      <c r="A240" s="461"/>
      <c r="B240" s="459"/>
      <c r="C240" s="170">
        <v>7</v>
      </c>
      <c r="D240" s="131" t="s">
        <v>554</v>
      </c>
      <c r="E240" s="453">
        <f>calcLOB1Emp1Visits/paramWorkWeeksPYear*calcLOB1Clinician7Disc2Emp1AllowPerc</f>
        <v>0</v>
      </c>
      <c r="F240" s="453">
        <f>calcLOB1Emp1Visits/paramWorkWeeksPYear*calcLOB1Clinician7Disc2Emp1AllowPerc</f>
        <v>0</v>
      </c>
      <c r="G240" s="453">
        <f>calcLOB1Emp1Visits/paramWorkWeeksPYear*calcLOB1Clinician7Disc2Emp1AllowPerc</f>
        <v>0</v>
      </c>
      <c r="H240" s="131" t="s">
        <v>3706</v>
      </c>
      <c r="J240" s="131" t="s">
        <v>554</v>
      </c>
      <c r="K240" s="453">
        <f>calcR2LOB1Emp1Visits/paramR2WorkWeeksPYear*calcR2LOB1Clinician7Disc2Emp1AllowPerc</f>
        <v>0</v>
      </c>
      <c r="L240" s="453">
        <f>calcR2LOB1Emp1Visits/paramR2WorkWeeksPYear*calcR2LOB1Clinician7Disc2Emp1AllowPerc</f>
        <v>0</v>
      </c>
      <c r="M240" s="453">
        <f>calcR2LOB1Emp1Visits/paramR2WorkWeeksPYear*calcR2LOB1Clinician7Disc2Emp1AllowPerc</f>
        <v>0</v>
      </c>
      <c r="N240" s="131" t="s">
        <v>6054</v>
      </c>
      <c r="P240" s="453">
        <v>0</v>
      </c>
      <c r="Q240" s="453">
        <f t="shared" si="53"/>
        <v>0</v>
      </c>
    </row>
    <row r="241" spans="1:17" ht="12.75" customHeight="1">
      <c r="A241" s="461"/>
      <c r="B241" s="459"/>
      <c r="C241" s="170">
        <v>8</v>
      </c>
      <c r="D241" s="131" t="s">
        <v>554</v>
      </c>
      <c r="E241" s="453">
        <f>calcLOB1Emp1Visits/paramWorkWeeksPYear*calcLOB1Clinician8Disc2Emp1AllowPerc</f>
        <v>0</v>
      </c>
      <c r="F241" s="453">
        <f>calcLOB1Emp1Visits/paramWorkWeeksPYear*calcLOB1Clinician8Disc2Emp1AllowPerc</f>
        <v>0</v>
      </c>
      <c r="G241" s="453">
        <f>calcLOB1Emp1Visits/paramWorkWeeksPYear*calcLOB1Clinician8Disc2Emp1AllowPerc</f>
        <v>0</v>
      </c>
      <c r="H241" s="131" t="s">
        <v>3707</v>
      </c>
      <c r="J241" s="131" t="s">
        <v>554</v>
      </c>
      <c r="K241" s="453">
        <f>calcR2LOB1Emp1Visits/paramR2WorkWeeksPYear*calcR2LOB1Clinician8Disc2Emp1AllowPerc</f>
        <v>0</v>
      </c>
      <c r="L241" s="453">
        <f>calcR2LOB1Emp1Visits/paramR2WorkWeeksPYear*calcR2LOB1Clinician8Disc2Emp1AllowPerc</f>
        <v>0</v>
      </c>
      <c r="M241" s="453">
        <f>calcR2LOB1Emp1Visits/paramR2WorkWeeksPYear*calcR2LOB1Clinician8Disc2Emp1AllowPerc</f>
        <v>0</v>
      </c>
      <c r="N241" s="131" t="s">
        <v>6055</v>
      </c>
      <c r="P241" s="453">
        <v>0</v>
      </c>
      <c r="Q241" s="453">
        <f t="shared" si="53"/>
        <v>0</v>
      </c>
    </row>
    <row r="242" spans="1:17" ht="12.75" customHeight="1">
      <c r="A242" s="461"/>
      <c r="B242" s="459"/>
      <c r="C242" s="170">
        <v>9</v>
      </c>
      <c r="D242" s="131" t="s">
        <v>554</v>
      </c>
      <c r="E242" s="453">
        <f>calcLOB1Emp1Visits/paramWorkWeeksPYear*calcLOB1Clinician9Disc2Emp1AllowPerc</f>
        <v>0</v>
      </c>
      <c r="F242" s="453">
        <f>calcLOB1Emp1Visits/paramWorkWeeksPYear*calcLOB1Clinician9Disc2Emp1AllowPerc</f>
        <v>0</v>
      </c>
      <c r="G242" s="453">
        <f>calcLOB1Emp1Visits/paramWorkWeeksPYear*calcLOB1Clinician9Disc2Emp1AllowPerc</f>
        <v>0</v>
      </c>
      <c r="H242" s="131" t="s">
        <v>3708</v>
      </c>
      <c r="J242" s="131" t="s">
        <v>554</v>
      </c>
      <c r="K242" s="453">
        <f>calcR2LOB1Emp1Visits/paramR2WorkWeeksPYear*calcR2LOB1Clinician9Disc2Emp1AllowPerc</f>
        <v>0</v>
      </c>
      <c r="L242" s="453">
        <f>calcR2LOB1Emp1Visits/paramR2WorkWeeksPYear*calcR2LOB1Clinician9Disc2Emp1AllowPerc</f>
        <v>0</v>
      </c>
      <c r="M242" s="453">
        <f>calcR2LOB1Emp1Visits/paramR2WorkWeeksPYear*calcR2LOB1Clinician9Disc2Emp1AllowPerc</f>
        <v>0</v>
      </c>
      <c r="N242" s="131" t="s">
        <v>6056</v>
      </c>
      <c r="P242" s="453">
        <v>0</v>
      </c>
      <c r="Q242" s="453">
        <f t="shared" si="53"/>
        <v>0</v>
      </c>
    </row>
    <row r="243" spans="1:17" ht="12.75" customHeight="1">
      <c r="A243" s="461"/>
      <c r="B243" s="459"/>
      <c r="C243" s="170">
        <v>10</v>
      </c>
      <c r="D243" s="131" t="s">
        <v>554</v>
      </c>
      <c r="E243" s="453">
        <f>calcLOB1Emp1Visits/paramWorkWeeksPYear*calcLOB1Clinician10Disc2Emp1AllowPerc</f>
        <v>0</v>
      </c>
      <c r="F243" s="453">
        <f>calcLOB1Emp1Visits/paramWorkWeeksPYear*calcLOB1Clinician10Disc2Emp1AllowPerc</f>
        <v>0</v>
      </c>
      <c r="G243" s="453">
        <f>calcLOB1Emp1Visits/paramWorkWeeksPYear*calcLOB1Clinician10Disc2Emp1AllowPerc</f>
        <v>0</v>
      </c>
      <c r="H243" s="131" t="s">
        <v>3709</v>
      </c>
      <c r="J243" s="131" t="s">
        <v>554</v>
      </c>
      <c r="K243" s="453">
        <f>calcR2LOB1Emp1Visits/paramR2WorkWeeksPYear*calcR2LOB1Clinician10Disc2Emp1AllowPerc</f>
        <v>0</v>
      </c>
      <c r="L243" s="453">
        <f>calcR2LOB1Emp1Visits/paramR2WorkWeeksPYear*calcR2LOB1Clinician10Disc2Emp1AllowPerc</f>
        <v>0</v>
      </c>
      <c r="M243" s="453">
        <f>calcR2LOB1Emp1Visits/paramR2WorkWeeksPYear*calcR2LOB1Clinician10Disc2Emp1AllowPerc</f>
        <v>0</v>
      </c>
      <c r="N243" s="131" t="s">
        <v>6057</v>
      </c>
      <c r="P243" s="453">
        <v>0</v>
      </c>
      <c r="Q243" s="453">
        <f t="shared" si="53"/>
        <v>0</v>
      </c>
    </row>
    <row r="244" spans="1:17" ht="12.75" customHeight="1">
      <c r="A244" s="461"/>
      <c r="B244" s="459"/>
      <c r="C244" s="170">
        <v>11</v>
      </c>
      <c r="D244" s="131" t="s">
        <v>554</v>
      </c>
      <c r="E244" s="453">
        <f>calcLOB1Emp1Visits/paramWorkWeeksPYear*calcLOB1Clinician11Disc2Emp1AllowPerc</f>
        <v>0</v>
      </c>
      <c r="F244" s="453">
        <f>calcLOB1Emp1Visits/paramWorkWeeksPYear*calcLOB1Clinician11Disc2Emp1AllowPerc</f>
        <v>0</v>
      </c>
      <c r="G244" s="453">
        <f>calcLOB1Emp1Visits/paramWorkWeeksPYear*calcLOB1Clinician11Disc2Emp1AllowPerc</f>
        <v>0</v>
      </c>
      <c r="H244" s="131" t="s">
        <v>3710</v>
      </c>
      <c r="J244" s="131" t="s">
        <v>554</v>
      </c>
      <c r="K244" s="453">
        <f>calcR2LOB1Emp1Visits/paramR2WorkWeeksPYear*calcR2LOB1Clinician11Disc2Emp1AllowPerc</f>
        <v>0</v>
      </c>
      <c r="L244" s="453">
        <f>calcR2LOB1Emp1Visits/paramR2WorkWeeksPYear*calcR2LOB1Clinician11Disc2Emp1AllowPerc</f>
        <v>0</v>
      </c>
      <c r="M244" s="453">
        <f>calcR2LOB1Emp1Visits/paramR2WorkWeeksPYear*calcR2LOB1Clinician11Disc2Emp1AllowPerc</f>
        <v>0</v>
      </c>
      <c r="N244" s="131" t="s">
        <v>6058</v>
      </c>
      <c r="P244" s="453">
        <v>0</v>
      </c>
      <c r="Q244" s="453">
        <f t="shared" si="53"/>
        <v>0</v>
      </c>
    </row>
    <row r="245" spans="1:17" ht="12.75" customHeight="1">
      <c r="A245" s="461"/>
      <c r="B245" s="459"/>
      <c r="C245" s="170">
        <v>12</v>
      </c>
      <c r="D245" s="131" t="s">
        <v>554</v>
      </c>
      <c r="E245" s="453">
        <f>calcLOB1Emp1Visits/paramWorkWeeksPYear*calcLOB1Clinician12Disc2Emp1AllowPerc</f>
        <v>0</v>
      </c>
      <c r="F245" s="453">
        <f>calcLOB1Emp1Visits/paramWorkWeeksPYear*calcLOB1Clinician12Disc2Emp1AllowPerc</f>
        <v>0</v>
      </c>
      <c r="G245" s="453">
        <f>calcLOB1Emp1Visits/paramWorkWeeksPYear*calcLOB1Clinician12Disc2Emp1AllowPerc</f>
        <v>0</v>
      </c>
      <c r="H245" s="131" t="s">
        <v>3711</v>
      </c>
      <c r="J245" s="131" t="s">
        <v>554</v>
      </c>
      <c r="K245" s="453">
        <f>calcR2LOB1Emp1Visits/paramR2WorkWeeksPYear*calcR2LOB1Clinician12Disc2Emp1AllowPerc</f>
        <v>0</v>
      </c>
      <c r="L245" s="453">
        <f>calcR2LOB1Emp1Visits/paramR2WorkWeeksPYear*calcR2LOB1Clinician12Disc2Emp1AllowPerc</f>
        <v>0</v>
      </c>
      <c r="M245" s="453">
        <f>calcR2LOB1Emp1Visits/paramR2WorkWeeksPYear*calcR2LOB1Clinician12Disc2Emp1AllowPerc</f>
        <v>0</v>
      </c>
      <c r="N245" s="131" t="s">
        <v>6059</v>
      </c>
      <c r="P245" s="453">
        <v>0</v>
      </c>
      <c r="Q245" s="453">
        <f t="shared" si="53"/>
        <v>0</v>
      </c>
    </row>
    <row r="246" spans="1:17" ht="12.75" customHeight="1">
      <c r="A246" s="461"/>
      <c r="B246" s="459"/>
      <c r="D246" s="131" t="s">
        <v>554</v>
      </c>
      <c r="E246" s="453">
        <f>calcLOB1Emp1Visits/paramWorkWeeksPYear*calcLOB1Clinician14Disc2Emp1AllowPerc</f>
        <v>202.48018802367469</v>
      </c>
      <c r="F246" s="453">
        <f>calcLOB1Emp1Visits/paramWorkWeeksPYear*calcLOB1Clinician14Disc2Emp1AllowPerc</f>
        <v>253.98919276630633</v>
      </c>
      <c r="G246" s="453">
        <f>calcLOB1Emp1Visits/paramWorkWeeksPYear*calcLOB1Clinician14Disc2Emp1AllowPerc</f>
        <v>118.2459919957856</v>
      </c>
      <c r="H246" s="131" t="s">
        <v>4039</v>
      </c>
      <c r="J246" s="131" t="s">
        <v>554</v>
      </c>
      <c r="K246" s="453">
        <f>calcR2LOB1Emp1Visits/paramR2WorkWeeksPYear*calcR2LOB1Clinician14Disc2Emp1AllowPerc</f>
        <v>196.95569817587798</v>
      </c>
      <c r="L246" s="453">
        <f>calcR2LOB1Emp1Visits/paramR2WorkWeeksPYear*calcR2LOB1Clinician14Disc2Emp1AllowPerc</f>
        <v>263.63640386682908</v>
      </c>
      <c r="M246" s="453">
        <f>calcR2LOB1Emp1Visits/paramR2WorkWeeksPYear*calcR2LOB1Clinician14Disc2Emp1AllowPerc</f>
        <v>120.6385884187881</v>
      </c>
      <c r="N246" s="131" t="s">
        <v>6060</v>
      </c>
      <c r="P246" s="453">
        <v>203.72974814412038</v>
      </c>
      <c r="Q246" s="453">
        <f t="shared" si="53"/>
        <v>1.2495601204456932</v>
      </c>
    </row>
    <row r="247" spans="1:17" ht="1.5" customHeight="1">
      <c r="A247" s="461"/>
      <c r="B247" s="459"/>
      <c r="D247" s="449"/>
      <c r="E247" s="751"/>
      <c r="F247" s="751"/>
      <c r="G247" s="751"/>
      <c r="H247" s="131"/>
      <c r="J247" s="449"/>
      <c r="K247" s="450"/>
      <c r="L247" s="450"/>
      <c r="M247" s="450"/>
      <c r="N247" s="131"/>
      <c r="P247" s="751"/>
      <c r="Q247" s="751">
        <f t="shared" si="53"/>
        <v>0</v>
      </c>
    </row>
    <row r="248" spans="1:17" ht="12.75" customHeight="1">
      <c r="A248" s="461"/>
      <c r="B248" s="459"/>
      <c r="D248" s="131" t="s">
        <v>13</v>
      </c>
      <c r="E248" s="453">
        <f>SUM(E221:E247)</f>
        <v>443.70000000000005</v>
      </c>
      <c r="F248" s="453">
        <f t="shared" ref="F248:G248" si="54">SUM(F221:F247)</f>
        <v>606.9</v>
      </c>
      <c r="G248" s="453">
        <f t="shared" si="54"/>
        <v>326.39999999999998</v>
      </c>
      <c r="H248" s="131" t="s">
        <v>8339</v>
      </c>
      <c r="J248" s="131"/>
      <c r="K248" s="453">
        <f>SUM(K221:K247)</f>
        <v>450.5</v>
      </c>
      <c r="L248" s="453">
        <f t="shared" ref="L248" si="55">SUM(L221:L247)</f>
        <v>606.9</v>
      </c>
      <c r="M248" s="453">
        <f t="shared" ref="M248" si="56">SUM(M221:M247)</f>
        <v>326.40000000000003</v>
      </c>
      <c r="N248" s="131" t="s">
        <v>8340</v>
      </c>
      <c r="P248" s="453">
        <v>487.47500000000002</v>
      </c>
      <c r="Q248" s="453">
        <f t="shared" si="53"/>
        <v>43.774999999999977</v>
      </c>
    </row>
    <row r="249" spans="1:17" ht="12.75" customHeight="1">
      <c r="A249" s="461"/>
      <c r="B249" s="459"/>
    </row>
    <row r="250" spans="1:17" ht="12.75" customHeight="1">
      <c r="A250" s="461"/>
      <c r="B250" s="459"/>
      <c r="C250" s="131" t="s">
        <v>3687</v>
      </c>
    </row>
    <row r="251" spans="1:17" ht="12.75" customHeight="1">
      <c r="A251" s="461"/>
      <c r="B251" s="459"/>
      <c r="C251" s="170">
        <v>1</v>
      </c>
      <c r="D251" s="131" t="s">
        <v>550</v>
      </c>
      <c r="E251" s="453">
        <f>decLOB1Cln1WeekProdMod_R1</f>
        <v>0</v>
      </c>
      <c r="F251" s="453">
        <f>decLOB1Cln1WeekProdMod_R1</f>
        <v>0</v>
      </c>
      <c r="G251" s="453">
        <f>decLOB1Cln1WeekProdMod_R1</f>
        <v>0</v>
      </c>
      <c r="H251" s="131" t="s">
        <v>3712</v>
      </c>
      <c r="J251" s="131" t="s">
        <v>550</v>
      </c>
      <c r="K251" s="453">
        <f>decLOB1Cln1WeekProdMod_R2</f>
        <v>0</v>
      </c>
      <c r="L251" s="453">
        <f>decLOB1Cln1WeekProdMod_R2</f>
        <v>0</v>
      </c>
      <c r="M251" s="453">
        <f>decLOB1Cln1WeekProdMod_R2</f>
        <v>0</v>
      </c>
      <c r="N251" s="131" t="s">
        <v>6061</v>
      </c>
    </row>
    <row r="252" spans="1:17" ht="12.75" customHeight="1">
      <c r="A252" s="461"/>
      <c r="B252" s="459"/>
      <c r="C252" s="170">
        <v>2</v>
      </c>
      <c r="D252" s="131" t="s">
        <v>550</v>
      </c>
      <c r="E252" s="453">
        <f>decLOB1Cln2WeekProdMod_R1</f>
        <v>0</v>
      </c>
      <c r="F252" s="453">
        <f>decLOB1Cln2WeekProdMod_R1</f>
        <v>0</v>
      </c>
      <c r="G252" s="453">
        <f>decLOB1Cln2WeekProdMod_R1</f>
        <v>0</v>
      </c>
      <c r="H252" s="131" t="s">
        <v>3713</v>
      </c>
      <c r="J252" s="131" t="s">
        <v>550</v>
      </c>
      <c r="K252" s="453">
        <f>decLOB1Cln2WeekProdMod_R2</f>
        <v>0</v>
      </c>
      <c r="L252" s="453">
        <f>decLOB1Cln2WeekProdMod_R2</f>
        <v>0</v>
      </c>
      <c r="M252" s="453">
        <f>decLOB1Cln2WeekProdMod_R2</f>
        <v>0</v>
      </c>
      <c r="N252" s="131" t="s">
        <v>6062</v>
      </c>
    </row>
    <row r="253" spans="1:17" ht="12.75" customHeight="1">
      <c r="A253" s="461"/>
      <c r="B253" s="459"/>
      <c r="C253" s="170">
        <v>3</v>
      </c>
      <c r="D253" s="131" t="s">
        <v>550</v>
      </c>
      <c r="E253" s="453">
        <f>decLOB1Cln3WeekProdMod_R1</f>
        <v>0</v>
      </c>
      <c r="F253" s="453">
        <f>decLOB1Cln3WeekProdMod_R1</f>
        <v>0</v>
      </c>
      <c r="G253" s="453">
        <f>decLOB1Cln3WeekProdMod_R1</f>
        <v>0</v>
      </c>
      <c r="H253" s="131" t="s">
        <v>3714</v>
      </c>
      <c r="J253" s="131" t="s">
        <v>550</v>
      </c>
      <c r="K253" s="453">
        <f>decLOB1Cln3WeekProdMod_R2</f>
        <v>0</v>
      </c>
      <c r="L253" s="453">
        <f>decLOB1Cln3WeekProdMod_R2</f>
        <v>0</v>
      </c>
      <c r="M253" s="453">
        <f>decLOB1Cln3WeekProdMod_R2</f>
        <v>0</v>
      </c>
      <c r="N253" s="131" t="s">
        <v>6063</v>
      </c>
    </row>
    <row r="254" spans="1:17" ht="12.75" customHeight="1">
      <c r="A254" s="461"/>
      <c r="B254" s="459"/>
      <c r="C254" s="170">
        <v>4</v>
      </c>
      <c r="D254" s="131" t="s">
        <v>550</v>
      </c>
      <c r="E254" s="453">
        <f>decLOB1Cln4WeekProdMod_R1</f>
        <v>0</v>
      </c>
      <c r="F254" s="453">
        <f>decLOB1Cln4WeekProdMod_R1</f>
        <v>0</v>
      </c>
      <c r="G254" s="453">
        <f>decLOB1Cln4WeekProdMod_R1</f>
        <v>0</v>
      </c>
      <c r="H254" s="131" t="s">
        <v>3715</v>
      </c>
      <c r="J254" s="131" t="s">
        <v>550</v>
      </c>
      <c r="K254" s="453">
        <f>decLOB1Cln4WeekProdMod_R2</f>
        <v>0</v>
      </c>
      <c r="L254" s="453">
        <f>decLOB1Cln4WeekProdMod_R2</f>
        <v>0</v>
      </c>
      <c r="M254" s="453">
        <f>decLOB1Cln4WeekProdMod_R2</f>
        <v>0</v>
      </c>
      <c r="N254" s="131" t="s">
        <v>6064</v>
      </c>
    </row>
    <row r="255" spans="1:17" ht="12.75" customHeight="1">
      <c r="A255" s="461"/>
      <c r="B255" s="459"/>
      <c r="C255" s="170">
        <v>5</v>
      </c>
      <c r="D255" s="131" t="s">
        <v>550</v>
      </c>
      <c r="E255" s="453">
        <f>decLOB1Cln5WeekProdMod_R1</f>
        <v>0</v>
      </c>
      <c r="F255" s="453">
        <f>decLOB1Cln5WeekProdMod_R1</f>
        <v>0</v>
      </c>
      <c r="G255" s="453">
        <f>decLOB1Cln5WeekProdMod_R1</f>
        <v>0</v>
      </c>
      <c r="H255" s="131" t="s">
        <v>3716</v>
      </c>
      <c r="J255" s="131" t="s">
        <v>550</v>
      </c>
      <c r="K255" s="453">
        <f>decLOB1Cln5WeekProdMod_R2</f>
        <v>0</v>
      </c>
      <c r="L255" s="453">
        <f>decLOB1Cln5WeekProdMod_R2</f>
        <v>0</v>
      </c>
      <c r="M255" s="453">
        <f>decLOB1Cln5WeekProdMod_R2</f>
        <v>0</v>
      </c>
      <c r="N255" s="131" t="s">
        <v>6065</v>
      </c>
    </row>
    <row r="256" spans="1:17" ht="12.75" customHeight="1">
      <c r="A256" s="461"/>
      <c r="B256" s="459"/>
      <c r="C256" s="170">
        <v>6</v>
      </c>
      <c r="D256" s="131" t="s">
        <v>550</v>
      </c>
      <c r="E256" s="453">
        <f>decLOB1Cln6WeekProdMod_R1</f>
        <v>0</v>
      </c>
      <c r="F256" s="453">
        <f>decLOB1Cln6WeekProdMod_R1</f>
        <v>0</v>
      </c>
      <c r="G256" s="453">
        <f>decLOB1Cln6WeekProdMod_R1</f>
        <v>0</v>
      </c>
      <c r="H256" s="131" t="s">
        <v>3717</v>
      </c>
      <c r="J256" s="131" t="s">
        <v>550</v>
      </c>
      <c r="K256" s="453">
        <f>decLOB1Cln6WeekProdMod_R2</f>
        <v>0</v>
      </c>
      <c r="L256" s="453">
        <f>decLOB1Cln6WeekProdMod_R2</f>
        <v>0</v>
      </c>
      <c r="M256" s="453">
        <f>decLOB1Cln6WeekProdMod_R2</f>
        <v>0</v>
      </c>
      <c r="N256" s="131" t="s">
        <v>6066</v>
      </c>
    </row>
    <row r="257" spans="1:14" ht="12.75" customHeight="1">
      <c r="A257" s="461"/>
      <c r="B257" s="459"/>
      <c r="C257" s="170">
        <v>7</v>
      </c>
      <c r="D257" s="131" t="s">
        <v>550</v>
      </c>
      <c r="E257" s="453">
        <f>decLOB1Cln7WeekProdMod_R1</f>
        <v>0</v>
      </c>
      <c r="F257" s="453">
        <f>decLOB1Cln7WeekProdMod_R1</f>
        <v>0</v>
      </c>
      <c r="G257" s="453">
        <f>decLOB1Cln7WeekProdMod_R1</f>
        <v>0</v>
      </c>
      <c r="H257" s="131" t="s">
        <v>3718</v>
      </c>
      <c r="J257" s="131" t="s">
        <v>550</v>
      </c>
      <c r="K257" s="453">
        <f>decLOB1Cln7WeekProdMod_R2</f>
        <v>0</v>
      </c>
      <c r="L257" s="453">
        <f>decLOB1Cln7WeekProdMod_R2</f>
        <v>0</v>
      </c>
      <c r="M257" s="453">
        <f>decLOB1Cln7WeekProdMod_R2</f>
        <v>0</v>
      </c>
      <c r="N257" s="131" t="s">
        <v>6067</v>
      </c>
    </row>
    <row r="258" spans="1:14" ht="12.75" customHeight="1">
      <c r="A258" s="461"/>
      <c r="B258" s="459"/>
      <c r="C258" s="170">
        <v>8</v>
      </c>
      <c r="D258" s="131" t="s">
        <v>550</v>
      </c>
      <c r="E258" s="453">
        <f>decLOB1Cln8WeekProdMod_R1</f>
        <v>0</v>
      </c>
      <c r="F258" s="453">
        <f>decLOB1Cln8WeekProdMod_R1</f>
        <v>0</v>
      </c>
      <c r="G258" s="453">
        <f>decLOB1Cln8WeekProdMod_R1</f>
        <v>0</v>
      </c>
      <c r="H258" s="131" t="s">
        <v>3719</v>
      </c>
      <c r="J258" s="131" t="s">
        <v>550</v>
      </c>
      <c r="K258" s="453">
        <f>decLOB1Cln8WeekProdMod_R2</f>
        <v>0</v>
      </c>
      <c r="L258" s="453">
        <f>decLOB1Cln8WeekProdMod_R2</f>
        <v>0</v>
      </c>
      <c r="M258" s="453">
        <f>decLOB1Cln8WeekProdMod_R2</f>
        <v>0</v>
      </c>
      <c r="N258" s="131" t="s">
        <v>6068</v>
      </c>
    </row>
    <row r="259" spans="1:14" ht="12.75" customHeight="1">
      <c r="A259" s="461"/>
      <c r="B259" s="459"/>
      <c r="C259" s="170">
        <v>9</v>
      </c>
      <c r="D259" s="131" t="s">
        <v>550</v>
      </c>
      <c r="E259" s="453">
        <f>decLOB1Cln9WeekProdMod_R1</f>
        <v>0</v>
      </c>
      <c r="F259" s="453">
        <f>decLOB1Cln9WeekProdMod_R1</f>
        <v>0</v>
      </c>
      <c r="G259" s="453">
        <f>decLOB1Cln9WeekProdMod_R1</f>
        <v>0</v>
      </c>
      <c r="H259" s="131" t="s">
        <v>3720</v>
      </c>
      <c r="J259" s="131" t="s">
        <v>550</v>
      </c>
      <c r="K259" s="453">
        <f>decLOB1Cln9WeekProdMod_R2</f>
        <v>0</v>
      </c>
      <c r="L259" s="453">
        <f>decLOB1Cln9WeekProdMod_R2</f>
        <v>0</v>
      </c>
      <c r="M259" s="453">
        <f>decLOB1Cln9WeekProdMod_R2</f>
        <v>0</v>
      </c>
      <c r="N259" s="131" t="s">
        <v>6069</v>
      </c>
    </row>
    <row r="260" spans="1:14" ht="12.75" customHeight="1">
      <c r="A260" s="461"/>
      <c r="B260" s="459"/>
      <c r="C260" s="170">
        <v>10</v>
      </c>
      <c r="D260" s="131" t="s">
        <v>550</v>
      </c>
      <c r="E260" s="453">
        <f>decLOB1Cln10WeekProdMod_R1</f>
        <v>0</v>
      </c>
      <c r="F260" s="453">
        <f>decLOB1Cln10WeekProdMod_R1</f>
        <v>0</v>
      </c>
      <c r="G260" s="453">
        <f>decLOB1Cln10WeekProdMod_R1</f>
        <v>0</v>
      </c>
      <c r="H260" s="131" t="s">
        <v>3721</v>
      </c>
      <c r="J260" s="131" t="s">
        <v>550</v>
      </c>
      <c r="K260" s="453">
        <f>decLOB1Cln10WeekProdMod_R2</f>
        <v>0</v>
      </c>
      <c r="L260" s="453">
        <f>decLOB1Cln10WeekProdMod_R2</f>
        <v>0</v>
      </c>
      <c r="M260" s="453">
        <f>decLOB1Cln10WeekProdMod_R2</f>
        <v>0</v>
      </c>
      <c r="N260" s="131" t="s">
        <v>6070</v>
      </c>
    </row>
    <row r="261" spans="1:14" ht="12.75" customHeight="1">
      <c r="A261" s="461"/>
      <c r="B261" s="459"/>
      <c r="C261" s="170">
        <v>11</v>
      </c>
      <c r="D261" s="131" t="s">
        <v>550</v>
      </c>
      <c r="E261" s="453">
        <f>decLOB1Cln11WeekProdMod_R1</f>
        <v>0</v>
      </c>
      <c r="F261" s="453">
        <f>decLOB1Cln11WeekProdMod_R1</f>
        <v>0</v>
      </c>
      <c r="G261" s="453">
        <f>decLOB1Cln11WeekProdMod_R1</f>
        <v>0</v>
      </c>
      <c r="H261" s="131" t="s">
        <v>3722</v>
      </c>
      <c r="J261" s="131" t="s">
        <v>550</v>
      </c>
      <c r="K261" s="453">
        <f>decLOB1Cln11WeekProdMod_R2</f>
        <v>0</v>
      </c>
      <c r="L261" s="453">
        <f>decLOB1Cln11WeekProdMod_R2</f>
        <v>0</v>
      </c>
      <c r="M261" s="453">
        <f>decLOB1Cln11WeekProdMod_R2</f>
        <v>0</v>
      </c>
      <c r="N261" s="131" t="s">
        <v>6071</v>
      </c>
    </row>
    <row r="262" spans="1:14" ht="12.75" customHeight="1">
      <c r="A262" s="461"/>
      <c r="B262" s="459"/>
      <c r="C262" s="170">
        <v>12</v>
      </c>
      <c r="D262" s="131" t="s">
        <v>550</v>
      </c>
      <c r="E262" s="453">
        <f>decLOB1Cln12WeekProdMod_R1</f>
        <v>0</v>
      </c>
      <c r="F262" s="453">
        <f>decLOB1Cln12WeekProdMod_R1</f>
        <v>0</v>
      </c>
      <c r="G262" s="453">
        <f>decLOB1Cln12WeekProdMod_R1</f>
        <v>0</v>
      </c>
      <c r="H262" s="131" t="s">
        <v>3723</v>
      </c>
      <c r="J262" s="131" t="s">
        <v>550</v>
      </c>
      <c r="K262" s="453">
        <f>decLOB1Cln12WeekProdMod_R2</f>
        <v>0</v>
      </c>
      <c r="L262" s="453">
        <f>decLOB1Cln12WeekProdMod_R2</f>
        <v>0</v>
      </c>
      <c r="M262" s="453">
        <f>decLOB1Cln12WeekProdMod_R2</f>
        <v>0</v>
      </c>
      <c r="N262" s="131" t="s">
        <v>6072</v>
      </c>
    </row>
    <row r="263" spans="1:14" ht="12.75" customHeight="1">
      <c r="A263" s="461"/>
      <c r="B263" s="459"/>
      <c r="C263" s="170">
        <v>1</v>
      </c>
      <c r="D263" s="131" t="s">
        <v>554</v>
      </c>
      <c r="E263" s="453">
        <f>decLOB1Cln1WeekProdMod_R1</f>
        <v>0</v>
      </c>
      <c r="F263" s="453">
        <f>decLOB1Cln1WeekProdMod_R1</f>
        <v>0</v>
      </c>
      <c r="G263" s="453">
        <f>decLOB1Cln1WeekProdMod_R1</f>
        <v>0</v>
      </c>
      <c r="H263" s="131" t="s">
        <v>3724</v>
      </c>
      <c r="J263" s="131" t="s">
        <v>554</v>
      </c>
      <c r="K263" s="453">
        <f>decLOB1Cln1WeekProdMod_R2</f>
        <v>0</v>
      </c>
      <c r="L263" s="453">
        <f>decLOB1Cln1WeekProdMod_R2</f>
        <v>0</v>
      </c>
      <c r="M263" s="453">
        <f>decLOB1Cln1WeekProdMod_R2</f>
        <v>0</v>
      </c>
      <c r="N263" s="131" t="s">
        <v>6073</v>
      </c>
    </row>
    <row r="264" spans="1:14" ht="12.75" customHeight="1">
      <c r="A264" s="461"/>
      <c r="B264" s="459"/>
      <c r="C264" s="170">
        <v>2</v>
      </c>
      <c r="D264" s="131" t="s">
        <v>554</v>
      </c>
      <c r="E264" s="453">
        <f>decLOB1Cln2WeekProdMod_R1</f>
        <v>0</v>
      </c>
      <c r="F264" s="453">
        <f>decLOB1Cln2WeekProdMod_R1</f>
        <v>0</v>
      </c>
      <c r="G264" s="453">
        <f>decLOB1Cln2WeekProdMod_R1</f>
        <v>0</v>
      </c>
      <c r="H264" s="131" t="s">
        <v>3725</v>
      </c>
      <c r="J264" s="131" t="s">
        <v>554</v>
      </c>
      <c r="K264" s="453">
        <f>decLOB1Cln2WeekProdMod_R2</f>
        <v>0</v>
      </c>
      <c r="L264" s="453">
        <f>decLOB1Cln2WeekProdMod_R2</f>
        <v>0</v>
      </c>
      <c r="M264" s="453">
        <f>decLOB1Cln2WeekProdMod_R2</f>
        <v>0</v>
      </c>
      <c r="N264" s="131" t="s">
        <v>6074</v>
      </c>
    </row>
    <row r="265" spans="1:14" ht="12.75" customHeight="1">
      <c r="A265" s="461"/>
      <c r="B265" s="459"/>
      <c r="C265" s="170">
        <v>3</v>
      </c>
      <c r="D265" s="131" t="s">
        <v>554</v>
      </c>
      <c r="E265" s="453">
        <f>decLOB1Cln3WeekProdMod_R1</f>
        <v>0</v>
      </c>
      <c r="F265" s="453">
        <f>decLOB1Cln3WeekProdMod_R1</f>
        <v>0</v>
      </c>
      <c r="G265" s="453">
        <f>decLOB1Cln3WeekProdMod_R1</f>
        <v>0</v>
      </c>
      <c r="H265" s="131" t="s">
        <v>3726</v>
      </c>
      <c r="J265" s="131" t="s">
        <v>554</v>
      </c>
      <c r="K265" s="453">
        <f>decLOB1Cln3WeekProdMod_R2</f>
        <v>0</v>
      </c>
      <c r="L265" s="453">
        <f>decLOB1Cln3WeekProdMod_R2</f>
        <v>0</v>
      </c>
      <c r="M265" s="453">
        <f>decLOB1Cln3WeekProdMod_R2</f>
        <v>0</v>
      </c>
      <c r="N265" s="131" t="s">
        <v>6075</v>
      </c>
    </row>
    <row r="266" spans="1:14" ht="12.75" customHeight="1">
      <c r="A266" s="461"/>
      <c r="B266" s="459"/>
      <c r="C266" s="170">
        <v>4</v>
      </c>
      <c r="D266" s="131" t="s">
        <v>554</v>
      </c>
      <c r="E266" s="453">
        <f>decLOB1Cln4WeekProdMod_R1</f>
        <v>0</v>
      </c>
      <c r="F266" s="453">
        <f>decLOB1Cln4WeekProdMod_R1</f>
        <v>0</v>
      </c>
      <c r="G266" s="453">
        <f>decLOB1Cln4WeekProdMod_R1</f>
        <v>0</v>
      </c>
      <c r="H266" s="131" t="s">
        <v>3727</v>
      </c>
      <c r="J266" s="131" t="s">
        <v>554</v>
      </c>
      <c r="K266" s="453">
        <f>decLOB1Cln4WeekProdMod_R2</f>
        <v>0</v>
      </c>
      <c r="L266" s="453">
        <f>decLOB1Cln4WeekProdMod_R2</f>
        <v>0</v>
      </c>
      <c r="M266" s="453">
        <f>decLOB1Cln4WeekProdMod_R2</f>
        <v>0</v>
      </c>
      <c r="N266" s="131" t="s">
        <v>6076</v>
      </c>
    </row>
    <row r="267" spans="1:14" ht="12.75" customHeight="1">
      <c r="A267" s="461"/>
      <c r="B267" s="459"/>
      <c r="C267" s="170">
        <v>5</v>
      </c>
      <c r="D267" s="131" t="s">
        <v>554</v>
      </c>
      <c r="E267" s="453">
        <f>decLOB1Cln5WeekProdMod_R1</f>
        <v>0</v>
      </c>
      <c r="F267" s="453">
        <f>decLOB1Cln5WeekProdMod_R1</f>
        <v>0</v>
      </c>
      <c r="G267" s="453">
        <f>decLOB1Cln5WeekProdMod_R1</f>
        <v>0</v>
      </c>
      <c r="H267" s="131" t="s">
        <v>3728</v>
      </c>
      <c r="J267" s="131" t="s">
        <v>554</v>
      </c>
      <c r="K267" s="453">
        <f>decLOB1Cln5WeekProdMod_R2</f>
        <v>0</v>
      </c>
      <c r="L267" s="453">
        <f>decLOB1Cln5WeekProdMod_R2</f>
        <v>0</v>
      </c>
      <c r="M267" s="453">
        <f>decLOB1Cln5WeekProdMod_R2</f>
        <v>0</v>
      </c>
      <c r="N267" s="131" t="s">
        <v>6077</v>
      </c>
    </row>
    <row r="268" spans="1:14" ht="12.75" customHeight="1">
      <c r="A268" s="461"/>
      <c r="B268" s="459"/>
      <c r="C268" s="170">
        <v>6</v>
      </c>
      <c r="D268" s="131" t="s">
        <v>554</v>
      </c>
      <c r="E268" s="453">
        <f>decLOB1Cln6WeekProdMod_R1</f>
        <v>0</v>
      </c>
      <c r="F268" s="453">
        <f>decLOB1Cln6WeekProdMod_R1</f>
        <v>0</v>
      </c>
      <c r="G268" s="453">
        <f>decLOB1Cln6WeekProdMod_R1</f>
        <v>0</v>
      </c>
      <c r="H268" s="131" t="s">
        <v>3729</v>
      </c>
      <c r="J268" s="131" t="s">
        <v>554</v>
      </c>
      <c r="K268" s="453">
        <f>decLOB1Cln6WeekProdMod_R2</f>
        <v>0</v>
      </c>
      <c r="L268" s="453">
        <f>decLOB1Cln6WeekProdMod_R2</f>
        <v>0</v>
      </c>
      <c r="M268" s="453">
        <f>decLOB1Cln6WeekProdMod_R2</f>
        <v>0</v>
      </c>
      <c r="N268" s="131" t="s">
        <v>6078</v>
      </c>
    </row>
    <row r="269" spans="1:14" ht="12.75" customHeight="1">
      <c r="A269" s="461"/>
      <c r="B269" s="459"/>
      <c r="C269" s="170">
        <v>7</v>
      </c>
      <c r="D269" s="131" t="s">
        <v>554</v>
      </c>
      <c r="E269" s="453">
        <f>decLOB1Cln7WeekProdMod_R1</f>
        <v>0</v>
      </c>
      <c r="F269" s="453">
        <f>decLOB1Cln7WeekProdMod_R1</f>
        <v>0</v>
      </c>
      <c r="G269" s="453">
        <f>decLOB1Cln7WeekProdMod_R1</f>
        <v>0</v>
      </c>
      <c r="H269" s="131" t="s">
        <v>3730</v>
      </c>
      <c r="J269" s="131" t="s">
        <v>554</v>
      </c>
      <c r="K269" s="453">
        <f>decLOB1Cln7WeekProdMod_R2</f>
        <v>0</v>
      </c>
      <c r="L269" s="453">
        <f>decLOB1Cln7WeekProdMod_R2</f>
        <v>0</v>
      </c>
      <c r="M269" s="453">
        <f>decLOB1Cln7WeekProdMod_R2</f>
        <v>0</v>
      </c>
      <c r="N269" s="131" t="s">
        <v>6079</v>
      </c>
    </row>
    <row r="270" spans="1:14" ht="12.75" customHeight="1">
      <c r="A270" s="461"/>
      <c r="B270" s="459"/>
      <c r="C270" s="170">
        <v>8</v>
      </c>
      <c r="D270" s="131" t="s">
        <v>554</v>
      </c>
      <c r="E270" s="453">
        <f>decLOB1Cln8WeekProdMod_R1</f>
        <v>0</v>
      </c>
      <c r="F270" s="453">
        <f>decLOB1Cln8WeekProdMod_R1</f>
        <v>0</v>
      </c>
      <c r="G270" s="453">
        <f>decLOB1Cln8WeekProdMod_R1</f>
        <v>0</v>
      </c>
      <c r="H270" s="131" t="s">
        <v>3731</v>
      </c>
      <c r="J270" s="131" t="s">
        <v>554</v>
      </c>
      <c r="K270" s="453">
        <f>decLOB1Cln8WeekProdMod_R2</f>
        <v>0</v>
      </c>
      <c r="L270" s="453">
        <f>decLOB1Cln8WeekProdMod_R2</f>
        <v>0</v>
      </c>
      <c r="M270" s="453">
        <f>decLOB1Cln8WeekProdMod_R2</f>
        <v>0</v>
      </c>
      <c r="N270" s="131" t="s">
        <v>6080</v>
      </c>
    </row>
    <row r="271" spans="1:14" ht="12.75" customHeight="1">
      <c r="A271" s="461"/>
      <c r="B271" s="459"/>
      <c r="C271" s="170">
        <v>9</v>
      </c>
      <c r="D271" s="131" t="s">
        <v>554</v>
      </c>
      <c r="E271" s="453">
        <f>decLOB1Cln9WeekProdMod_R1</f>
        <v>0</v>
      </c>
      <c r="F271" s="453">
        <f>decLOB1Cln9WeekProdMod_R1</f>
        <v>0</v>
      </c>
      <c r="G271" s="453">
        <f>decLOB1Cln9WeekProdMod_R1</f>
        <v>0</v>
      </c>
      <c r="H271" s="131" t="s">
        <v>3732</v>
      </c>
      <c r="J271" s="131" t="s">
        <v>554</v>
      </c>
      <c r="K271" s="453">
        <f>decLOB1Cln9WeekProdMod_R2</f>
        <v>0</v>
      </c>
      <c r="L271" s="453">
        <f>decLOB1Cln9WeekProdMod_R2</f>
        <v>0</v>
      </c>
      <c r="M271" s="453">
        <f>decLOB1Cln9WeekProdMod_R2</f>
        <v>0</v>
      </c>
      <c r="N271" s="131" t="s">
        <v>6081</v>
      </c>
    </row>
    <row r="272" spans="1:14" ht="12.75" customHeight="1">
      <c r="A272" s="461"/>
      <c r="B272" s="459"/>
      <c r="C272" s="170">
        <v>10</v>
      </c>
      <c r="D272" s="131" t="s">
        <v>554</v>
      </c>
      <c r="E272" s="453">
        <f>decLOB1Cln10WeekProdMod_R1</f>
        <v>0</v>
      </c>
      <c r="F272" s="453">
        <f>decLOB1Cln10WeekProdMod_R1</f>
        <v>0</v>
      </c>
      <c r="G272" s="453">
        <f>decLOB1Cln10WeekProdMod_R1</f>
        <v>0</v>
      </c>
      <c r="H272" s="131" t="s">
        <v>3733</v>
      </c>
      <c r="J272" s="131" t="s">
        <v>554</v>
      </c>
      <c r="K272" s="453">
        <f>decLOB1Cln10WeekProdMod_R2</f>
        <v>0</v>
      </c>
      <c r="L272" s="453">
        <f>decLOB1Cln10WeekProdMod_R2</f>
        <v>0</v>
      </c>
      <c r="M272" s="453">
        <f>decLOB1Cln10WeekProdMod_R2</f>
        <v>0</v>
      </c>
      <c r="N272" s="131" t="s">
        <v>6082</v>
      </c>
    </row>
    <row r="273" spans="1:16" ht="12.75" customHeight="1">
      <c r="A273" s="461"/>
      <c r="B273" s="459"/>
      <c r="C273" s="170">
        <v>11</v>
      </c>
      <c r="D273" s="131" t="s">
        <v>554</v>
      </c>
      <c r="E273" s="453">
        <f>decLOB1Cln11WeekProdMod_R1</f>
        <v>0</v>
      </c>
      <c r="F273" s="453">
        <f>decLOB1Cln11WeekProdMod_R1</f>
        <v>0</v>
      </c>
      <c r="G273" s="453">
        <f>decLOB1Cln11WeekProdMod_R1</f>
        <v>0</v>
      </c>
      <c r="H273" s="131" t="s">
        <v>3734</v>
      </c>
      <c r="J273" s="131" t="s">
        <v>554</v>
      </c>
      <c r="K273" s="453">
        <f>decLOB1Cln11WeekProdMod_R2</f>
        <v>0</v>
      </c>
      <c r="L273" s="453">
        <f>decLOB1Cln11WeekProdMod_R2</f>
        <v>0</v>
      </c>
      <c r="M273" s="453">
        <f>decLOB1Cln11WeekProdMod_R2</f>
        <v>0</v>
      </c>
      <c r="N273" s="131" t="s">
        <v>6083</v>
      </c>
    </row>
    <row r="274" spans="1:16" ht="12.75" customHeight="1">
      <c r="A274" s="461"/>
      <c r="B274" s="459"/>
      <c r="C274" s="170">
        <v>12</v>
      </c>
      <c r="D274" s="131" t="s">
        <v>554</v>
      </c>
      <c r="E274" s="453">
        <f>decLOB1Cln12WeekProdMod_R1</f>
        <v>0</v>
      </c>
      <c r="F274" s="453">
        <f>decLOB1Cln12WeekProdMod_R1</f>
        <v>0</v>
      </c>
      <c r="G274" s="453">
        <f>decLOB1Cln12WeekProdMod_R1</f>
        <v>0</v>
      </c>
      <c r="H274" s="131" t="s">
        <v>3735</v>
      </c>
      <c r="J274" s="131" t="s">
        <v>554</v>
      </c>
      <c r="K274" s="453">
        <f>decLOB1Cln12WeekProdMod_R2</f>
        <v>0</v>
      </c>
      <c r="L274" s="453">
        <f>decLOB1Cln12WeekProdMod_R2</f>
        <v>0</v>
      </c>
      <c r="M274" s="453">
        <f>decLOB1Cln12WeekProdMod_R2</f>
        <v>0</v>
      </c>
      <c r="N274" s="131" t="s">
        <v>6084</v>
      </c>
    </row>
    <row r="275" spans="1:16" ht="12.75" customHeight="1">
      <c r="A275" s="461"/>
      <c r="B275" s="459"/>
    </row>
    <row r="276" spans="1:16" ht="12.75" customHeight="1">
      <c r="A276" s="461"/>
      <c r="B276" s="635"/>
      <c r="C276" s="131" t="s">
        <v>1588</v>
      </c>
    </row>
    <row r="277" spans="1:16" ht="12.75" customHeight="1">
      <c r="A277" s="461"/>
      <c r="B277" s="635"/>
      <c r="C277" s="170">
        <v>1</v>
      </c>
      <c r="D277" s="131" t="s">
        <v>550</v>
      </c>
      <c r="E277" s="453">
        <f>IF(calcLOB1Clinician1Disc1Emp1BaseProd=0,0,IF(calcLOB1Clinician1Disc1Emp1ModifiedProd=0,calcLOB1Clinician1Disc1Emp1BaseProd*paramLOB1Disc1Meetings*paramLOB1Meetings*paramLOB1Clinician1Meetings,calcLOB1Clinician1Disc1Emp1ModifiedProd))</f>
        <v>27</v>
      </c>
      <c r="F277" s="453">
        <f>IF(calcLOB1Clinician1Disc1Emp1BaseProd=0,0,IF(calcLOB1Clinician1Disc1Emp1ModifiedProd=0,calcLOB1Clinician1Disc1Emp1BaseProd*paramLOB1Disc1Meetings*paramLOB1Meetings*paramLOB1Clinician1Meetings,calcLOB1Clinician1Disc1Emp1ModifiedProd))</f>
        <v>27</v>
      </c>
      <c r="G277" s="453">
        <f>IF(calcLOB1Clinician1Disc1Emp1BaseProd=0,0,IF(calcLOB1Clinician1Disc1Emp1ModifiedProd=0,calcLOB1Clinician1Disc1Emp1BaseProd*paramLOB1Disc1Meetings*paramLOB1Meetings*paramLOB1Clinician1Meetings,calcLOB1Clinician1Disc1Emp1ModifiedProd))</f>
        <v>27</v>
      </c>
      <c r="H277" s="131" t="s">
        <v>1674</v>
      </c>
      <c r="J277" s="131" t="s">
        <v>550</v>
      </c>
      <c r="K277" s="724">
        <f>IF(calcR2LOB1Clinician1Disc1Emp1BaseProd=0,0,IF(calcR2LOB1Clinician1Disc1Emp1ModifiedProd=0,calcR2LOB1Clinician1Disc1Emp1BaseProd*paramR2LOB1Disc1Meetings*paramR2LOB1Meetings*paramR2LOB1Clinician1Meetings,calcR2LOB1Clinician1Disc1Emp1ModifiedProd))</f>
        <v>27</v>
      </c>
      <c r="L277" s="724">
        <f>IF(calcR2LOB1Clinician1Disc1Emp1BaseProd=0,0,IF(calcR2LOB1Clinician1Disc1Emp1ModifiedProd=0,calcR2LOB1Clinician1Disc1Emp1BaseProd*paramR2LOB1Disc1Meetings*paramR2LOB1Meetings*paramR2LOB1Clinician1Meetings,calcR2LOB1Clinician1Disc1Emp1ModifiedProd))</f>
        <v>27</v>
      </c>
      <c r="M277" s="724">
        <f>IF(calcR2LOB1Clinician1Disc1Emp1BaseProd=0,0,IF(calcR2LOB1Clinician1Disc1Emp1ModifiedProd=0,calcR2LOB1Clinician1Disc1Emp1BaseProd*paramR2LOB1Disc1Meetings*paramR2LOB1Meetings*paramR2LOB1Clinician1Meetings,calcR2LOB1Clinician1Disc1Emp1ModifiedProd))</f>
        <v>27</v>
      </c>
      <c r="N277" s="725" t="s">
        <v>6085</v>
      </c>
      <c r="O277" s="726"/>
      <c r="P277" s="723" t="s">
        <v>7914</v>
      </c>
    </row>
    <row r="278" spans="1:16" ht="12.75" customHeight="1">
      <c r="A278" s="461"/>
      <c r="B278" s="635"/>
      <c r="C278" s="170">
        <v>2</v>
      </c>
      <c r="D278" s="131" t="s">
        <v>550</v>
      </c>
      <c r="E278" s="453">
        <f>IF(calcLOB1Clinician2Disc1Emp1BaseProd=0,0,IF(calcLOB1Clinician2Disc1Emp1ModifiedProd=0,calcLOB1Clinician2Disc1Emp1BaseProd*paramLOB1Disc1Meetings*paramLOB1Meetings*paramLOB1Clinician2Meetings,calcLOB1Clinician2Disc1Emp1ModifiedProd))</f>
        <v>24</v>
      </c>
      <c r="F278" s="453">
        <f>IF(calcLOB1Clinician2Disc1Emp1BaseProd=0,0,IF(calcLOB1Clinician2Disc1Emp1ModifiedProd=0,calcLOB1Clinician2Disc1Emp1BaseProd*paramLOB1Disc1Meetings*paramLOB1Meetings*paramLOB1Clinician2Meetings,calcLOB1Clinician2Disc1Emp1ModifiedProd))</f>
        <v>24</v>
      </c>
      <c r="G278" s="453">
        <f>IF(calcLOB1Clinician2Disc1Emp1BaseProd=0,0,IF(calcLOB1Clinician2Disc1Emp1ModifiedProd=0,calcLOB1Clinician2Disc1Emp1BaseProd*paramLOB1Disc1Meetings*paramLOB1Meetings*paramLOB1Clinician2Meetings,calcLOB1Clinician2Disc1Emp1ModifiedProd))</f>
        <v>24</v>
      </c>
      <c r="H278" s="131" t="s">
        <v>1675</v>
      </c>
      <c r="J278" s="131" t="s">
        <v>550</v>
      </c>
      <c r="K278" s="727">
        <f>IF(calcR2LOB1Clinician2Disc1Emp1BaseProd=0,0,IF(calcR2LOB1Clinician2Disc1Emp1ModifiedProd=0,calcR2LOB1Clinician2Disc1Emp1BaseProd*paramR2LOB1Disc1Meetings*paramR2LOB1Meetings*paramR2LOB1Clinician2Meetings,calcR2LOB1Clinician2Disc1Emp1ModifiedProd))</f>
        <v>24</v>
      </c>
      <c r="L278" s="727">
        <f>IF(calcR2LOB1Clinician2Disc1Emp1BaseProd=0,0,IF(calcR2LOB1Clinician2Disc1Emp1ModifiedProd=0,calcR2LOB1Clinician2Disc1Emp1BaseProd*paramR2LOB1Disc1Meetings*paramR2LOB1Meetings*paramR2LOB1Clinician2Meetings,calcR2LOB1Clinician2Disc1Emp1ModifiedProd))</f>
        <v>24</v>
      </c>
      <c r="M278" s="727">
        <f>IF(calcR2LOB1Clinician2Disc1Emp1BaseProd=0,0,IF(calcR2LOB1Clinician2Disc1Emp1ModifiedProd=0,calcR2LOB1Clinician2Disc1Emp1BaseProd*paramR2LOB1Disc1Meetings*paramR2LOB1Meetings*paramR2LOB1Clinician2Meetings,calcR2LOB1Clinician2Disc1Emp1ModifiedProd))</f>
        <v>24</v>
      </c>
      <c r="N278" s="131" t="s">
        <v>6086</v>
      </c>
    </row>
    <row r="279" spans="1:16" ht="12.75" customHeight="1">
      <c r="A279" s="461"/>
      <c r="B279" s="635"/>
      <c r="C279" s="170">
        <v>3</v>
      </c>
      <c r="D279" s="131" t="s">
        <v>550</v>
      </c>
      <c r="E279" s="453">
        <f>IF(calcLOB1Clinician3Disc1Emp1BaseProd=0,0,IF(calcLOB1Clinician3Disc1Emp1ModifiedProd=0,calcLOB1Clinician3Disc1Emp1BaseProd*paramLOB1Disc1Meetings*paramLOB1Meetings*paramLOB1Clinician3Meetings,calcLOB1Clinician3Disc1Emp1ModifiedProd))</f>
        <v>12.526315789473685</v>
      </c>
      <c r="F279" s="453">
        <f>IF(calcLOB1Clinician3Disc1Emp1BaseProd=0,0,IF(calcLOB1Clinician3Disc1Emp1ModifiedProd=0,calcLOB1Clinician3Disc1Emp1BaseProd*paramLOB1Disc1Meetings*paramLOB1Meetings*paramLOB1Clinician3Meetings,calcLOB1Clinician3Disc1Emp1ModifiedProd))</f>
        <v>12.526315789473685</v>
      </c>
      <c r="G279" s="453">
        <f>IF(calcLOB1Clinician3Disc1Emp1BaseProd=0,0,IF(calcLOB1Clinician3Disc1Emp1ModifiedProd=0,calcLOB1Clinician3Disc1Emp1BaseProd*paramLOB1Disc1Meetings*paramLOB1Meetings*paramLOB1Clinician3Meetings,calcLOB1Clinician3Disc1Emp1ModifiedProd))</f>
        <v>12.526315789473685</v>
      </c>
      <c r="H279" s="131" t="s">
        <v>1676</v>
      </c>
      <c r="J279" s="131" t="s">
        <v>550</v>
      </c>
      <c r="K279" s="727">
        <f>IF(calcR2LOB1Clinician3Disc1Emp1BaseProd=0,0,IF(calcR2LOB1Clinician3Disc1Emp1ModifiedProd=0,calcR2LOB1Clinician3Disc1Emp1BaseProd*paramR2LOB1Disc1Meetings*paramR2LOB1Meetings*paramR2LOB1Clinician3Meetings,calcR2LOB1Clinician3Disc1Emp1ModifiedProd))</f>
        <v>12.526315789473685</v>
      </c>
      <c r="L279" s="727">
        <f>IF(calcR2LOB1Clinician3Disc1Emp1BaseProd=0,0,IF(calcR2LOB1Clinician3Disc1Emp1ModifiedProd=0,calcR2LOB1Clinician3Disc1Emp1BaseProd*paramR2LOB1Disc1Meetings*paramR2LOB1Meetings*paramR2LOB1Clinician3Meetings,calcR2LOB1Clinician3Disc1Emp1ModifiedProd))</f>
        <v>12.526315789473685</v>
      </c>
      <c r="M279" s="727">
        <f>IF(calcR2LOB1Clinician3Disc1Emp1BaseProd=0,0,IF(calcR2LOB1Clinician3Disc1Emp1ModifiedProd=0,calcR2LOB1Clinician3Disc1Emp1BaseProd*paramR2LOB1Disc1Meetings*paramR2LOB1Meetings*paramR2LOB1Clinician3Meetings,calcR2LOB1Clinician3Disc1Emp1ModifiedProd))</f>
        <v>12.526315789473685</v>
      </c>
      <c r="N279" s="131" t="s">
        <v>6087</v>
      </c>
    </row>
    <row r="280" spans="1:16" ht="12.75" customHeight="1">
      <c r="A280" s="461"/>
      <c r="B280" s="635"/>
      <c r="C280" s="170">
        <v>4</v>
      </c>
      <c r="D280" s="131" t="s">
        <v>550</v>
      </c>
      <c r="E280" s="453">
        <f>IF(calcLOB1Clinician4Disc1Emp1BaseProd=0,0,IF(calcLOB1Clinician4Disc1Emp1ModifiedProd=0,calcLOB1Clinician4Disc1Emp1BaseProd*paramLOB1Disc1Meetings*paramLOB1Meetings*paramLOB1Clinician4Meetings,calcLOB1Clinician4Disc1Emp1ModifiedProd))</f>
        <v>0</v>
      </c>
      <c r="F280" s="453">
        <f>IF(calcLOB1Clinician4Disc1Emp1BaseProd=0,0,IF(calcLOB1Clinician4Disc1Emp1ModifiedProd=0,calcLOB1Clinician4Disc1Emp1BaseProd*paramLOB1Disc1Meetings*paramLOB1Meetings*paramLOB1Clinician4Meetings,calcLOB1Clinician4Disc1Emp1ModifiedProd))</f>
        <v>0</v>
      </c>
      <c r="G280" s="453">
        <f>IF(calcLOB1Clinician4Disc1Emp1BaseProd=0,0,IF(calcLOB1Clinician4Disc1Emp1ModifiedProd=0,calcLOB1Clinician4Disc1Emp1BaseProd*paramLOB1Disc1Meetings*paramLOB1Meetings*paramLOB1Clinician4Meetings,calcLOB1Clinician4Disc1Emp1ModifiedProd))</f>
        <v>0</v>
      </c>
      <c r="H280" s="131" t="s">
        <v>1677</v>
      </c>
      <c r="J280" s="131" t="s">
        <v>550</v>
      </c>
      <c r="K280" s="727">
        <f>IF(calcR2LOB1Clinician4Disc1Emp1BaseProd=0,0,IF(calcR2LOB1Clinician4Disc1Emp1ModifiedProd=0,calcR2LOB1Clinician4Disc1Emp1BaseProd*paramR2LOB1Disc1Meetings*paramR2LOB1Meetings*paramR2LOB1Clinician4Meetings,calcR2LOB1Clinician4Disc1Emp1ModifiedProd))</f>
        <v>0</v>
      </c>
      <c r="L280" s="727">
        <f>IF(calcR2LOB1Clinician4Disc1Emp1BaseProd=0,0,IF(calcR2LOB1Clinician4Disc1Emp1ModifiedProd=0,calcR2LOB1Clinician4Disc1Emp1BaseProd*paramR2LOB1Disc1Meetings*paramR2LOB1Meetings*paramR2LOB1Clinician4Meetings,calcR2LOB1Clinician4Disc1Emp1ModifiedProd))</f>
        <v>0</v>
      </c>
      <c r="M280" s="727">
        <f>IF(calcR2LOB1Clinician4Disc1Emp1BaseProd=0,0,IF(calcR2LOB1Clinician4Disc1Emp1ModifiedProd=0,calcR2LOB1Clinician4Disc1Emp1BaseProd*paramR2LOB1Disc1Meetings*paramR2LOB1Meetings*paramR2LOB1Clinician4Meetings,calcR2LOB1Clinician4Disc1Emp1ModifiedProd))</f>
        <v>0</v>
      </c>
      <c r="N280" s="131" t="s">
        <v>6088</v>
      </c>
    </row>
    <row r="281" spans="1:16" ht="12.75" customHeight="1">
      <c r="A281" s="461"/>
      <c r="B281" s="635"/>
      <c r="C281" s="170">
        <v>5</v>
      </c>
      <c r="D281" s="131" t="s">
        <v>550</v>
      </c>
      <c r="E281" s="453">
        <f>IF(calcLOB1Clinician5Disc1Emp1BaseProd=0,0,IF(calcLOB1Clinician5Disc1Emp1ModifiedProd=0,calcLOB1Clinician5Disc1Emp1BaseProd*paramLOB1Disc1Meetings*paramLOB1Meetings*paramLOB1Clinician5Meetings,calcLOB1Clinician5Disc1Emp1ModifiedProd))</f>
        <v>0</v>
      </c>
      <c r="F281" s="453">
        <f>IF(calcLOB1Clinician5Disc1Emp1BaseProd=0,0,IF(calcLOB1Clinician5Disc1Emp1ModifiedProd=0,calcLOB1Clinician5Disc1Emp1BaseProd*paramLOB1Disc1Meetings*paramLOB1Meetings*paramLOB1Clinician5Meetings,calcLOB1Clinician5Disc1Emp1ModifiedProd))</f>
        <v>0</v>
      </c>
      <c r="G281" s="453">
        <f>IF(calcLOB1Clinician5Disc1Emp1BaseProd=0,0,IF(calcLOB1Clinician5Disc1Emp1ModifiedProd=0,calcLOB1Clinician5Disc1Emp1BaseProd*paramLOB1Disc1Meetings*paramLOB1Meetings*paramLOB1Clinician5Meetings,calcLOB1Clinician5Disc1Emp1ModifiedProd))</f>
        <v>0</v>
      </c>
      <c r="H281" s="131" t="s">
        <v>1678</v>
      </c>
      <c r="J281" s="131" t="s">
        <v>550</v>
      </c>
      <c r="K281" s="727">
        <f>IF(calcR2LOB1Clinician5Disc1Emp1BaseProd=0,0,IF(calcR2LOB1Clinician5Disc1Emp1ModifiedProd=0,calcR2LOB1Clinician5Disc1Emp1BaseProd*paramR2LOB1Disc1Meetings*paramR2LOB1Meetings*paramR2LOB1Clinician5Meetings,calcR2LOB1Clinician5Disc1Emp1ModifiedProd))</f>
        <v>0</v>
      </c>
      <c r="L281" s="727">
        <f>IF(calcR2LOB1Clinician5Disc1Emp1BaseProd=0,0,IF(calcR2LOB1Clinician5Disc1Emp1ModifiedProd=0,calcR2LOB1Clinician5Disc1Emp1BaseProd*paramR2LOB1Disc1Meetings*paramR2LOB1Meetings*paramR2LOB1Clinician5Meetings,calcR2LOB1Clinician5Disc1Emp1ModifiedProd))</f>
        <v>0</v>
      </c>
      <c r="M281" s="727">
        <f>IF(calcR2LOB1Clinician5Disc1Emp1BaseProd=0,0,IF(calcR2LOB1Clinician5Disc1Emp1ModifiedProd=0,calcR2LOB1Clinician5Disc1Emp1BaseProd*paramR2LOB1Disc1Meetings*paramR2LOB1Meetings*paramR2LOB1Clinician5Meetings,calcR2LOB1Clinician5Disc1Emp1ModifiedProd))</f>
        <v>0</v>
      </c>
      <c r="N281" s="131" t="s">
        <v>6089</v>
      </c>
    </row>
    <row r="282" spans="1:16" ht="12.75" customHeight="1">
      <c r="A282" s="461"/>
      <c r="B282" s="635"/>
      <c r="C282" s="170">
        <v>6</v>
      </c>
      <c r="D282" s="131" t="s">
        <v>550</v>
      </c>
      <c r="E282" s="453">
        <f>IF(calcLOB1Clinician6Disc1Emp1BaseProd=0,0,IF(calcLOB1Clinician6Disc1Emp1ModifiedProd=0,calcLOB1Clinician6Disc1Emp1BaseProd*paramLOB1Disc1Meetings*paramLOB1Meetings*paramLOB1Clinician6Meetings,calcLOB1Clinician6Disc1Emp1ModifiedProd))</f>
        <v>0</v>
      </c>
      <c r="F282" s="453">
        <f>IF(calcLOB1Clinician6Disc1Emp1BaseProd=0,0,IF(calcLOB1Clinician6Disc1Emp1ModifiedProd=0,calcLOB1Clinician6Disc1Emp1BaseProd*paramLOB1Disc1Meetings*paramLOB1Meetings*paramLOB1Clinician6Meetings,calcLOB1Clinician6Disc1Emp1ModifiedProd))</f>
        <v>0</v>
      </c>
      <c r="G282" s="453">
        <f>IF(calcLOB1Clinician6Disc1Emp1BaseProd=0,0,IF(calcLOB1Clinician6Disc1Emp1ModifiedProd=0,calcLOB1Clinician6Disc1Emp1BaseProd*paramLOB1Disc1Meetings*paramLOB1Meetings*paramLOB1Clinician6Meetings,calcLOB1Clinician6Disc1Emp1ModifiedProd))</f>
        <v>0</v>
      </c>
      <c r="H282" s="131" t="s">
        <v>1679</v>
      </c>
      <c r="J282" s="131" t="s">
        <v>550</v>
      </c>
      <c r="K282" s="727">
        <f>IF(calcR2LOB1Clinician6Disc1Emp1BaseProd=0,0,IF(calcR2LOB1Clinician6Disc1Emp1ModifiedProd=0,calcR2LOB1Clinician6Disc1Emp1BaseProd*paramR2LOB1Disc1Meetings*paramR2LOB1Meetings*paramR2LOB1Clinician6Meetings,calcR2LOB1Clinician6Disc1Emp1ModifiedProd))</f>
        <v>0</v>
      </c>
      <c r="L282" s="727">
        <f>IF(calcR2LOB1Clinician6Disc1Emp1BaseProd=0,0,IF(calcR2LOB1Clinician6Disc1Emp1ModifiedProd=0,calcR2LOB1Clinician6Disc1Emp1BaseProd*paramR2LOB1Disc1Meetings*paramR2LOB1Meetings*paramR2LOB1Clinician6Meetings,calcR2LOB1Clinician6Disc1Emp1ModifiedProd))</f>
        <v>0</v>
      </c>
      <c r="M282" s="727">
        <f>IF(calcR2LOB1Clinician6Disc1Emp1BaseProd=0,0,IF(calcR2LOB1Clinician6Disc1Emp1ModifiedProd=0,calcR2LOB1Clinician6Disc1Emp1BaseProd*paramR2LOB1Disc1Meetings*paramR2LOB1Meetings*paramR2LOB1Clinician6Meetings,calcR2LOB1Clinician6Disc1Emp1ModifiedProd))</f>
        <v>0</v>
      </c>
      <c r="N282" s="131" t="s">
        <v>6090</v>
      </c>
    </row>
    <row r="283" spans="1:16" ht="12.75" customHeight="1">
      <c r="A283" s="461"/>
      <c r="B283" s="635"/>
      <c r="C283" s="170">
        <v>7</v>
      </c>
      <c r="D283" s="131" t="s">
        <v>550</v>
      </c>
      <c r="E283" s="453">
        <f>IF(calcLOB1Clinician7Disc1Emp1BaseProd=0,0,IF(calcLOB1Clinician7Disc1Emp1ModifiedProd=0,calcLOB1Clinician7Disc1Emp1BaseProd*paramLOB1Disc1Meetings*paramLOB1Meetings*paramLOB1Clinician7Meetings,calcLOB1Clinician7Disc1Emp1ModifiedProd))</f>
        <v>0</v>
      </c>
      <c r="F283" s="453">
        <f>IF(calcLOB1Clinician7Disc1Emp1BaseProd=0,0,IF(calcLOB1Clinician7Disc1Emp1ModifiedProd=0,calcLOB1Clinician7Disc1Emp1BaseProd*paramLOB1Disc1Meetings*paramLOB1Meetings*paramLOB1Clinician7Meetings,calcLOB1Clinician7Disc1Emp1ModifiedProd))</f>
        <v>0</v>
      </c>
      <c r="G283" s="453">
        <f>IF(calcLOB1Clinician7Disc1Emp1BaseProd=0,0,IF(calcLOB1Clinician7Disc1Emp1ModifiedProd=0,calcLOB1Clinician7Disc1Emp1BaseProd*paramLOB1Disc1Meetings*paramLOB1Meetings*paramLOB1Clinician7Meetings,calcLOB1Clinician7Disc1Emp1ModifiedProd))</f>
        <v>0</v>
      </c>
      <c r="H283" s="131" t="s">
        <v>1680</v>
      </c>
      <c r="J283" s="131" t="s">
        <v>550</v>
      </c>
      <c r="K283" s="727">
        <f>IF(calcR2LOB1Clinician7Disc1Emp1BaseProd=0,0,IF(calcR2LOB1Clinician7Disc1Emp1ModifiedProd=0,calcR2LOB1Clinician7Disc1Emp1BaseProd*paramR2LOB1Disc1Meetings*paramR2LOB1Meetings*paramR2LOB1Clinician7Meetings,calcR2LOB1Clinician7Disc1Emp1ModifiedProd))</f>
        <v>0</v>
      </c>
      <c r="L283" s="727">
        <f>IF(calcR2LOB1Clinician7Disc1Emp1BaseProd=0,0,IF(calcR2LOB1Clinician7Disc1Emp1ModifiedProd=0,calcR2LOB1Clinician7Disc1Emp1BaseProd*paramR2LOB1Disc1Meetings*paramR2LOB1Meetings*paramR2LOB1Clinician7Meetings,calcR2LOB1Clinician7Disc1Emp1ModifiedProd))</f>
        <v>0</v>
      </c>
      <c r="M283" s="727">
        <f>IF(calcR2LOB1Clinician7Disc1Emp1BaseProd=0,0,IF(calcR2LOB1Clinician7Disc1Emp1ModifiedProd=0,calcR2LOB1Clinician7Disc1Emp1BaseProd*paramR2LOB1Disc1Meetings*paramR2LOB1Meetings*paramR2LOB1Clinician7Meetings,calcR2LOB1Clinician7Disc1Emp1ModifiedProd))</f>
        <v>0</v>
      </c>
      <c r="N283" s="131" t="s">
        <v>6091</v>
      </c>
    </row>
    <row r="284" spans="1:16" ht="12.75" customHeight="1">
      <c r="A284" s="461"/>
      <c r="B284" s="635"/>
      <c r="C284" s="170">
        <v>8</v>
      </c>
      <c r="D284" s="131" t="s">
        <v>550</v>
      </c>
      <c r="E284" s="453">
        <f>IF(calcLOB1Clinician8Disc1Emp1BaseProd=0,0,IF(calcLOB1Clinician8Disc1Emp1ModifiedProd=0,calcLOB1Clinician8Disc1Emp1BaseProd*paramLOB1Disc1Meetings*paramLOB1Meetings*paramLOB1Clinician8Meetings,calcLOB1Clinician8Disc1Emp1ModifiedProd))</f>
        <v>0</v>
      </c>
      <c r="F284" s="453">
        <f>IF(calcLOB1Clinician8Disc1Emp1BaseProd=0,0,IF(calcLOB1Clinician8Disc1Emp1ModifiedProd=0,calcLOB1Clinician8Disc1Emp1BaseProd*paramLOB1Disc1Meetings*paramLOB1Meetings*paramLOB1Clinician8Meetings,calcLOB1Clinician8Disc1Emp1ModifiedProd))</f>
        <v>0</v>
      </c>
      <c r="G284" s="453">
        <f>IF(calcLOB1Clinician8Disc1Emp1BaseProd=0,0,IF(calcLOB1Clinician8Disc1Emp1ModifiedProd=0,calcLOB1Clinician8Disc1Emp1BaseProd*paramLOB1Disc1Meetings*paramLOB1Meetings*paramLOB1Clinician8Meetings,calcLOB1Clinician8Disc1Emp1ModifiedProd))</f>
        <v>0</v>
      </c>
      <c r="H284" s="131" t="s">
        <v>1681</v>
      </c>
      <c r="J284" s="131" t="s">
        <v>550</v>
      </c>
      <c r="K284" s="727">
        <f>IF(calcR2LOB1Clinician8Disc1Emp1BaseProd=0,0,IF(calcR2LOB1Clinician8Disc1Emp1ModifiedProd=0,calcR2LOB1Clinician8Disc1Emp1BaseProd*paramR2LOB1Disc1Meetings*paramR2LOB1Meetings*paramR2LOB1Clinician8Meetings,calcR2LOB1Clinician8Disc1Emp1ModifiedProd))</f>
        <v>0</v>
      </c>
      <c r="L284" s="727">
        <f>IF(calcR2LOB1Clinician8Disc1Emp1BaseProd=0,0,IF(calcR2LOB1Clinician8Disc1Emp1ModifiedProd=0,calcR2LOB1Clinician8Disc1Emp1BaseProd*paramR2LOB1Disc1Meetings*paramR2LOB1Meetings*paramR2LOB1Clinician8Meetings,calcR2LOB1Clinician8Disc1Emp1ModifiedProd))</f>
        <v>0</v>
      </c>
      <c r="M284" s="727">
        <f>IF(calcR2LOB1Clinician8Disc1Emp1BaseProd=0,0,IF(calcR2LOB1Clinician8Disc1Emp1ModifiedProd=0,calcR2LOB1Clinician8Disc1Emp1BaseProd*paramR2LOB1Disc1Meetings*paramR2LOB1Meetings*paramR2LOB1Clinician8Meetings,calcR2LOB1Clinician8Disc1Emp1ModifiedProd))</f>
        <v>0</v>
      </c>
      <c r="N284" s="131" t="s">
        <v>6092</v>
      </c>
    </row>
    <row r="285" spans="1:16" ht="12.75" customHeight="1">
      <c r="A285" s="461"/>
      <c r="B285" s="635"/>
      <c r="C285" s="170">
        <v>9</v>
      </c>
      <c r="D285" s="131" t="s">
        <v>550</v>
      </c>
      <c r="E285" s="453">
        <f>IF(calcLOB1Clinician9Disc1Emp1BaseProd=0,0,IF(calcLOB1Clinician9Disc1Emp1ModifiedProd=0,calcLOB1Clinician9Disc1Emp1BaseProd*paramLOB1Disc1Meetings*paramLOB1Meetings*paramLOB1Clinician9Meetings,calcLOB1Clinician9Disc1Emp1ModifiedProd))</f>
        <v>0</v>
      </c>
      <c r="F285" s="453">
        <f>IF(calcLOB1Clinician9Disc1Emp1BaseProd=0,0,IF(calcLOB1Clinician9Disc1Emp1ModifiedProd=0,calcLOB1Clinician9Disc1Emp1BaseProd*paramLOB1Disc1Meetings*paramLOB1Meetings*paramLOB1Clinician9Meetings,calcLOB1Clinician9Disc1Emp1ModifiedProd))</f>
        <v>0</v>
      </c>
      <c r="G285" s="453">
        <f>IF(calcLOB1Clinician9Disc1Emp1BaseProd=0,0,IF(calcLOB1Clinician9Disc1Emp1ModifiedProd=0,calcLOB1Clinician9Disc1Emp1BaseProd*paramLOB1Disc1Meetings*paramLOB1Meetings*paramLOB1Clinician9Meetings,calcLOB1Clinician9Disc1Emp1ModifiedProd))</f>
        <v>0</v>
      </c>
      <c r="H285" s="131" t="s">
        <v>1682</v>
      </c>
      <c r="J285" s="131" t="s">
        <v>550</v>
      </c>
      <c r="K285" s="727">
        <f>IF(calcR2LOB1Clinician9Disc1Emp1BaseProd=0,0,IF(calcR2LOB1Clinician9Disc1Emp1ModifiedProd=0,calcR2LOB1Clinician9Disc1Emp1BaseProd*paramR2LOB1Disc1Meetings*paramR2LOB1Meetings*paramR2LOB1Clinician9Meetings,calcR2LOB1Clinician9Disc1Emp1ModifiedProd))</f>
        <v>0</v>
      </c>
      <c r="L285" s="727">
        <f>IF(calcR2LOB1Clinician9Disc1Emp1BaseProd=0,0,IF(calcR2LOB1Clinician9Disc1Emp1ModifiedProd=0,calcR2LOB1Clinician9Disc1Emp1BaseProd*paramR2LOB1Disc1Meetings*paramR2LOB1Meetings*paramR2LOB1Clinician9Meetings,calcR2LOB1Clinician9Disc1Emp1ModifiedProd))</f>
        <v>0</v>
      </c>
      <c r="M285" s="727">
        <f>IF(calcR2LOB1Clinician9Disc1Emp1BaseProd=0,0,IF(calcR2LOB1Clinician9Disc1Emp1ModifiedProd=0,calcR2LOB1Clinician9Disc1Emp1BaseProd*paramR2LOB1Disc1Meetings*paramR2LOB1Meetings*paramR2LOB1Clinician9Meetings,calcR2LOB1Clinician9Disc1Emp1ModifiedProd))</f>
        <v>0</v>
      </c>
      <c r="N285" s="131" t="s">
        <v>6093</v>
      </c>
    </row>
    <row r="286" spans="1:16" ht="12.75" customHeight="1">
      <c r="A286" s="461"/>
      <c r="B286" s="635"/>
      <c r="C286" s="170">
        <v>10</v>
      </c>
      <c r="D286" s="131" t="s">
        <v>550</v>
      </c>
      <c r="E286" s="453">
        <f>IF(calcLOB1Clinician10Disc1Emp1BaseProd=0,0,IF(calcLOB1Clinician10Disc1Emp1ModifiedProd=0,calcLOB1Clinician10Disc1Emp1BaseProd*paramLOB1Disc1Meetings*paramLOB1Meetings*paramLOB1Clinician10Meetings,calcLOB1Clinician10Disc1Emp1ModifiedProd))</f>
        <v>0</v>
      </c>
      <c r="F286" s="453">
        <f>IF(calcLOB1Clinician10Disc1Emp1BaseProd=0,0,IF(calcLOB1Clinician10Disc1Emp1ModifiedProd=0,calcLOB1Clinician10Disc1Emp1BaseProd*paramLOB1Disc1Meetings*paramLOB1Meetings*paramLOB1Clinician10Meetings,calcLOB1Clinician10Disc1Emp1ModifiedProd))</f>
        <v>0</v>
      </c>
      <c r="G286" s="453">
        <f>IF(calcLOB1Clinician10Disc1Emp1BaseProd=0,0,IF(calcLOB1Clinician10Disc1Emp1ModifiedProd=0,calcLOB1Clinician10Disc1Emp1BaseProd*paramLOB1Disc1Meetings*paramLOB1Meetings*paramLOB1Clinician10Meetings,calcLOB1Clinician10Disc1Emp1ModifiedProd))</f>
        <v>0</v>
      </c>
      <c r="H286" s="131" t="s">
        <v>1683</v>
      </c>
      <c r="J286" s="131" t="s">
        <v>550</v>
      </c>
      <c r="K286" s="727">
        <f>IF(calcR2LOB1Clinician10Disc1Emp1BaseProd=0,0,IF(calcR2LOB1Clinician10Disc1Emp1ModifiedProd=0,calcR2LOB1Clinician10Disc1Emp1BaseProd*paramR2LOB1Disc1Meetings*paramR2LOB1Meetings*paramR2LOB1Clinician10Meetings,calcR2LOB1Clinician10Disc1Emp1ModifiedProd))</f>
        <v>0</v>
      </c>
      <c r="L286" s="727">
        <f>IF(calcR2LOB1Clinician10Disc1Emp1BaseProd=0,0,IF(calcR2LOB1Clinician10Disc1Emp1ModifiedProd=0,calcR2LOB1Clinician10Disc1Emp1BaseProd*paramR2LOB1Disc1Meetings*paramR2LOB1Meetings*paramR2LOB1Clinician10Meetings,calcR2LOB1Clinician10Disc1Emp1ModifiedProd))</f>
        <v>0</v>
      </c>
      <c r="M286" s="727">
        <f>IF(calcR2LOB1Clinician10Disc1Emp1BaseProd=0,0,IF(calcR2LOB1Clinician10Disc1Emp1ModifiedProd=0,calcR2LOB1Clinician10Disc1Emp1BaseProd*paramR2LOB1Disc1Meetings*paramR2LOB1Meetings*paramR2LOB1Clinician10Meetings,calcR2LOB1Clinician10Disc1Emp1ModifiedProd))</f>
        <v>0</v>
      </c>
      <c r="N286" s="131" t="s">
        <v>6094</v>
      </c>
    </row>
    <row r="287" spans="1:16" ht="12.75" customHeight="1">
      <c r="A287" s="461"/>
      <c r="B287" s="635"/>
      <c r="C287" s="170">
        <v>11</v>
      </c>
      <c r="D287" s="131" t="s">
        <v>550</v>
      </c>
      <c r="E287" s="453">
        <f>IF(calcLOB1Clinician11Disc1Emp1BaseProd=0,0,IF(calcLOB1Clinician11Disc1Emp1ModifiedProd=0,calcLOB1Clinician11Disc1Emp1BaseProd*paramLOB1Disc1Meetings*paramLOB1Meetings*paramLOB1Clinician11Meetings,calcLOB1Clinician11Disc1Emp1ModifiedProd))</f>
        <v>0</v>
      </c>
      <c r="F287" s="453">
        <f>IF(calcLOB1Clinician11Disc1Emp1BaseProd=0,0,IF(calcLOB1Clinician11Disc1Emp1ModifiedProd=0,calcLOB1Clinician11Disc1Emp1BaseProd*paramLOB1Disc1Meetings*paramLOB1Meetings*paramLOB1Clinician11Meetings,calcLOB1Clinician11Disc1Emp1ModifiedProd))</f>
        <v>0</v>
      </c>
      <c r="G287" s="453">
        <f>IF(calcLOB1Clinician11Disc1Emp1BaseProd=0,0,IF(calcLOB1Clinician11Disc1Emp1ModifiedProd=0,calcLOB1Clinician11Disc1Emp1BaseProd*paramLOB1Disc1Meetings*paramLOB1Meetings*paramLOB1Clinician11Meetings,calcLOB1Clinician11Disc1Emp1ModifiedProd))</f>
        <v>0</v>
      </c>
      <c r="H287" s="131" t="s">
        <v>1684</v>
      </c>
      <c r="J287" s="131" t="s">
        <v>550</v>
      </c>
      <c r="K287" s="727">
        <f>IF(calcR2LOB1Clinician11Disc1Emp1BaseProd=0,0,IF(calcR2LOB1Clinician11Disc1Emp1ModifiedProd=0,calcR2LOB1Clinician11Disc1Emp1BaseProd*paramR2LOB1Disc1Meetings*paramR2LOB1Meetings*paramR2LOB1Clinician11Meetings,calcR2LOB1Clinician11Disc1Emp1ModifiedProd))</f>
        <v>0</v>
      </c>
      <c r="L287" s="727">
        <f>IF(calcR2LOB1Clinician11Disc1Emp1BaseProd=0,0,IF(calcR2LOB1Clinician11Disc1Emp1ModifiedProd=0,calcR2LOB1Clinician11Disc1Emp1BaseProd*paramR2LOB1Disc1Meetings*paramR2LOB1Meetings*paramR2LOB1Clinician11Meetings,calcR2LOB1Clinician11Disc1Emp1ModifiedProd))</f>
        <v>0</v>
      </c>
      <c r="M287" s="727">
        <f>IF(calcR2LOB1Clinician11Disc1Emp1BaseProd=0,0,IF(calcR2LOB1Clinician11Disc1Emp1ModifiedProd=0,calcR2LOB1Clinician11Disc1Emp1BaseProd*paramR2LOB1Disc1Meetings*paramR2LOB1Meetings*paramR2LOB1Clinician11Meetings,calcR2LOB1Clinician11Disc1Emp1ModifiedProd))</f>
        <v>0</v>
      </c>
      <c r="N287" s="131" t="s">
        <v>6095</v>
      </c>
    </row>
    <row r="288" spans="1:16" ht="12.75" customHeight="1">
      <c r="A288" s="461"/>
      <c r="B288" s="635"/>
      <c r="C288" s="170">
        <v>12</v>
      </c>
      <c r="D288" s="131" t="s">
        <v>550</v>
      </c>
      <c r="E288" s="453">
        <f>IF(calcLOB1Clinician12Disc1Emp1BaseProd=0,0,IF(calcLOB1Clinician12Disc1Emp1ModifiedProd=0,calcLOB1Clinician12Disc1Emp1BaseProd*paramLOB1Disc1Meetings*paramLOB1Meetings*paramLOB1Clinician12Meetings,calcLOB1Clinician12Disc1Emp1ModifiedProd))</f>
        <v>0</v>
      </c>
      <c r="F288" s="453">
        <f>IF(calcLOB1Clinician12Disc1Emp1BaseProd=0,0,IF(calcLOB1Clinician12Disc1Emp1ModifiedProd=0,calcLOB1Clinician12Disc1Emp1BaseProd*paramLOB1Disc1Meetings*paramLOB1Meetings*paramLOB1Clinician12Meetings,calcLOB1Clinician12Disc1Emp1ModifiedProd))</f>
        <v>0</v>
      </c>
      <c r="G288" s="453">
        <f>IF(calcLOB1Clinician12Disc1Emp1BaseProd=0,0,IF(calcLOB1Clinician12Disc1Emp1ModifiedProd=0,calcLOB1Clinician12Disc1Emp1BaseProd*paramLOB1Disc1Meetings*paramLOB1Meetings*paramLOB1Clinician12Meetings,calcLOB1Clinician12Disc1Emp1ModifiedProd))</f>
        <v>0</v>
      </c>
      <c r="H288" s="131" t="s">
        <v>1685</v>
      </c>
      <c r="J288" s="131" t="s">
        <v>550</v>
      </c>
      <c r="K288" s="727">
        <f>IF(calcR2LOB1Clinician12Disc1Emp1BaseProd=0,0,IF(calcR2LOB1Clinician12Disc1Emp1ModifiedProd=0,calcR2LOB1Clinician12Disc1Emp1BaseProd*paramR2LOB1Disc1Meetings*paramR2LOB1Meetings*paramR2LOB1Clinician12Meetings,calcR2LOB1Clinician12Disc1Emp1ModifiedProd))</f>
        <v>0</v>
      </c>
      <c r="L288" s="727">
        <f>IF(calcR2LOB1Clinician12Disc1Emp1BaseProd=0,0,IF(calcR2LOB1Clinician12Disc1Emp1ModifiedProd=0,calcR2LOB1Clinician12Disc1Emp1BaseProd*paramR2LOB1Disc1Meetings*paramR2LOB1Meetings*paramR2LOB1Clinician12Meetings,calcR2LOB1Clinician12Disc1Emp1ModifiedProd))</f>
        <v>0</v>
      </c>
      <c r="M288" s="727">
        <f>IF(calcR2LOB1Clinician12Disc1Emp1BaseProd=0,0,IF(calcR2LOB1Clinician12Disc1Emp1ModifiedProd=0,calcR2LOB1Clinician12Disc1Emp1BaseProd*paramR2LOB1Disc1Meetings*paramR2LOB1Meetings*paramR2LOB1Clinician12Meetings,calcR2LOB1Clinician12Disc1Emp1ModifiedProd))</f>
        <v>0</v>
      </c>
      <c r="N288" s="131" t="s">
        <v>6096</v>
      </c>
    </row>
    <row r="289" spans="1:14" ht="12.75" customHeight="1">
      <c r="A289" s="461"/>
      <c r="B289" s="635"/>
      <c r="D289" s="131" t="s">
        <v>550</v>
      </c>
      <c r="E289" s="453">
        <f>cbalLOB1AvgProdClinician13</f>
        <v>107.73</v>
      </c>
      <c r="F289" s="453">
        <f>cbalLOB1AvgProdClinician13</f>
        <v>241.1206875</v>
      </c>
      <c r="G289" s="453">
        <f>cbalLOB1AvgProdClinician13</f>
        <v>127.416375</v>
      </c>
      <c r="H289" s="131" t="s">
        <v>4040</v>
      </c>
      <c r="J289" s="131" t="s">
        <v>550</v>
      </c>
      <c r="K289" s="453">
        <f>cbalR2LOB1AvgProdClinician13</f>
        <v>88.880544982269981</v>
      </c>
      <c r="L289" s="453">
        <f>cbalR2LOB1AvgProdClinician13</f>
        <v>215.74923364455404</v>
      </c>
      <c r="M289" s="453">
        <f>cbalR2LOB1AvgProdClinician13</f>
        <v>107.5293703741514</v>
      </c>
      <c r="N289" s="131" t="s">
        <v>6097</v>
      </c>
    </row>
    <row r="290" spans="1:14" ht="12.75" customHeight="1">
      <c r="A290" s="461"/>
      <c r="B290" s="635"/>
      <c r="C290" s="170">
        <v>1</v>
      </c>
      <c r="D290" s="131" t="s">
        <v>554</v>
      </c>
      <c r="E290" s="453">
        <f>IF(calcLOB1Clinician1Disc2Emp1BaseProd=0,0,IF(calcLOB1Clinician1Disc2Emp1ModifiedProd=0,calcLOB1Clinician1Disc2Emp1BaseProd*paramLOB1Disc2Meetings*paramLOB1Meetings*paramLOB1Clinician1Meetings,calcLOB1Clinician1Disc2Emp1ModifiedProd))</f>
        <v>0</v>
      </c>
      <c r="F290" s="453">
        <f>IF(calcLOB1Clinician1Disc2Emp1BaseProd=0,0,IF(calcLOB1Clinician1Disc2Emp1ModifiedProd=0,calcLOB1Clinician1Disc2Emp1BaseProd*paramLOB1Disc2Meetings*paramLOB1Meetings*paramLOB1Clinician1Meetings,calcLOB1Clinician1Disc2Emp1ModifiedProd))</f>
        <v>0</v>
      </c>
      <c r="G290" s="453">
        <f>IF(calcLOB1Clinician1Disc2Emp1BaseProd=0,0,IF(calcLOB1Clinician1Disc2Emp1ModifiedProd=0,calcLOB1Clinician1Disc2Emp1BaseProd*paramLOB1Disc2Meetings*paramLOB1Meetings*paramLOB1Clinician1Meetings,calcLOB1Clinician1Disc2Emp1ModifiedProd))</f>
        <v>0</v>
      </c>
      <c r="H290" s="131" t="s">
        <v>1686</v>
      </c>
      <c r="J290" s="131" t="s">
        <v>554</v>
      </c>
      <c r="K290" s="727">
        <f>IF(calcR2LOB1Clinician1Disc2Emp1BaseProd=0,0,IF(calcR2LOB1Clinician1Disc2Emp1ModifiedProd=0,calcR2LOB1Clinician1Disc2Emp1BaseProd*paramR2LOB1Disc2Meetings*paramR2LOB1Meetings*paramR2LOB1Clinician1Meetings,calcR2LOB1Clinician1Disc2Emp1ModifiedProd))</f>
        <v>0</v>
      </c>
      <c r="L290" s="727">
        <f>IF(calcR2LOB1Clinician1Disc2Emp1BaseProd=0,0,IF(calcR2LOB1Clinician1Disc2Emp1ModifiedProd=0,calcR2LOB1Clinician1Disc2Emp1BaseProd*paramR2LOB1Disc2Meetings*paramR2LOB1Meetings*paramR2LOB1Clinician1Meetings,calcR2LOB1Clinician1Disc2Emp1ModifiedProd))</f>
        <v>0</v>
      </c>
      <c r="M290" s="727">
        <f>IF(calcR2LOB1Clinician1Disc2Emp1BaseProd=0,0,IF(calcR2LOB1Clinician1Disc2Emp1ModifiedProd=0,calcR2LOB1Clinician1Disc2Emp1BaseProd*paramR2LOB1Disc2Meetings*paramR2LOB1Meetings*paramR2LOB1Clinician1Meetings,calcR2LOB1Clinician1Disc2Emp1ModifiedProd))</f>
        <v>0</v>
      </c>
      <c r="N290" s="131" t="s">
        <v>6098</v>
      </c>
    </row>
    <row r="291" spans="1:14" ht="12.75" customHeight="1">
      <c r="A291" s="461"/>
      <c r="B291" s="635"/>
      <c r="C291" s="170">
        <v>2</v>
      </c>
      <c r="D291" s="131" t="s">
        <v>554</v>
      </c>
      <c r="E291" s="453">
        <f>IF(calcLOB1Clinician2Disc2Emp1BaseProd=0,0,IF(calcLOB1Clinician2Disc2Emp1ModifiedProd=0,calcLOB1Clinician2Disc2Emp1BaseProd*paramLOB1Disc2Meetings*paramLOB1Meetings*paramLOB1Clinician2Meetings,calcLOB1Clinician2Disc2Emp1ModifiedProd))</f>
        <v>0</v>
      </c>
      <c r="F291" s="453">
        <f>IF(calcLOB1Clinician2Disc2Emp1BaseProd=0,0,IF(calcLOB1Clinician2Disc2Emp1ModifiedProd=0,calcLOB1Clinician2Disc2Emp1BaseProd*paramLOB1Disc2Meetings*paramLOB1Meetings*paramLOB1Clinician2Meetings,calcLOB1Clinician2Disc2Emp1ModifiedProd))</f>
        <v>0</v>
      </c>
      <c r="G291" s="453">
        <f>IF(calcLOB1Clinician2Disc2Emp1BaseProd=0,0,IF(calcLOB1Clinician2Disc2Emp1ModifiedProd=0,calcLOB1Clinician2Disc2Emp1BaseProd*paramLOB1Disc2Meetings*paramLOB1Meetings*paramLOB1Clinician2Meetings,calcLOB1Clinician2Disc2Emp1ModifiedProd))</f>
        <v>0</v>
      </c>
      <c r="H291" s="131" t="s">
        <v>1687</v>
      </c>
      <c r="J291" s="131" t="s">
        <v>554</v>
      </c>
      <c r="K291" s="727">
        <f>IF(calcR2LOB1Clinician2Disc2Emp1BaseProd=0,0,IF(calcR2LOB1Clinician2Disc2Emp1ModifiedProd=0,calcR2LOB1Clinician2Disc2Emp1BaseProd*paramR2LOB1Disc2Meetings*paramR2LOB1Meetings*paramR2LOB1Clinician2Meetings,calcR2LOB1Clinician2Disc2Emp1ModifiedProd))</f>
        <v>0</v>
      </c>
      <c r="L291" s="727">
        <f>IF(calcR2LOB1Clinician2Disc2Emp1BaseProd=0,0,IF(calcR2LOB1Clinician2Disc2Emp1ModifiedProd=0,calcR2LOB1Clinician2Disc2Emp1BaseProd*paramR2LOB1Disc2Meetings*paramR2LOB1Meetings*paramR2LOB1Clinician2Meetings,calcR2LOB1Clinician2Disc2Emp1ModifiedProd))</f>
        <v>0</v>
      </c>
      <c r="M291" s="727">
        <f>IF(calcR2LOB1Clinician2Disc2Emp1BaseProd=0,0,IF(calcR2LOB1Clinician2Disc2Emp1ModifiedProd=0,calcR2LOB1Clinician2Disc2Emp1BaseProd*paramR2LOB1Disc2Meetings*paramR2LOB1Meetings*paramR2LOB1Clinician2Meetings,calcR2LOB1Clinician2Disc2Emp1ModifiedProd))</f>
        <v>0</v>
      </c>
      <c r="N291" s="131" t="s">
        <v>6099</v>
      </c>
    </row>
    <row r="292" spans="1:14" ht="12.75" customHeight="1">
      <c r="A292" s="461"/>
      <c r="B292" s="635"/>
      <c r="C292" s="170">
        <v>3</v>
      </c>
      <c r="D292" s="131" t="s">
        <v>554</v>
      </c>
      <c r="E292" s="453">
        <f>IF(calcLOB1Clinician3Disc2Emp1BaseProd=0,0,IF(calcLOB1Clinician3Disc2Emp1ModifiedProd=0,calcLOB1Clinician3Disc2Emp1BaseProd*paramLOB1Disc2Meetings*paramLOB1Meetings*paramLOB1Clinician3Meetings,calcLOB1Clinician3Disc2Emp1ModifiedProd))</f>
        <v>0</v>
      </c>
      <c r="F292" s="453">
        <f>IF(calcLOB1Clinician3Disc2Emp1BaseProd=0,0,IF(calcLOB1Clinician3Disc2Emp1ModifiedProd=0,calcLOB1Clinician3Disc2Emp1BaseProd*paramLOB1Disc2Meetings*paramLOB1Meetings*paramLOB1Clinician3Meetings,calcLOB1Clinician3Disc2Emp1ModifiedProd))</f>
        <v>0</v>
      </c>
      <c r="G292" s="453">
        <f>IF(calcLOB1Clinician3Disc2Emp1BaseProd=0,0,IF(calcLOB1Clinician3Disc2Emp1ModifiedProd=0,calcLOB1Clinician3Disc2Emp1BaseProd*paramLOB1Disc2Meetings*paramLOB1Meetings*paramLOB1Clinician3Meetings,calcLOB1Clinician3Disc2Emp1ModifiedProd))</f>
        <v>0</v>
      </c>
      <c r="H292" s="131" t="s">
        <v>1688</v>
      </c>
      <c r="J292" s="131" t="s">
        <v>554</v>
      </c>
      <c r="K292" s="727">
        <f>IF(calcR2LOB1Clinician3Disc2Emp1BaseProd=0,0,IF(calcR2LOB1Clinician3Disc2Emp1ModifiedProd=0,calcR2LOB1Clinician3Disc2Emp1BaseProd*paramR2LOB1Disc2Meetings*paramR2LOB1Meetings*paramR2LOB1Clinician3Meetings,calcR2LOB1Clinician3Disc2Emp1ModifiedProd))</f>
        <v>0</v>
      </c>
      <c r="L292" s="727">
        <f>IF(calcR2LOB1Clinician3Disc2Emp1BaseProd=0,0,IF(calcR2LOB1Clinician3Disc2Emp1ModifiedProd=0,calcR2LOB1Clinician3Disc2Emp1BaseProd*paramR2LOB1Disc2Meetings*paramR2LOB1Meetings*paramR2LOB1Clinician3Meetings,calcR2LOB1Clinician3Disc2Emp1ModifiedProd))</f>
        <v>0</v>
      </c>
      <c r="M292" s="727">
        <f>IF(calcR2LOB1Clinician3Disc2Emp1BaseProd=0,0,IF(calcR2LOB1Clinician3Disc2Emp1ModifiedProd=0,calcR2LOB1Clinician3Disc2Emp1BaseProd*paramR2LOB1Disc2Meetings*paramR2LOB1Meetings*paramR2LOB1Clinician3Meetings,calcR2LOB1Clinician3Disc2Emp1ModifiedProd))</f>
        <v>0</v>
      </c>
      <c r="N292" s="131" t="s">
        <v>6100</v>
      </c>
    </row>
    <row r="293" spans="1:14" ht="12.75" customHeight="1">
      <c r="A293" s="461"/>
      <c r="B293" s="635"/>
      <c r="C293" s="170">
        <v>4</v>
      </c>
      <c r="D293" s="131" t="s">
        <v>554</v>
      </c>
      <c r="E293" s="453">
        <f>IF(calcLOB1Clinician4Disc2Emp1BaseProd=0,0,IF(calcLOB1Clinician4Disc2Emp1ModifiedProd=0,calcLOB1Clinician4Disc2Emp1BaseProd*paramLOB1Disc2Meetings*paramLOB1Meetings*paramLOB1Clinician4Meetings,calcLOB1Clinician4Disc2Emp1ModifiedProd))</f>
        <v>33</v>
      </c>
      <c r="F293" s="453">
        <f>IF(calcLOB1Clinician4Disc2Emp1BaseProd=0,0,IF(calcLOB1Clinician4Disc2Emp1ModifiedProd=0,calcLOB1Clinician4Disc2Emp1BaseProd*paramLOB1Disc2Meetings*paramLOB1Meetings*paramLOB1Clinician4Meetings,calcLOB1Clinician4Disc2Emp1ModifiedProd))</f>
        <v>33</v>
      </c>
      <c r="G293" s="453">
        <f>IF(calcLOB1Clinician4Disc2Emp1BaseProd=0,0,IF(calcLOB1Clinician4Disc2Emp1ModifiedProd=0,calcLOB1Clinician4Disc2Emp1BaseProd*paramLOB1Disc2Meetings*paramLOB1Meetings*paramLOB1Clinician4Meetings,calcLOB1Clinician4Disc2Emp1ModifiedProd))</f>
        <v>33</v>
      </c>
      <c r="H293" s="131" t="s">
        <v>1689</v>
      </c>
      <c r="J293" s="131" t="s">
        <v>554</v>
      </c>
      <c r="K293" s="727">
        <f>IF(calcR2LOB1Clinician4Disc2Emp1BaseProd=0,0,IF(calcR2LOB1Clinician4Disc2Emp1ModifiedProd=0,calcR2LOB1Clinician4Disc2Emp1BaseProd*paramR2LOB1Disc2Meetings*paramR2LOB1Meetings*paramR2LOB1Clinician4Meetings,calcR2LOB1Clinician4Disc2Emp1ModifiedProd))</f>
        <v>33</v>
      </c>
      <c r="L293" s="727">
        <f>IF(calcR2LOB1Clinician4Disc2Emp1BaseProd=0,0,IF(calcR2LOB1Clinician4Disc2Emp1ModifiedProd=0,calcR2LOB1Clinician4Disc2Emp1BaseProd*paramR2LOB1Disc2Meetings*paramR2LOB1Meetings*paramR2LOB1Clinician4Meetings,calcR2LOB1Clinician4Disc2Emp1ModifiedProd))</f>
        <v>33</v>
      </c>
      <c r="M293" s="727">
        <f>IF(calcR2LOB1Clinician4Disc2Emp1BaseProd=0,0,IF(calcR2LOB1Clinician4Disc2Emp1ModifiedProd=0,calcR2LOB1Clinician4Disc2Emp1BaseProd*paramR2LOB1Disc2Meetings*paramR2LOB1Meetings*paramR2LOB1Clinician4Meetings,calcR2LOB1Clinician4Disc2Emp1ModifiedProd))</f>
        <v>33</v>
      </c>
      <c r="N293" s="131" t="s">
        <v>6101</v>
      </c>
    </row>
    <row r="294" spans="1:14" ht="12.75" customHeight="1">
      <c r="A294" s="461"/>
      <c r="B294" s="635"/>
      <c r="C294" s="170">
        <v>5</v>
      </c>
      <c r="D294" s="131" t="s">
        <v>554</v>
      </c>
      <c r="E294" s="453">
        <f>IF(calcLOB1Clinician5Disc2Emp1BaseProd=0,0,IF(calcLOB1Clinician5Disc2Emp1ModifiedProd=0,calcLOB1Clinician5Disc2Emp1BaseProd*paramLOB1Disc2Meetings*paramLOB1Meetings*paramLOB1Clinician5Meetings,calcLOB1Clinician5Disc2Emp1ModifiedProd))</f>
        <v>17.52577319587629</v>
      </c>
      <c r="F294" s="453">
        <f>IF(calcLOB1Clinician5Disc2Emp1BaseProd=0,0,IF(calcLOB1Clinician5Disc2Emp1ModifiedProd=0,calcLOB1Clinician5Disc2Emp1BaseProd*paramLOB1Disc2Meetings*paramLOB1Meetings*paramLOB1Clinician5Meetings,calcLOB1Clinician5Disc2Emp1ModifiedProd))</f>
        <v>17.52577319587629</v>
      </c>
      <c r="G294" s="453">
        <f>IF(calcLOB1Clinician5Disc2Emp1BaseProd=0,0,IF(calcLOB1Clinician5Disc2Emp1ModifiedProd=0,calcLOB1Clinician5Disc2Emp1BaseProd*paramLOB1Disc2Meetings*paramLOB1Meetings*paramLOB1Clinician5Meetings,calcLOB1Clinician5Disc2Emp1ModifiedProd))</f>
        <v>17.52577319587629</v>
      </c>
      <c r="H294" s="131" t="s">
        <v>1690</v>
      </c>
      <c r="J294" s="131" t="s">
        <v>554</v>
      </c>
      <c r="K294" s="727">
        <f>IF(calcR2LOB1Clinician5Disc2Emp1BaseProd=0,0,IF(calcR2LOB1Clinician5Disc2Emp1ModifiedProd=0,calcR2LOB1Clinician5Disc2Emp1BaseProd*paramR2LOB1Disc2Meetings*paramR2LOB1Meetings*paramR2LOB1Clinician5Meetings,calcR2LOB1Clinician5Disc2Emp1ModifiedProd))</f>
        <v>17.52577319587629</v>
      </c>
      <c r="L294" s="727">
        <f>IF(calcR2LOB1Clinician5Disc2Emp1BaseProd=0,0,IF(calcR2LOB1Clinician5Disc2Emp1ModifiedProd=0,calcR2LOB1Clinician5Disc2Emp1BaseProd*paramR2LOB1Disc2Meetings*paramR2LOB1Meetings*paramR2LOB1Clinician5Meetings,calcR2LOB1Clinician5Disc2Emp1ModifiedProd))</f>
        <v>17.52577319587629</v>
      </c>
      <c r="M294" s="727">
        <f>IF(calcR2LOB1Clinician5Disc2Emp1BaseProd=0,0,IF(calcR2LOB1Clinician5Disc2Emp1ModifiedProd=0,calcR2LOB1Clinician5Disc2Emp1BaseProd*paramR2LOB1Disc2Meetings*paramR2LOB1Meetings*paramR2LOB1Clinician5Meetings,calcR2LOB1Clinician5Disc2Emp1ModifiedProd))</f>
        <v>17.52577319587629</v>
      </c>
      <c r="N294" s="131" t="s">
        <v>6102</v>
      </c>
    </row>
    <row r="295" spans="1:14" ht="12.75" customHeight="1">
      <c r="A295" s="461"/>
      <c r="B295" s="635"/>
      <c r="C295" s="170">
        <v>6</v>
      </c>
      <c r="D295" s="131" t="s">
        <v>554</v>
      </c>
      <c r="E295" s="453">
        <f>IF(calcLOB1Clinician6Disc2Emp1BaseProd=0,0,IF(calcLOB1Clinician6Disc2Emp1ModifiedProd=0,calcLOB1Clinician6Disc2Emp1BaseProd*paramLOB1Disc2Meetings*paramLOB1Meetings*paramLOB1Clinician6Meetings,calcLOB1Clinician6Disc2Emp1ModifiedProd))</f>
        <v>0</v>
      </c>
      <c r="F295" s="453">
        <f>IF(calcLOB1Clinician6Disc2Emp1BaseProd=0,0,IF(calcLOB1Clinician6Disc2Emp1ModifiedProd=0,calcLOB1Clinician6Disc2Emp1BaseProd*paramLOB1Disc2Meetings*paramLOB1Meetings*paramLOB1Clinician6Meetings,calcLOB1Clinician6Disc2Emp1ModifiedProd))</f>
        <v>0</v>
      </c>
      <c r="G295" s="453">
        <f>IF(calcLOB1Clinician6Disc2Emp1BaseProd=0,0,IF(calcLOB1Clinician6Disc2Emp1ModifiedProd=0,calcLOB1Clinician6Disc2Emp1BaseProd*paramLOB1Disc2Meetings*paramLOB1Meetings*paramLOB1Clinician6Meetings,calcLOB1Clinician6Disc2Emp1ModifiedProd))</f>
        <v>0</v>
      </c>
      <c r="H295" s="131" t="s">
        <v>1691</v>
      </c>
      <c r="J295" s="131" t="s">
        <v>554</v>
      </c>
      <c r="K295" s="727">
        <f>IF(calcR2LOB1Clinician6Disc2Emp1BaseProd=0,0,IF(calcR2LOB1Clinician6Disc2Emp1ModifiedProd=0,calcR2LOB1Clinician6Disc2Emp1BaseProd*paramR2LOB1Disc2Meetings*paramR2LOB1Meetings*paramR2LOB1Clinician6Meetings,calcR2LOB1Clinician6Disc2Emp1ModifiedProd))</f>
        <v>0</v>
      </c>
      <c r="L295" s="727">
        <f>IF(calcR2LOB1Clinician6Disc2Emp1BaseProd=0,0,IF(calcR2LOB1Clinician6Disc2Emp1ModifiedProd=0,calcR2LOB1Clinician6Disc2Emp1BaseProd*paramR2LOB1Disc2Meetings*paramR2LOB1Meetings*paramR2LOB1Clinician6Meetings,calcR2LOB1Clinician6Disc2Emp1ModifiedProd))</f>
        <v>0</v>
      </c>
      <c r="M295" s="727">
        <f>IF(calcR2LOB1Clinician6Disc2Emp1BaseProd=0,0,IF(calcR2LOB1Clinician6Disc2Emp1ModifiedProd=0,calcR2LOB1Clinician6Disc2Emp1BaseProd*paramR2LOB1Disc2Meetings*paramR2LOB1Meetings*paramR2LOB1Clinician6Meetings,calcR2LOB1Clinician6Disc2Emp1ModifiedProd))</f>
        <v>0</v>
      </c>
      <c r="N295" s="131" t="s">
        <v>6103</v>
      </c>
    </row>
    <row r="296" spans="1:14" ht="12.75" customHeight="1">
      <c r="A296" s="461"/>
      <c r="B296" s="635"/>
      <c r="C296" s="170">
        <v>7</v>
      </c>
      <c r="D296" s="131" t="s">
        <v>554</v>
      </c>
      <c r="E296" s="453">
        <f>IF(calcLOB1Clinician7Disc2Emp1BaseProd=0,0,IF(calcLOB1Clinician7Disc2Emp1ModifiedProd=0,calcLOB1Clinician7Disc2Emp1BaseProd*paramLOB1Disc2Meetings*paramLOB1Meetings*paramLOB1Clinician7Meetings,calcLOB1Clinician7Disc2Emp1ModifiedProd))</f>
        <v>0</v>
      </c>
      <c r="F296" s="453">
        <f>IF(calcLOB1Clinician7Disc2Emp1BaseProd=0,0,IF(calcLOB1Clinician7Disc2Emp1ModifiedProd=0,calcLOB1Clinician7Disc2Emp1BaseProd*paramLOB1Disc2Meetings*paramLOB1Meetings*paramLOB1Clinician7Meetings,calcLOB1Clinician7Disc2Emp1ModifiedProd))</f>
        <v>0</v>
      </c>
      <c r="G296" s="453">
        <f>IF(calcLOB1Clinician7Disc2Emp1BaseProd=0,0,IF(calcLOB1Clinician7Disc2Emp1ModifiedProd=0,calcLOB1Clinician7Disc2Emp1BaseProd*paramLOB1Disc2Meetings*paramLOB1Meetings*paramLOB1Clinician7Meetings,calcLOB1Clinician7Disc2Emp1ModifiedProd))</f>
        <v>0</v>
      </c>
      <c r="H296" s="131" t="s">
        <v>1692</v>
      </c>
      <c r="J296" s="131" t="s">
        <v>554</v>
      </c>
      <c r="K296" s="727">
        <f>IF(calcR2LOB1Clinician7Disc2Emp1BaseProd=0,0,IF(calcR2LOB1Clinician7Disc2Emp1ModifiedProd=0,calcR2LOB1Clinician7Disc2Emp1BaseProd*paramR2LOB1Disc2Meetings*paramR2LOB1Meetings*paramR2LOB1Clinician7Meetings,calcR2LOB1Clinician7Disc2Emp1ModifiedProd))</f>
        <v>0</v>
      </c>
      <c r="L296" s="727">
        <f>IF(calcR2LOB1Clinician7Disc2Emp1BaseProd=0,0,IF(calcR2LOB1Clinician7Disc2Emp1ModifiedProd=0,calcR2LOB1Clinician7Disc2Emp1BaseProd*paramR2LOB1Disc2Meetings*paramR2LOB1Meetings*paramR2LOB1Clinician7Meetings,calcR2LOB1Clinician7Disc2Emp1ModifiedProd))</f>
        <v>0</v>
      </c>
      <c r="M296" s="727">
        <f>IF(calcR2LOB1Clinician7Disc2Emp1BaseProd=0,0,IF(calcR2LOB1Clinician7Disc2Emp1ModifiedProd=0,calcR2LOB1Clinician7Disc2Emp1BaseProd*paramR2LOB1Disc2Meetings*paramR2LOB1Meetings*paramR2LOB1Clinician7Meetings,calcR2LOB1Clinician7Disc2Emp1ModifiedProd))</f>
        <v>0</v>
      </c>
      <c r="N296" s="131" t="s">
        <v>6104</v>
      </c>
    </row>
    <row r="297" spans="1:14" ht="12.75" customHeight="1">
      <c r="A297" s="461"/>
      <c r="B297" s="635"/>
      <c r="C297" s="170">
        <v>8</v>
      </c>
      <c r="D297" s="131" t="s">
        <v>554</v>
      </c>
      <c r="E297" s="453">
        <f>IF(calcLOB1Clinician8Disc2Emp1BaseProd=0,0,IF(calcLOB1Clinician8Disc2Emp1ModifiedProd=0,calcLOB1Clinician8Disc2Emp1BaseProd*paramLOB1Disc2Meetings*paramLOB1Meetings*paramLOB1Clinician8Meetings,calcLOB1Clinician8Disc2Emp1ModifiedProd))</f>
        <v>0</v>
      </c>
      <c r="F297" s="453">
        <f>IF(calcLOB1Clinician8Disc2Emp1BaseProd=0,0,IF(calcLOB1Clinician8Disc2Emp1ModifiedProd=0,calcLOB1Clinician8Disc2Emp1BaseProd*paramLOB1Disc2Meetings*paramLOB1Meetings*paramLOB1Clinician8Meetings,calcLOB1Clinician8Disc2Emp1ModifiedProd))</f>
        <v>0</v>
      </c>
      <c r="G297" s="453">
        <f>IF(calcLOB1Clinician8Disc2Emp1BaseProd=0,0,IF(calcLOB1Clinician8Disc2Emp1ModifiedProd=0,calcLOB1Clinician8Disc2Emp1BaseProd*paramLOB1Disc2Meetings*paramLOB1Meetings*paramLOB1Clinician8Meetings,calcLOB1Clinician8Disc2Emp1ModifiedProd))</f>
        <v>0</v>
      </c>
      <c r="H297" s="131" t="s">
        <v>1693</v>
      </c>
      <c r="J297" s="131" t="s">
        <v>554</v>
      </c>
      <c r="K297" s="727">
        <f>IF(calcR2LOB1Clinician8Disc2Emp1BaseProd=0,0,IF(calcR2LOB1Clinician8Disc2Emp1ModifiedProd=0,calcR2LOB1Clinician8Disc2Emp1BaseProd*paramR2LOB1Disc2Meetings*paramR2LOB1Meetings*paramR2LOB1Clinician8Meetings,calcR2LOB1Clinician8Disc2Emp1ModifiedProd))</f>
        <v>0</v>
      </c>
      <c r="L297" s="727">
        <f>IF(calcR2LOB1Clinician8Disc2Emp1BaseProd=0,0,IF(calcR2LOB1Clinician8Disc2Emp1ModifiedProd=0,calcR2LOB1Clinician8Disc2Emp1BaseProd*paramR2LOB1Disc2Meetings*paramR2LOB1Meetings*paramR2LOB1Clinician8Meetings,calcR2LOB1Clinician8Disc2Emp1ModifiedProd))</f>
        <v>0</v>
      </c>
      <c r="M297" s="727">
        <f>IF(calcR2LOB1Clinician8Disc2Emp1BaseProd=0,0,IF(calcR2LOB1Clinician8Disc2Emp1ModifiedProd=0,calcR2LOB1Clinician8Disc2Emp1BaseProd*paramR2LOB1Disc2Meetings*paramR2LOB1Meetings*paramR2LOB1Clinician8Meetings,calcR2LOB1Clinician8Disc2Emp1ModifiedProd))</f>
        <v>0</v>
      </c>
      <c r="N297" s="131" t="s">
        <v>6105</v>
      </c>
    </row>
    <row r="298" spans="1:14" ht="12.75" customHeight="1">
      <c r="A298" s="461"/>
      <c r="B298" s="635"/>
      <c r="C298" s="170">
        <v>9</v>
      </c>
      <c r="D298" s="131" t="s">
        <v>554</v>
      </c>
      <c r="E298" s="453">
        <f>IF(calcLOB1Clinician9Disc2Emp1BaseProd=0,0,IF(calcLOB1Clinician9Disc2Emp1ModifiedProd=0,calcLOB1Clinician9Disc2Emp1BaseProd*paramLOB1Disc2Meetings*paramLOB1Meetings*paramLOB1Clinician9Meetings,calcLOB1Clinician9Disc2Emp1ModifiedProd))</f>
        <v>0</v>
      </c>
      <c r="F298" s="453">
        <f>IF(calcLOB1Clinician9Disc2Emp1BaseProd=0,0,IF(calcLOB1Clinician9Disc2Emp1ModifiedProd=0,calcLOB1Clinician9Disc2Emp1BaseProd*paramLOB1Disc2Meetings*paramLOB1Meetings*paramLOB1Clinician9Meetings,calcLOB1Clinician9Disc2Emp1ModifiedProd))</f>
        <v>0</v>
      </c>
      <c r="G298" s="453">
        <f>IF(calcLOB1Clinician9Disc2Emp1BaseProd=0,0,IF(calcLOB1Clinician9Disc2Emp1ModifiedProd=0,calcLOB1Clinician9Disc2Emp1BaseProd*paramLOB1Disc2Meetings*paramLOB1Meetings*paramLOB1Clinician9Meetings,calcLOB1Clinician9Disc2Emp1ModifiedProd))</f>
        <v>0</v>
      </c>
      <c r="H298" s="131" t="s">
        <v>1694</v>
      </c>
      <c r="J298" s="131" t="s">
        <v>554</v>
      </c>
      <c r="K298" s="727">
        <f>IF(calcR2LOB1Clinician9Disc2Emp1BaseProd=0,0,IF(calcR2LOB1Clinician9Disc2Emp1ModifiedProd=0,calcR2LOB1Clinician9Disc2Emp1BaseProd*paramR2LOB1Disc2Meetings*paramR2LOB1Meetings*paramR2LOB1Clinician9Meetings,calcR2LOB1Clinician9Disc2Emp1ModifiedProd))</f>
        <v>0</v>
      </c>
      <c r="L298" s="727">
        <f>IF(calcR2LOB1Clinician9Disc2Emp1BaseProd=0,0,IF(calcR2LOB1Clinician9Disc2Emp1ModifiedProd=0,calcR2LOB1Clinician9Disc2Emp1BaseProd*paramR2LOB1Disc2Meetings*paramR2LOB1Meetings*paramR2LOB1Clinician9Meetings,calcR2LOB1Clinician9Disc2Emp1ModifiedProd))</f>
        <v>0</v>
      </c>
      <c r="M298" s="727">
        <f>IF(calcR2LOB1Clinician9Disc2Emp1BaseProd=0,0,IF(calcR2LOB1Clinician9Disc2Emp1ModifiedProd=0,calcR2LOB1Clinician9Disc2Emp1BaseProd*paramR2LOB1Disc2Meetings*paramR2LOB1Meetings*paramR2LOB1Clinician9Meetings,calcR2LOB1Clinician9Disc2Emp1ModifiedProd))</f>
        <v>0</v>
      </c>
      <c r="N298" s="131" t="s">
        <v>6106</v>
      </c>
    </row>
    <row r="299" spans="1:14" ht="12.75" customHeight="1">
      <c r="A299" s="461"/>
      <c r="B299" s="635"/>
      <c r="C299" s="170">
        <v>10</v>
      </c>
      <c r="D299" s="131" t="s">
        <v>554</v>
      </c>
      <c r="E299" s="453">
        <f>IF(calcLOB1Clinician10Disc2Emp1BaseProd=0,0,IF(calcLOB1Clinician10Disc2Emp1ModifiedProd=0,calcLOB1Clinician10Disc2Emp1BaseProd*paramLOB1Disc2Meetings*paramLOB1Meetings*paramLOB1Clinician10Meetings,calcLOB1Clinician10Disc2Emp1ModifiedProd))</f>
        <v>0</v>
      </c>
      <c r="F299" s="453">
        <f>IF(calcLOB1Clinician10Disc2Emp1BaseProd=0,0,IF(calcLOB1Clinician10Disc2Emp1ModifiedProd=0,calcLOB1Clinician10Disc2Emp1BaseProd*paramLOB1Disc2Meetings*paramLOB1Meetings*paramLOB1Clinician10Meetings,calcLOB1Clinician10Disc2Emp1ModifiedProd))</f>
        <v>0</v>
      </c>
      <c r="G299" s="453">
        <f>IF(calcLOB1Clinician10Disc2Emp1BaseProd=0,0,IF(calcLOB1Clinician10Disc2Emp1ModifiedProd=0,calcLOB1Clinician10Disc2Emp1BaseProd*paramLOB1Disc2Meetings*paramLOB1Meetings*paramLOB1Clinician10Meetings,calcLOB1Clinician10Disc2Emp1ModifiedProd))</f>
        <v>0</v>
      </c>
      <c r="H299" s="131" t="s">
        <v>1695</v>
      </c>
      <c r="J299" s="131" t="s">
        <v>554</v>
      </c>
      <c r="K299" s="727">
        <f>IF(calcR2LOB1Clinician10Disc2Emp1BaseProd=0,0,IF(calcR2LOB1Clinician10Disc2Emp1ModifiedProd=0,calcR2LOB1Clinician10Disc2Emp1BaseProd*paramR2LOB1Disc2Meetings*paramR2LOB1Meetings*paramR2LOB1Clinician10Meetings,calcR2LOB1Clinician10Disc2Emp1ModifiedProd))</f>
        <v>0</v>
      </c>
      <c r="L299" s="727">
        <f>IF(calcR2LOB1Clinician10Disc2Emp1BaseProd=0,0,IF(calcR2LOB1Clinician10Disc2Emp1ModifiedProd=0,calcR2LOB1Clinician10Disc2Emp1BaseProd*paramR2LOB1Disc2Meetings*paramR2LOB1Meetings*paramR2LOB1Clinician10Meetings,calcR2LOB1Clinician10Disc2Emp1ModifiedProd))</f>
        <v>0</v>
      </c>
      <c r="M299" s="727">
        <f>IF(calcR2LOB1Clinician10Disc2Emp1BaseProd=0,0,IF(calcR2LOB1Clinician10Disc2Emp1ModifiedProd=0,calcR2LOB1Clinician10Disc2Emp1BaseProd*paramR2LOB1Disc2Meetings*paramR2LOB1Meetings*paramR2LOB1Clinician10Meetings,calcR2LOB1Clinician10Disc2Emp1ModifiedProd))</f>
        <v>0</v>
      </c>
      <c r="N299" s="131" t="s">
        <v>6107</v>
      </c>
    </row>
    <row r="300" spans="1:14" ht="12.75" customHeight="1">
      <c r="A300" s="461"/>
      <c r="B300" s="635"/>
      <c r="C300" s="170">
        <v>11</v>
      </c>
      <c r="D300" s="131" t="s">
        <v>554</v>
      </c>
      <c r="E300" s="453">
        <f>IF(calcLOB1Clinician11Disc2Emp1BaseProd=0,0,IF(calcLOB1Clinician11Disc2Emp1ModifiedProd=0,calcLOB1Clinician11Disc2Emp1BaseProd*paramLOB1Disc2Meetings*paramLOB1Meetings*paramLOB1Clinician11Meetings,calcLOB1Clinician11Disc2Emp1ModifiedProd))</f>
        <v>0</v>
      </c>
      <c r="F300" s="453">
        <f>IF(calcLOB1Clinician11Disc2Emp1BaseProd=0,0,IF(calcLOB1Clinician11Disc2Emp1ModifiedProd=0,calcLOB1Clinician11Disc2Emp1BaseProd*paramLOB1Disc2Meetings*paramLOB1Meetings*paramLOB1Clinician11Meetings,calcLOB1Clinician11Disc2Emp1ModifiedProd))</f>
        <v>0</v>
      </c>
      <c r="G300" s="453">
        <f>IF(calcLOB1Clinician11Disc2Emp1BaseProd=0,0,IF(calcLOB1Clinician11Disc2Emp1ModifiedProd=0,calcLOB1Clinician11Disc2Emp1BaseProd*paramLOB1Disc2Meetings*paramLOB1Meetings*paramLOB1Clinician11Meetings,calcLOB1Clinician11Disc2Emp1ModifiedProd))</f>
        <v>0</v>
      </c>
      <c r="H300" s="131" t="s">
        <v>1696</v>
      </c>
      <c r="J300" s="131" t="s">
        <v>554</v>
      </c>
      <c r="K300" s="727">
        <f>IF(calcR2LOB1Clinician11Disc2Emp1BaseProd=0,0,IF(calcR2LOB1Clinician11Disc2Emp1ModifiedProd=0,calcR2LOB1Clinician11Disc2Emp1BaseProd*paramR2LOB1Disc2Meetings*paramR2LOB1Meetings*paramR2LOB1Clinician11Meetings,calcR2LOB1Clinician11Disc2Emp1ModifiedProd))</f>
        <v>0</v>
      </c>
      <c r="L300" s="727">
        <f>IF(calcR2LOB1Clinician11Disc2Emp1BaseProd=0,0,IF(calcR2LOB1Clinician11Disc2Emp1ModifiedProd=0,calcR2LOB1Clinician11Disc2Emp1BaseProd*paramR2LOB1Disc2Meetings*paramR2LOB1Meetings*paramR2LOB1Clinician11Meetings,calcR2LOB1Clinician11Disc2Emp1ModifiedProd))</f>
        <v>0</v>
      </c>
      <c r="M300" s="727">
        <f>IF(calcR2LOB1Clinician11Disc2Emp1BaseProd=0,0,IF(calcR2LOB1Clinician11Disc2Emp1ModifiedProd=0,calcR2LOB1Clinician11Disc2Emp1BaseProd*paramR2LOB1Disc2Meetings*paramR2LOB1Meetings*paramR2LOB1Clinician11Meetings,calcR2LOB1Clinician11Disc2Emp1ModifiedProd))</f>
        <v>0</v>
      </c>
      <c r="N300" s="131" t="s">
        <v>6108</v>
      </c>
    </row>
    <row r="301" spans="1:14" ht="12.75" customHeight="1">
      <c r="A301" s="461"/>
      <c r="B301" s="635"/>
      <c r="C301" s="170">
        <v>12</v>
      </c>
      <c r="D301" s="131" t="s">
        <v>554</v>
      </c>
      <c r="E301" s="453">
        <f>IF(calcLOB1Clinician12Disc2Emp1BaseProd=0,0,IF(calcLOB1Clinician12Disc2Emp1ModifiedProd=0,calcLOB1Clinician12Disc2Emp1BaseProd*paramLOB1Disc2Meetings*paramLOB1Meetings*paramLOB1Clinician12Meetings,calcLOB1Clinician12Disc2Emp1ModifiedProd))</f>
        <v>0</v>
      </c>
      <c r="F301" s="453">
        <f>IF(calcLOB1Clinician12Disc2Emp1BaseProd=0,0,IF(calcLOB1Clinician12Disc2Emp1ModifiedProd=0,calcLOB1Clinician12Disc2Emp1BaseProd*paramLOB1Disc2Meetings*paramLOB1Meetings*paramLOB1Clinician12Meetings,calcLOB1Clinician12Disc2Emp1ModifiedProd))</f>
        <v>0</v>
      </c>
      <c r="G301" s="453">
        <f>IF(calcLOB1Clinician12Disc2Emp1BaseProd=0,0,IF(calcLOB1Clinician12Disc2Emp1ModifiedProd=0,calcLOB1Clinician12Disc2Emp1BaseProd*paramLOB1Disc2Meetings*paramLOB1Meetings*paramLOB1Clinician12Meetings,calcLOB1Clinician12Disc2Emp1ModifiedProd))</f>
        <v>0</v>
      </c>
      <c r="H301" s="131" t="s">
        <v>1697</v>
      </c>
      <c r="J301" s="131" t="s">
        <v>554</v>
      </c>
      <c r="K301" s="727">
        <f>IF(calcR2LOB1Clinician12Disc2Emp1BaseProd=0,0,IF(calcR2LOB1Clinician12Disc2Emp1ModifiedProd=0,calcR2LOB1Clinician12Disc2Emp1BaseProd*paramR2LOB1Disc2Meetings*paramR2LOB1Meetings*paramR2LOB1Clinician12Meetings,calcR2LOB1Clinician12Disc2Emp1ModifiedProd))</f>
        <v>0</v>
      </c>
      <c r="L301" s="727">
        <f>IF(calcR2LOB1Clinician12Disc2Emp1BaseProd=0,0,IF(calcR2LOB1Clinician12Disc2Emp1ModifiedProd=0,calcR2LOB1Clinician12Disc2Emp1BaseProd*paramR2LOB1Disc2Meetings*paramR2LOB1Meetings*paramR2LOB1Clinician12Meetings,calcR2LOB1Clinician12Disc2Emp1ModifiedProd))</f>
        <v>0</v>
      </c>
      <c r="M301" s="727">
        <f>IF(calcR2LOB1Clinician12Disc2Emp1BaseProd=0,0,IF(calcR2LOB1Clinician12Disc2Emp1ModifiedProd=0,calcR2LOB1Clinician12Disc2Emp1BaseProd*paramR2LOB1Disc2Meetings*paramR2LOB1Meetings*paramR2LOB1Clinician12Meetings,calcR2LOB1Clinician12Disc2Emp1ModifiedProd))</f>
        <v>0</v>
      </c>
      <c r="N301" s="131" t="s">
        <v>6109</v>
      </c>
    </row>
    <row r="302" spans="1:14" ht="12.75" customHeight="1">
      <c r="A302" s="461"/>
      <c r="B302" s="635"/>
      <c r="D302" s="131" t="s">
        <v>554</v>
      </c>
      <c r="E302" s="453">
        <f>cbalLOB1AvgProdClinician14</f>
        <v>172.2825</v>
      </c>
      <c r="F302" s="453">
        <f>cbalLOB1AvgProdClinician14</f>
        <v>272.78300000000002</v>
      </c>
      <c r="G302" s="453">
        <f>cbalLOB1AvgProdClinician14</f>
        <v>141.57374999999999</v>
      </c>
      <c r="H302" s="131" t="s">
        <v>4041</v>
      </c>
      <c r="J302" s="131" t="s">
        <v>554</v>
      </c>
      <c r="K302" s="453">
        <f>cbalR2LOB1AvgProdClinician14</f>
        <v>142.13833185656668</v>
      </c>
      <c r="L302" s="453">
        <f>cbalR2LOB1AvgProdClinician14</f>
        <v>271.19993454758759</v>
      </c>
      <c r="M302" s="453">
        <f>cbalR2LOB1AvgProdClinician14</f>
        <v>132.75230910389058</v>
      </c>
      <c r="N302" s="131" t="s">
        <v>6110</v>
      </c>
    </row>
    <row r="303" spans="1:14" ht="1.5" customHeight="1">
      <c r="A303" s="461"/>
      <c r="B303" s="459"/>
      <c r="D303" s="449"/>
      <c r="E303" s="450"/>
      <c r="F303" s="450"/>
      <c r="G303" s="450"/>
      <c r="H303" s="131"/>
      <c r="J303" s="449"/>
      <c r="K303" s="450"/>
      <c r="L303" s="450"/>
      <c r="M303" s="450"/>
      <c r="N303" s="131"/>
    </row>
    <row r="304" spans="1:14" ht="12.75" customHeight="1">
      <c r="A304" s="461"/>
      <c r="B304" s="459"/>
      <c r="D304" s="131" t="s">
        <v>1587</v>
      </c>
      <c r="E304" s="448">
        <f>SUM(E277:E303)</f>
        <v>394.06458898534999</v>
      </c>
      <c r="F304" s="448">
        <f t="shared" ref="F304:G304" si="57">SUM(F277:F303)</f>
        <v>627.95577648535004</v>
      </c>
      <c r="G304" s="448">
        <f t="shared" si="57"/>
        <v>383.04221398534997</v>
      </c>
      <c r="H304" s="131" t="s">
        <v>8346</v>
      </c>
      <c r="J304" s="131" t="s">
        <v>1587</v>
      </c>
      <c r="K304" s="448">
        <f>SUM(K277:K303)</f>
        <v>345.0709658241866</v>
      </c>
      <c r="L304" s="448">
        <f t="shared" ref="L304:M304" si="58">SUM(L277:L303)</f>
        <v>601.00125717749165</v>
      </c>
      <c r="M304" s="448">
        <f t="shared" si="58"/>
        <v>354.33376846339195</v>
      </c>
      <c r="N304" s="131" t="s">
        <v>7915</v>
      </c>
    </row>
    <row r="305" spans="1:14" ht="12.75" customHeight="1">
      <c r="A305" s="461"/>
      <c r="B305" s="459"/>
      <c r="E305" s="453"/>
      <c r="F305" s="453"/>
      <c r="G305" s="453"/>
      <c r="K305" s="453"/>
      <c r="L305" s="453"/>
      <c r="M305" s="453"/>
    </row>
    <row r="306" spans="1:14" ht="12.75" customHeight="1">
      <c r="A306" s="461"/>
      <c r="B306" s="635"/>
      <c r="C306" s="131" t="s">
        <v>1615</v>
      </c>
    </row>
    <row r="307" spans="1:14" ht="12.75" customHeight="1">
      <c r="A307" s="461"/>
      <c r="B307" s="635"/>
      <c r="C307" s="170">
        <v>1</v>
      </c>
      <c r="D307" s="131" t="s">
        <v>550</v>
      </c>
      <c r="E307" s="539">
        <f>IF(calcLOB1Clinician1Disc1Emp1BaseProd=0,0,cbalLOB1AvgMissPercClinician1*paramLOB1Disc1Missed*paramLOB1Clinician1Missed)</f>
        <v>0.15</v>
      </c>
      <c r="F307" s="539">
        <f>IF(calcLOB1Clinician1Disc1Emp1BaseProd=0,0,cbalLOB1AvgMissPercClinician1*paramLOB1Disc1Missed*paramLOB1Clinician1Missed)</f>
        <v>0.15</v>
      </c>
      <c r="G307" s="539">
        <f>IF(calcLOB1Clinician1Disc1Emp1BaseProd=0,0,cbalLOB1AvgMissPercClinician1*paramLOB1Disc1Missed*paramLOB1Clinician1Missed)</f>
        <v>0.15</v>
      </c>
      <c r="H307" s="131" t="s">
        <v>5110</v>
      </c>
      <c r="J307" s="131" t="s">
        <v>550</v>
      </c>
      <c r="K307" s="539">
        <f>IF(calcR2LOB1Clinician1Disc1Emp1BaseProd=0,0,cbalR2LOB1AvgMissPercClinician1*paramR2LOB1Disc1Missed*paramR2LOB1Clinician1Missed)</f>
        <v>0.15</v>
      </c>
      <c r="L307" s="539">
        <f>IF(calcR2LOB1Clinician1Disc1Emp1BaseProd=0,0,cbalR2LOB1AvgMissPercClinician1*paramR2LOB1Disc1Missed*paramR2LOB1Clinician1Missed)</f>
        <v>0.15</v>
      </c>
      <c r="M307" s="539">
        <f>IF(calcR2LOB1Clinician1Disc1Emp1BaseProd=0,0,cbalR2LOB1AvgMissPercClinician1*paramR2LOB1Disc1Missed*paramR2LOB1Clinician1Missed)</f>
        <v>0.15</v>
      </c>
      <c r="N307" s="131" t="s">
        <v>6111</v>
      </c>
    </row>
    <row r="308" spans="1:14" ht="12.75" customHeight="1">
      <c r="A308" s="461"/>
      <c r="B308" s="635"/>
      <c r="C308" s="170">
        <v>2</v>
      </c>
      <c r="D308" s="131" t="s">
        <v>550</v>
      </c>
      <c r="E308" s="539">
        <f>IF(calcLOB1Clinician2Disc1Emp1BaseProd=0,0,cbalLOB1AvgMissPercClinician2*paramLOB1Disc1Missed*paramLOB1Clinician2Missed)</f>
        <v>0.1</v>
      </c>
      <c r="F308" s="539">
        <f>IF(calcLOB1Clinician2Disc1Emp1BaseProd=0,0,cbalLOB1AvgMissPercClinician2*paramLOB1Disc1Missed*paramLOB1Clinician2Missed)</f>
        <v>0.1</v>
      </c>
      <c r="G308" s="539">
        <f>IF(calcLOB1Clinician2Disc1Emp1BaseProd=0,0,cbalLOB1AvgMissPercClinician2*paramLOB1Disc1Missed*paramLOB1Clinician2Missed)</f>
        <v>0.1</v>
      </c>
      <c r="H308" s="131" t="s">
        <v>5111</v>
      </c>
      <c r="J308" s="131" t="s">
        <v>550</v>
      </c>
      <c r="K308" s="539">
        <f>IF(calcR2LOB1Clinician2Disc1Emp1BaseProd=0,0,cbalR2LOB1AvgMissPercClinician2*paramR2LOB1Disc1Missed*paramR2LOB1Clinician2Missed)</f>
        <v>0.1</v>
      </c>
      <c r="L308" s="539">
        <f>IF(calcR2LOB1Clinician2Disc1Emp1BaseProd=0,0,cbalR2LOB1AvgMissPercClinician2*paramR2LOB1Disc1Missed*paramR2LOB1Clinician2Missed)</f>
        <v>0.1</v>
      </c>
      <c r="M308" s="539">
        <f>IF(calcR2LOB1Clinician2Disc1Emp1BaseProd=0,0,cbalR2LOB1AvgMissPercClinician2*paramR2LOB1Disc1Missed*paramR2LOB1Clinician2Missed)</f>
        <v>0.1</v>
      </c>
      <c r="N308" s="131" t="s">
        <v>6112</v>
      </c>
    </row>
    <row r="309" spans="1:14" ht="12.75" customHeight="1">
      <c r="A309" s="461"/>
      <c r="B309" s="635"/>
      <c r="C309" s="170">
        <v>3</v>
      </c>
      <c r="D309" s="131" t="s">
        <v>550</v>
      </c>
      <c r="E309" s="539">
        <f>IF(calcLOB1Clinician3Disc1Emp1BaseProd=0,0,cbalLOB1AvgMissPercClinician3*paramLOB1Disc1Missed*paramLOB1Clinician3Missed)</f>
        <v>0.05</v>
      </c>
      <c r="F309" s="539">
        <f>IF(calcLOB1Clinician3Disc1Emp1BaseProd=0,0,cbalLOB1AvgMissPercClinician3*paramLOB1Disc1Missed*paramLOB1Clinician3Missed)</f>
        <v>0.05</v>
      </c>
      <c r="G309" s="539">
        <f>IF(calcLOB1Clinician3Disc1Emp1BaseProd=0,0,cbalLOB1AvgMissPercClinician3*paramLOB1Disc1Missed*paramLOB1Clinician3Missed)</f>
        <v>0.05</v>
      </c>
      <c r="H309" s="131" t="s">
        <v>5112</v>
      </c>
      <c r="J309" s="131" t="s">
        <v>550</v>
      </c>
      <c r="K309" s="539">
        <f>IF(calcR2LOB1Clinician3Disc1Emp1BaseProd=0,0,cbalR2LOB1AvgMissPercClinician3*paramR2LOB1Disc1Missed*paramR2LOB1Clinician3Missed)</f>
        <v>0.05</v>
      </c>
      <c r="L309" s="539">
        <f>IF(calcR2LOB1Clinician3Disc1Emp1BaseProd=0,0,cbalR2LOB1AvgMissPercClinician3*paramR2LOB1Disc1Missed*paramR2LOB1Clinician3Missed)</f>
        <v>0.05</v>
      </c>
      <c r="M309" s="539">
        <f>IF(calcR2LOB1Clinician3Disc1Emp1BaseProd=0,0,cbalR2LOB1AvgMissPercClinician3*paramR2LOB1Disc1Missed*paramR2LOB1Clinician3Missed)</f>
        <v>0.05</v>
      </c>
      <c r="N309" s="131" t="s">
        <v>6113</v>
      </c>
    </row>
    <row r="310" spans="1:14" ht="12.75" customHeight="1">
      <c r="A310" s="461"/>
      <c r="B310" s="635"/>
      <c r="C310" s="170">
        <v>4</v>
      </c>
      <c r="D310" s="131" t="s">
        <v>550</v>
      </c>
      <c r="E310" s="539">
        <f>IF(calcLOB1Clinician4Disc1Emp1BaseProd=0,0,cbalLOB1AvgMissPercClinician4*paramLOB1Disc1Missed*paramLOB1Clinician4Missed)</f>
        <v>0</v>
      </c>
      <c r="F310" s="539">
        <f>IF(calcLOB1Clinician4Disc1Emp1BaseProd=0,0,cbalLOB1AvgMissPercClinician4*paramLOB1Disc1Missed*paramLOB1Clinician4Missed)</f>
        <v>0</v>
      </c>
      <c r="G310" s="539">
        <f>IF(calcLOB1Clinician4Disc1Emp1BaseProd=0,0,cbalLOB1AvgMissPercClinician4*paramLOB1Disc1Missed*paramLOB1Clinician4Missed)</f>
        <v>0</v>
      </c>
      <c r="H310" s="131" t="s">
        <v>5113</v>
      </c>
      <c r="J310" s="131" t="s">
        <v>550</v>
      </c>
      <c r="K310" s="539">
        <f>IF(calcR2LOB1Clinician4Disc1Emp1BaseProd=0,0,cbalR2LOB1AvgMissPercClinician4*paramR2LOB1Disc1Missed*paramR2LOB1Clinician4Missed)</f>
        <v>0</v>
      </c>
      <c r="L310" s="539">
        <f>IF(calcR2LOB1Clinician4Disc1Emp1BaseProd=0,0,cbalR2LOB1AvgMissPercClinician4*paramR2LOB1Disc1Missed*paramR2LOB1Clinician4Missed)</f>
        <v>0</v>
      </c>
      <c r="M310" s="539">
        <f>IF(calcR2LOB1Clinician4Disc1Emp1BaseProd=0,0,cbalR2LOB1AvgMissPercClinician4*paramR2LOB1Disc1Missed*paramR2LOB1Clinician4Missed)</f>
        <v>0</v>
      </c>
      <c r="N310" s="131" t="s">
        <v>6114</v>
      </c>
    </row>
    <row r="311" spans="1:14" ht="12.75" customHeight="1">
      <c r="A311" s="461"/>
      <c r="B311" s="635"/>
      <c r="C311" s="170">
        <v>5</v>
      </c>
      <c r="D311" s="131" t="s">
        <v>550</v>
      </c>
      <c r="E311" s="539">
        <f>IF(calcLOB1Clinician5Disc1Emp1BaseProd=0,0,cbalLOB1AvgMissPercClinician5*paramLOB1Disc1Missed*paramLOB1Clinician5Missed)</f>
        <v>0</v>
      </c>
      <c r="F311" s="539">
        <f>IF(calcLOB1Clinician5Disc1Emp1BaseProd=0,0,cbalLOB1AvgMissPercClinician5*paramLOB1Disc1Missed*paramLOB1Clinician5Missed)</f>
        <v>0</v>
      </c>
      <c r="G311" s="539">
        <f>IF(calcLOB1Clinician5Disc1Emp1BaseProd=0,0,cbalLOB1AvgMissPercClinician5*paramLOB1Disc1Missed*paramLOB1Clinician5Missed)</f>
        <v>0</v>
      </c>
      <c r="H311" s="131" t="s">
        <v>5114</v>
      </c>
      <c r="J311" s="131" t="s">
        <v>550</v>
      </c>
      <c r="K311" s="539">
        <f>IF(calcR2LOB1Clinician5Disc1Emp1BaseProd=0,0,cbalR2LOB1AvgMissPercClinician5*paramR2LOB1Disc1Missed*paramR2LOB1Clinician5Missed)</f>
        <v>0</v>
      </c>
      <c r="L311" s="539">
        <f>IF(calcR2LOB1Clinician5Disc1Emp1BaseProd=0,0,cbalR2LOB1AvgMissPercClinician5*paramR2LOB1Disc1Missed*paramR2LOB1Clinician5Missed)</f>
        <v>0</v>
      </c>
      <c r="M311" s="539">
        <f>IF(calcR2LOB1Clinician5Disc1Emp1BaseProd=0,0,cbalR2LOB1AvgMissPercClinician5*paramR2LOB1Disc1Missed*paramR2LOB1Clinician5Missed)</f>
        <v>0</v>
      </c>
      <c r="N311" s="131" t="s">
        <v>6115</v>
      </c>
    </row>
    <row r="312" spans="1:14" ht="12.75" customHeight="1">
      <c r="A312" s="461"/>
      <c r="B312" s="635"/>
      <c r="C312" s="170">
        <v>6</v>
      </c>
      <c r="D312" s="131" t="s">
        <v>550</v>
      </c>
      <c r="E312" s="539">
        <f>IF(calcLOB1Clinician6Disc1Emp1BaseProd=0,0,cbalLOB1AvgMissPercClinician6*paramLOB1Disc1Missed*paramLOB1Clinician6Missed)</f>
        <v>0</v>
      </c>
      <c r="F312" s="539">
        <f>IF(calcLOB1Clinician6Disc1Emp1BaseProd=0,0,cbalLOB1AvgMissPercClinician6*paramLOB1Disc1Missed*paramLOB1Clinician6Missed)</f>
        <v>0</v>
      </c>
      <c r="G312" s="539">
        <f>IF(calcLOB1Clinician6Disc1Emp1BaseProd=0,0,cbalLOB1AvgMissPercClinician6*paramLOB1Disc1Missed*paramLOB1Clinician6Missed)</f>
        <v>0</v>
      </c>
      <c r="H312" s="131" t="s">
        <v>5115</v>
      </c>
      <c r="J312" s="131" t="s">
        <v>550</v>
      </c>
      <c r="K312" s="539">
        <f>IF(calcR2LOB1Clinician6Disc1Emp1BaseProd=0,0,cbalR2LOB1AvgMissPercClinician6*paramR2LOB1Disc1Missed*paramR2LOB1Clinician6Missed)</f>
        <v>0</v>
      </c>
      <c r="L312" s="539">
        <f>IF(calcR2LOB1Clinician6Disc1Emp1BaseProd=0,0,cbalR2LOB1AvgMissPercClinician6*paramR2LOB1Disc1Missed*paramR2LOB1Clinician6Missed)</f>
        <v>0</v>
      </c>
      <c r="M312" s="539">
        <f>IF(calcR2LOB1Clinician6Disc1Emp1BaseProd=0,0,cbalR2LOB1AvgMissPercClinician6*paramR2LOB1Disc1Missed*paramR2LOB1Clinician6Missed)</f>
        <v>0</v>
      </c>
      <c r="N312" s="131" t="s">
        <v>6116</v>
      </c>
    </row>
    <row r="313" spans="1:14" ht="12.75" customHeight="1">
      <c r="A313" s="461"/>
      <c r="B313" s="635"/>
      <c r="C313" s="170">
        <v>7</v>
      </c>
      <c r="D313" s="131" t="s">
        <v>550</v>
      </c>
      <c r="E313" s="539">
        <f>IF(calcLOB1Clinician7Disc1Emp1BaseProd=0,0,cbalLOB1AvgMissPercClinician7*paramLOB1Disc1Missed*paramLOB1Clinician7Missed)</f>
        <v>0</v>
      </c>
      <c r="F313" s="539">
        <f>IF(calcLOB1Clinician7Disc1Emp1BaseProd=0,0,cbalLOB1AvgMissPercClinician7*paramLOB1Disc1Missed*paramLOB1Clinician7Missed)</f>
        <v>0</v>
      </c>
      <c r="G313" s="539">
        <f>IF(calcLOB1Clinician7Disc1Emp1BaseProd=0,0,cbalLOB1AvgMissPercClinician7*paramLOB1Disc1Missed*paramLOB1Clinician7Missed)</f>
        <v>0</v>
      </c>
      <c r="H313" s="131" t="s">
        <v>5116</v>
      </c>
      <c r="J313" s="131" t="s">
        <v>550</v>
      </c>
      <c r="K313" s="539">
        <f>IF(calcR2LOB1Clinician7Disc1Emp1BaseProd=0,0,cbalR2LOB1AvgMissPercClinician7*paramR2LOB1Disc1Missed*paramR2LOB1Clinician7Missed)</f>
        <v>0</v>
      </c>
      <c r="L313" s="539">
        <f>IF(calcR2LOB1Clinician7Disc1Emp1BaseProd=0,0,cbalR2LOB1AvgMissPercClinician7*paramR2LOB1Disc1Missed*paramR2LOB1Clinician7Missed)</f>
        <v>0</v>
      </c>
      <c r="M313" s="539">
        <f>IF(calcR2LOB1Clinician7Disc1Emp1BaseProd=0,0,cbalR2LOB1AvgMissPercClinician7*paramR2LOB1Disc1Missed*paramR2LOB1Clinician7Missed)</f>
        <v>0</v>
      </c>
      <c r="N313" s="131" t="s">
        <v>6117</v>
      </c>
    </row>
    <row r="314" spans="1:14" ht="12.75" customHeight="1">
      <c r="A314" s="461"/>
      <c r="B314" s="635"/>
      <c r="C314" s="170">
        <v>8</v>
      </c>
      <c r="D314" s="131" t="s">
        <v>550</v>
      </c>
      <c r="E314" s="539">
        <f>IF(calcLOB1Clinician8Disc1Emp1BaseProd=0,0,cbalLOB1AvgMissPercClinician8*paramLOB1Disc1Missed*paramLOB1Clinician8Missed)</f>
        <v>0</v>
      </c>
      <c r="F314" s="539">
        <f>IF(calcLOB1Clinician8Disc1Emp1BaseProd=0,0,cbalLOB1AvgMissPercClinician8*paramLOB1Disc1Missed*paramLOB1Clinician8Missed)</f>
        <v>0</v>
      </c>
      <c r="G314" s="539">
        <f>IF(calcLOB1Clinician8Disc1Emp1BaseProd=0,0,cbalLOB1AvgMissPercClinician8*paramLOB1Disc1Missed*paramLOB1Clinician8Missed)</f>
        <v>0</v>
      </c>
      <c r="H314" s="131" t="s">
        <v>5117</v>
      </c>
      <c r="J314" s="131" t="s">
        <v>550</v>
      </c>
      <c r="K314" s="539">
        <f>IF(calcR2LOB1Clinician8Disc1Emp1BaseProd=0,0,cbalR2LOB1AvgMissPercClinician8*paramR2LOB1Disc1Missed*paramR2LOB1Clinician8Missed)</f>
        <v>0</v>
      </c>
      <c r="L314" s="539">
        <f>IF(calcR2LOB1Clinician8Disc1Emp1BaseProd=0,0,cbalR2LOB1AvgMissPercClinician8*paramR2LOB1Disc1Missed*paramR2LOB1Clinician8Missed)</f>
        <v>0</v>
      </c>
      <c r="M314" s="539">
        <f>IF(calcR2LOB1Clinician8Disc1Emp1BaseProd=0,0,cbalR2LOB1AvgMissPercClinician8*paramR2LOB1Disc1Missed*paramR2LOB1Clinician8Missed)</f>
        <v>0</v>
      </c>
      <c r="N314" s="131" t="s">
        <v>6118</v>
      </c>
    </row>
    <row r="315" spans="1:14" ht="12.75" customHeight="1">
      <c r="A315" s="461"/>
      <c r="B315" s="635"/>
      <c r="C315" s="170">
        <v>9</v>
      </c>
      <c r="D315" s="131" t="s">
        <v>550</v>
      </c>
      <c r="E315" s="539">
        <f>IF(calcLOB1Clinician9Disc1Emp1BaseProd=0,0,cbalLOB1AvgMissPercClinician9*paramLOB1Disc1Missed*paramLOB1Clinician9Missed)</f>
        <v>0</v>
      </c>
      <c r="F315" s="539">
        <f>IF(calcLOB1Clinician9Disc1Emp1BaseProd=0,0,cbalLOB1AvgMissPercClinician9*paramLOB1Disc1Missed*paramLOB1Clinician9Missed)</f>
        <v>0</v>
      </c>
      <c r="G315" s="539">
        <f>IF(calcLOB1Clinician9Disc1Emp1BaseProd=0,0,cbalLOB1AvgMissPercClinician9*paramLOB1Disc1Missed*paramLOB1Clinician9Missed)</f>
        <v>0</v>
      </c>
      <c r="H315" s="131" t="s">
        <v>5118</v>
      </c>
      <c r="J315" s="131" t="s">
        <v>550</v>
      </c>
      <c r="K315" s="539">
        <f>IF(calcR2LOB1Clinician9Disc1Emp1BaseProd=0,0,cbalR2LOB1AvgMissPercClinician9*paramR2LOB1Disc1Missed*paramR2LOB1Clinician9Missed)</f>
        <v>0</v>
      </c>
      <c r="L315" s="539">
        <f>IF(calcR2LOB1Clinician9Disc1Emp1BaseProd=0,0,cbalR2LOB1AvgMissPercClinician9*paramR2LOB1Disc1Missed*paramR2LOB1Clinician9Missed)</f>
        <v>0</v>
      </c>
      <c r="M315" s="539">
        <f>IF(calcR2LOB1Clinician9Disc1Emp1BaseProd=0,0,cbalR2LOB1AvgMissPercClinician9*paramR2LOB1Disc1Missed*paramR2LOB1Clinician9Missed)</f>
        <v>0</v>
      </c>
      <c r="N315" s="131" t="s">
        <v>6119</v>
      </c>
    </row>
    <row r="316" spans="1:14" ht="12.75" customHeight="1">
      <c r="A316" s="461"/>
      <c r="B316" s="635"/>
      <c r="C316" s="170">
        <v>10</v>
      </c>
      <c r="D316" s="131" t="s">
        <v>550</v>
      </c>
      <c r="E316" s="539">
        <f>IF(calcLOB1Clinician10Disc1Emp1BaseProd=0,0,cbalLOB1AvgMissPercClinician10*paramLOB1Disc1Missed*paramLOB1Clinician10Missed)</f>
        <v>0</v>
      </c>
      <c r="F316" s="539">
        <f>IF(calcLOB1Clinician10Disc1Emp1BaseProd=0,0,cbalLOB1AvgMissPercClinician10*paramLOB1Disc1Missed*paramLOB1Clinician10Missed)</f>
        <v>0</v>
      </c>
      <c r="G316" s="539">
        <f>IF(calcLOB1Clinician10Disc1Emp1BaseProd=0,0,cbalLOB1AvgMissPercClinician10*paramLOB1Disc1Missed*paramLOB1Clinician10Missed)</f>
        <v>0</v>
      </c>
      <c r="H316" s="131" t="s">
        <v>5119</v>
      </c>
      <c r="J316" s="131" t="s">
        <v>550</v>
      </c>
      <c r="K316" s="539">
        <f>IF(calcR2LOB1Clinician10Disc1Emp1BaseProd=0,0,cbalR2LOB1AvgMissPercClinician10*paramR2LOB1Disc1Missed*paramR2LOB1Clinician10Missed)</f>
        <v>0</v>
      </c>
      <c r="L316" s="539">
        <f>IF(calcR2LOB1Clinician10Disc1Emp1BaseProd=0,0,cbalR2LOB1AvgMissPercClinician10*paramR2LOB1Disc1Missed*paramR2LOB1Clinician10Missed)</f>
        <v>0</v>
      </c>
      <c r="M316" s="539">
        <f>IF(calcR2LOB1Clinician10Disc1Emp1BaseProd=0,0,cbalR2LOB1AvgMissPercClinician10*paramR2LOB1Disc1Missed*paramR2LOB1Clinician10Missed)</f>
        <v>0</v>
      </c>
      <c r="N316" s="131" t="s">
        <v>6120</v>
      </c>
    </row>
    <row r="317" spans="1:14" ht="12.75" customHeight="1">
      <c r="A317" s="461"/>
      <c r="B317" s="635"/>
      <c r="C317" s="170">
        <v>11</v>
      </c>
      <c r="D317" s="131" t="s">
        <v>550</v>
      </c>
      <c r="E317" s="539">
        <f>IF(calcLOB1Clinician11Disc1Emp1BaseProd=0,0,cbalLOB1AvgMissPercClinician11*paramLOB1Disc1Missed*paramLOB1Clinician11Missed)</f>
        <v>0</v>
      </c>
      <c r="F317" s="539">
        <f>IF(calcLOB1Clinician11Disc1Emp1BaseProd=0,0,cbalLOB1AvgMissPercClinician11*paramLOB1Disc1Missed*paramLOB1Clinician11Missed)</f>
        <v>0</v>
      </c>
      <c r="G317" s="539">
        <f>IF(calcLOB1Clinician11Disc1Emp1BaseProd=0,0,cbalLOB1AvgMissPercClinician11*paramLOB1Disc1Missed*paramLOB1Clinician11Missed)</f>
        <v>0</v>
      </c>
      <c r="H317" s="131" t="s">
        <v>5120</v>
      </c>
      <c r="J317" s="131" t="s">
        <v>550</v>
      </c>
      <c r="K317" s="539">
        <f>IF(calcR2LOB1Clinician11Disc1Emp1BaseProd=0,0,cbalR2LOB1AvgMissPercClinician11*paramR2LOB1Disc1Missed*paramR2LOB1Clinician11Missed)</f>
        <v>0</v>
      </c>
      <c r="L317" s="539">
        <f>IF(calcR2LOB1Clinician11Disc1Emp1BaseProd=0,0,cbalR2LOB1AvgMissPercClinician11*paramR2LOB1Disc1Missed*paramR2LOB1Clinician11Missed)</f>
        <v>0</v>
      </c>
      <c r="M317" s="539">
        <f>IF(calcR2LOB1Clinician11Disc1Emp1BaseProd=0,0,cbalR2LOB1AvgMissPercClinician11*paramR2LOB1Disc1Missed*paramR2LOB1Clinician11Missed)</f>
        <v>0</v>
      </c>
      <c r="N317" s="131" t="s">
        <v>6121</v>
      </c>
    </row>
    <row r="318" spans="1:14" ht="12.75" customHeight="1">
      <c r="A318" s="461"/>
      <c r="B318" s="635"/>
      <c r="C318" s="170">
        <v>12</v>
      </c>
      <c r="D318" s="131" t="s">
        <v>550</v>
      </c>
      <c r="E318" s="539">
        <f>IF(calcLOB1Clinician12Disc1Emp1BaseProd=0,0,cbalLOB1AvgMissPercClinician12*paramLOB1Disc1Missed*paramLOB1Clinician12Missed)</f>
        <v>0</v>
      </c>
      <c r="F318" s="539">
        <f>IF(calcLOB1Clinician12Disc1Emp1BaseProd=0,0,cbalLOB1AvgMissPercClinician12*paramLOB1Disc1Missed*paramLOB1Clinician12Missed)</f>
        <v>0</v>
      </c>
      <c r="G318" s="539">
        <f>IF(calcLOB1Clinician12Disc1Emp1BaseProd=0,0,cbalLOB1AvgMissPercClinician12*paramLOB1Disc1Missed*paramLOB1Clinician12Missed)</f>
        <v>0</v>
      </c>
      <c r="H318" s="131" t="s">
        <v>5121</v>
      </c>
      <c r="J318" s="131" t="s">
        <v>550</v>
      </c>
      <c r="K318" s="539">
        <f>IF(calcR2LOB1Clinician12Disc1Emp1BaseProd=0,0,cbalR2LOB1AvgMissPercClinician12*paramR2LOB1Disc1Missed*paramR2LOB1Clinician12Missed)</f>
        <v>0</v>
      </c>
      <c r="L318" s="539">
        <f>IF(calcR2LOB1Clinician12Disc1Emp1BaseProd=0,0,cbalR2LOB1AvgMissPercClinician12*paramR2LOB1Disc1Missed*paramR2LOB1Clinician12Missed)</f>
        <v>0</v>
      </c>
      <c r="M318" s="539">
        <f>IF(calcR2LOB1Clinician12Disc1Emp1BaseProd=0,0,cbalR2LOB1AvgMissPercClinician12*paramR2LOB1Disc1Missed*paramR2LOB1Clinician12Missed)</f>
        <v>0</v>
      </c>
      <c r="N318" s="131" t="s">
        <v>6122</v>
      </c>
    </row>
    <row r="319" spans="1:14" ht="12.75" customHeight="1">
      <c r="A319" s="461"/>
      <c r="B319" s="635"/>
      <c r="D319" s="131" t="s">
        <v>550</v>
      </c>
      <c r="E319" s="643">
        <f>IF(calcLOB1Clinician13Disc1Emp1BaseProd=0,0,cbalLOB1AvgMissPercClinician13*paramLOB1Disc1Missed)</f>
        <v>0.05</v>
      </c>
      <c r="F319" s="643">
        <f>IF(calcLOB1Clinician13Disc1Emp1BaseProd=0,0,cbalLOB1AvgMissPercClinician13*paramLOB1Disc1Missed)</f>
        <v>0.05</v>
      </c>
      <c r="G319" s="643">
        <f>IF(calcLOB1Clinician13Disc1Emp1BaseProd=0,0,cbalLOB1AvgMissPercClinician13*paramLOB1Disc1Missed)</f>
        <v>0.05</v>
      </c>
      <c r="H319" s="131" t="s">
        <v>5122</v>
      </c>
      <c r="J319" s="131" t="s">
        <v>550</v>
      </c>
      <c r="K319" s="643">
        <f>IF(calcR2LOB1Clinician13Disc1Emp1BaseProd=0,0,cbalR2LOB1AvgMissPercClinician13*paramR2LOB1Disc1Missed)</f>
        <v>0.05</v>
      </c>
      <c r="L319" s="643">
        <f>IF(calcR2LOB1Clinician13Disc1Emp1BaseProd=0,0,cbalR2LOB1AvgMissPercClinician13*paramR2LOB1Disc1Missed)</f>
        <v>0.05</v>
      </c>
      <c r="M319" s="643">
        <f>IF(calcR2LOB1Clinician13Disc1Emp1BaseProd=0,0,cbalR2LOB1AvgMissPercClinician13*paramR2LOB1Disc1Missed)</f>
        <v>0.05</v>
      </c>
      <c r="N319" s="131" t="s">
        <v>6123</v>
      </c>
    </row>
    <row r="320" spans="1:14" ht="12.75" customHeight="1">
      <c r="A320" s="461"/>
      <c r="B320" s="635"/>
      <c r="C320" s="170">
        <v>1</v>
      </c>
      <c r="D320" s="131" t="s">
        <v>554</v>
      </c>
      <c r="E320" s="539">
        <f>IF(calcLOB1Clinician1Disc2Emp1BaseProd=0,0,cbalLOB1AvgMissPercClinician1*paramLOB1Disc2Missed*paramLOB1Clinician1Missed)</f>
        <v>0</v>
      </c>
      <c r="F320" s="539">
        <f>IF(calcLOB1Clinician1Disc2Emp1BaseProd=0,0,cbalLOB1AvgMissPercClinician1*paramLOB1Disc2Missed*paramLOB1Clinician1Missed)</f>
        <v>0</v>
      </c>
      <c r="G320" s="539">
        <f>IF(calcLOB1Clinician1Disc2Emp1BaseProd=0,0,cbalLOB1AvgMissPercClinician1*paramLOB1Disc2Missed*paramLOB1Clinician1Missed)</f>
        <v>0</v>
      </c>
      <c r="H320" s="131" t="s">
        <v>5123</v>
      </c>
      <c r="J320" s="131" t="s">
        <v>554</v>
      </c>
      <c r="K320" s="539">
        <f>IF(calcR2LOB1Clinician1Disc2Emp1BaseProd=0,0,cbalR2LOB1AvgMissPercClinician1*paramR2LOB1Disc2Missed*paramR2LOB1Clinician1Missed)</f>
        <v>0</v>
      </c>
      <c r="L320" s="539">
        <f>IF(calcR2LOB1Clinician1Disc2Emp1BaseProd=0,0,cbalR2LOB1AvgMissPercClinician1*paramR2LOB1Disc2Missed*paramR2LOB1Clinician1Missed)</f>
        <v>0</v>
      </c>
      <c r="M320" s="539">
        <f>IF(calcR2LOB1Clinician1Disc2Emp1BaseProd=0,0,cbalR2LOB1AvgMissPercClinician1*paramR2LOB1Disc2Missed*paramR2LOB1Clinician1Missed)</f>
        <v>0</v>
      </c>
      <c r="N320" s="131" t="s">
        <v>6124</v>
      </c>
    </row>
    <row r="321" spans="1:14" ht="12.75" customHeight="1">
      <c r="A321" s="461"/>
      <c r="B321" s="635"/>
      <c r="C321" s="170">
        <v>2</v>
      </c>
      <c r="D321" s="131" t="s">
        <v>554</v>
      </c>
      <c r="E321" s="539">
        <f>IF(calcLOB1Clinician2Disc2Emp1BaseProd=0,0,cbalLOB1AvgMissPercClinician2*paramLOB1Disc2Missed*paramLOB1Clinician2Missed)</f>
        <v>0</v>
      </c>
      <c r="F321" s="539">
        <f>IF(calcLOB1Clinician2Disc2Emp1BaseProd=0,0,cbalLOB1AvgMissPercClinician2*paramLOB1Disc2Missed*paramLOB1Clinician2Missed)</f>
        <v>0</v>
      </c>
      <c r="G321" s="539">
        <f>IF(calcLOB1Clinician2Disc2Emp1BaseProd=0,0,cbalLOB1AvgMissPercClinician2*paramLOB1Disc2Missed*paramLOB1Clinician2Missed)</f>
        <v>0</v>
      </c>
      <c r="H321" s="131" t="s">
        <v>5124</v>
      </c>
      <c r="J321" s="131" t="s">
        <v>554</v>
      </c>
      <c r="K321" s="539">
        <f>IF(calcR2LOB1Clinician2Disc2Emp1BaseProd=0,0,cbalR2LOB1AvgMissPercClinician2*paramR2LOB1Disc2Missed*paramR2LOB1Clinician2Missed)</f>
        <v>0</v>
      </c>
      <c r="L321" s="539">
        <f>IF(calcR2LOB1Clinician2Disc2Emp1BaseProd=0,0,cbalR2LOB1AvgMissPercClinician2*paramR2LOB1Disc2Missed*paramR2LOB1Clinician2Missed)</f>
        <v>0</v>
      </c>
      <c r="M321" s="539">
        <f>IF(calcR2LOB1Clinician2Disc2Emp1BaseProd=0,0,cbalR2LOB1AvgMissPercClinician2*paramR2LOB1Disc2Missed*paramR2LOB1Clinician2Missed)</f>
        <v>0</v>
      </c>
      <c r="N321" s="131" t="s">
        <v>6125</v>
      </c>
    </row>
    <row r="322" spans="1:14" ht="12.75" customHeight="1">
      <c r="A322" s="461"/>
      <c r="B322" s="635"/>
      <c r="C322" s="170">
        <v>3</v>
      </c>
      <c r="D322" s="131" t="s">
        <v>554</v>
      </c>
      <c r="E322" s="539">
        <f>IF(calcLOB1Clinician3Disc2Emp1BaseProd=0,0,cbalLOB1AvgMissPercClinician3*paramLOB1Disc2Missed*paramLOB1Clinician3Missed)</f>
        <v>0</v>
      </c>
      <c r="F322" s="539">
        <f>IF(calcLOB1Clinician3Disc2Emp1BaseProd=0,0,cbalLOB1AvgMissPercClinician3*paramLOB1Disc2Missed*paramLOB1Clinician3Missed)</f>
        <v>0</v>
      </c>
      <c r="G322" s="539">
        <f>IF(calcLOB1Clinician3Disc2Emp1BaseProd=0,0,cbalLOB1AvgMissPercClinician3*paramLOB1Disc2Missed*paramLOB1Clinician3Missed)</f>
        <v>0</v>
      </c>
      <c r="H322" s="131" t="s">
        <v>5125</v>
      </c>
      <c r="J322" s="131" t="s">
        <v>554</v>
      </c>
      <c r="K322" s="539">
        <f>IF(calcR2LOB1Clinician3Disc2Emp1BaseProd=0,0,cbalR2LOB1AvgMissPercClinician3*paramR2LOB1Disc2Missed*paramR2LOB1Clinician3Missed)</f>
        <v>0</v>
      </c>
      <c r="L322" s="539">
        <f>IF(calcR2LOB1Clinician3Disc2Emp1BaseProd=0,0,cbalR2LOB1AvgMissPercClinician3*paramR2LOB1Disc2Missed*paramR2LOB1Clinician3Missed)</f>
        <v>0</v>
      </c>
      <c r="M322" s="539">
        <f>IF(calcR2LOB1Clinician3Disc2Emp1BaseProd=0,0,cbalR2LOB1AvgMissPercClinician3*paramR2LOB1Disc2Missed*paramR2LOB1Clinician3Missed)</f>
        <v>0</v>
      </c>
      <c r="N322" s="131" t="s">
        <v>6126</v>
      </c>
    </row>
    <row r="323" spans="1:14" ht="12.75" customHeight="1">
      <c r="A323" s="461"/>
      <c r="B323" s="635"/>
      <c r="C323" s="170">
        <v>4</v>
      </c>
      <c r="D323" s="131" t="s">
        <v>554</v>
      </c>
      <c r="E323" s="539">
        <f>IF(calcLOB1Clinician4Disc2Emp1BaseProd=0,0,cbalLOB1AvgMissPercClinician4*paramLOB1Disc2Missed*paramLOB1Clinician4Missed)</f>
        <v>0.01</v>
      </c>
      <c r="F323" s="539">
        <f>IF(calcLOB1Clinician4Disc2Emp1BaseProd=0,0,cbalLOB1AvgMissPercClinician4*paramLOB1Disc2Missed*paramLOB1Clinician4Missed)</f>
        <v>0.01</v>
      </c>
      <c r="G323" s="539">
        <f>IF(calcLOB1Clinician4Disc2Emp1BaseProd=0,0,cbalLOB1AvgMissPercClinician4*paramLOB1Disc2Missed*paramLOB1Clinician4Missed)</f>
        <v>0.01</v>
      </c>
      <c r="H323" s="131" t="s">
        <v>5126</v>
      </c>
      <c r="J323" s="131" t="s">
        <v>554</v>
      </c>
      <c r="K323" s="539">
        <f>IF(calcR2LOB1Clinician4Disc2Emp1BaseProd=0,0,cbalR2LOB1AvgMissPercClinician4*paramR2LOB1Disc2Missed*paramR2LOB1Clinician4Missed)</f>
        <v>0.01</v>
      </c>
      <c r="L323" s="539">
        <f>IF(calcR2LOB1Clinician4Disc2Emp1BaseProd=0,0,cbalR2LOB1AvgMissPercClinician4*paramR2LOB1Disc2Missed*paramR2LOB1Clinician4Missed)</f>
        <v>0.01</v>
      </c>
      <c r="M323" s="539">
        <f>IF(calcR2LOB1Clinician4Disc2Emp1BaseProd=0,0,cbalR2LOB1AvgMissPercClinician4*paramR2LOB1Disc2Missed*paramR2LOB1Clinician4Missed)</f>
        <v>0.01</v>
      </c>
      <c r="N323" s="131" t="s">
        <v>6127</v>
      </c>
    </row>
    <row r="324" spans="1:14" ht="12.75" customHeight="1">
      <c r="A324" s="461"/>
      <c r="B324" s="635"/>
      <c r="C324" s="170">
        <v>5</v>
      </c>
      <c r="D324" s="131" t="s">
        <v>554</v>
      </c>
      <c r="E324" s="539">
        <f>IF(calcLOB1Clinician5Disc2Emp1BaseProd=0,0,cbalLOB1AvgMissPercClinician5*paramLOB1Disc2Missed*paramLOB1Clinician5Missed)</f>
        <v>0.03</v>
      </c>
      <c r="F324" s="539">
        <f>IF(calcLOB1Clinician5Disc2Emp1BaseProd=0,0,cbalLOB1AvgMissPercClinician5*paramLOB1Disc2Missed*paramLOB1Clinician5Missed)</f>
        <v>0.03</v>
      </c>
      <c r="G324" s="539">
        <f>IF(calcLOB1Clinician5Disc2Emp1BaseProd=0,0,cbalLOB1AvgMissPercClinician5*paramLOB1Disc2Missed*paramLOB1Clinician5Missed)</f>
        <v>0.03</v>
      </c>
      <c r="H324" s="131" t="s">
        <v>5127</v>
      </c>
      <c r="J324" s="131" t="s">
        <v>554</v>
      </c>
      <c r="K324" s="539">
        <f>IF(calcR2LOB1Clinician5Disc2Emp1BaseProd=0,0,cbalR2LOB1AvgMissPercClinician5*paramR2LOB1Disc2Missed*paramR2LOB1Clinician5Missed)</f>
        <v>0.03</v>
      </c>
      <c r="L324" s="539">
        <f>IF(calcR2LOB1Clinician5Disc2Emp1BaseProd=0,0,cbalR2LOB1AvgMissPercClinician5*paramR2LOB1Disc2Missed*paramR2LOB1Clinician5Missed)</f>
        <v>0.03</v>
      </c>
      <c r="M324" s="539">
        <f>IF(calcR2LOB1Clinician5Disc2Emp1BaseProd=0,0,cbalR2LOB1AvgMissPercClinician5*paramR2LOB1Disc2Missed*paramR2LOB1Clinician5Missed)</f>
        <v>0.03</v>
      </c>
      <c r="N324" s="131" t="s">
        <v>6128</v>
      </c>
    </row>
    <row r="325" spans="1:14" ht="12.75" customHeight="1">
      <c r="A325" s="461"/>
      <c r="B325" s="635"/>
      <c r="C325" s="170">
        <v>6</v>
      </c>
      <c r="D325" s="131" t="s">
        <v>554</v>
      </c>
      <c r="E325" s="539">
        <f>IF(calcLOB1Clinician6Disc2Emp1BaseProd=0,0,cbalLOB1AvgMissPercClinician6*paramLOB1Disc2Missed*paramLOB1Clinician6Missed)</f>
        <v>0</v>
      </c>
      <c r="F325" s="539">
        <f>IF(calcLOB1Clinician6Disc2Emp1BaseProd=0,0,cbalLOB1AvgMissPercClinician6*paramLOB1Disc2Missed*paramLOB1Clinician6Missed)</f>
        <v>0</v>
      </c>
      <c r="G325" s="539">
        <f>IF(calcLOB1Clinician6Disc2Emp1BaseProd=0,0,cbalLOB1AvgMissPercClinician6*paramLOB1Disc2Missed*paramLOB1Clinician6Missed)</f>
        <v>0</v>
      </c>
      <c r="H325" s="131" t="s">
        <v>5128</v>
      </c>
      <c r="J325" s="131" t="s">
        <v>554</v>
      </c>
      <c r="K325" s="539">
        <f>IF(calcR2LOB1Clinician6Disc2Emp1BaseProd=0,0,cbalR2LOB1AvgMissPercClinician6*paramR2LOB1Disc2Missed*paramR2LOB1Clinician6Missed)</f>
        <v>0</v>
      </c>
      <c r="L325" s="539">
        <f>IF(calcR2LOB1Clinician6Disc2Emp1BaseProd=0,0,cbalR2LOB1AvgMissPercClinician6*paramR2LOB1Disc2Missed*paramR2LOB1Clinician6Missed)</f>
        <v>0</v>
      </c>
      <c r="M325" s="539">
        <f>IF(calcR2LOB1Clinician6Disc2Emp1BaseProd=0,0,cbalR2LOB1AvgMissPercClinician6*paramR2LOB1Disc2Missed*paramR2LOB1Clinician6Missed)</f>
        <v>0</v>
      </c>
      <c r="N325" s="131" t="s">
        <v>6129</v>
      </c>
    </row>
    <row r="326" spans="1:14" ht="12.75" customHeight="1">
      <c r="A326" s="461"/>
      <c r="B326" s="635"/>
      <c r="C326" s="170">
        <v>7</v>
      </c>
      <c r="D326" s="131" t="s">
        <v>554</v>
      </c>
      <c r="E326" s="539">
        <f>IF(calcLOB1Clinician7Disc2Emp1BaseProd=0,0,cbalLOB1AvgMissPercClinician7*paramLOB1Disc2Missed*paramLOB1Clinician7Missed)</f>
        <v>0</v>
      </c>
      <c r="F326" s="539">
        <f>IF(calcLOB1Clinician7Disc2Emp1BaseProd=0,0,cbalLOB1AvgMissPercClinician7*paramLOB1Disc2Missed*paramLOB1Clinician7Missed)</f>
        <v>0</v>
      </c>
      <c r="G326" s="539">
        <f>IF(calcLOB1Clinician7Disc2Emp1BaseProd=0,0,cbalLOB1AvgMissPercClinician7*paramLOB1Disc2Missed*paramLOB1Clinician7Missed)</f>
        <v>0</v>
      </c>
      <c r="H326" s="131" t="s">
        <v>5129</v>
      </c>
      <c r="J326" s="131" t="s">
        <v>554</v>
      </c>
      <c r="K326" s="539">
        <f>IF(calcR2LOB1Clinician7Disc2Emp1BaseProd=0,0,cbalR2LOB1AvgMissPercClinician7*paramR2LOB1Disc2Missed*paramR2LOB1Clinician7Missed)</f>
        <v>0</v>
      </c>
      <c r="L326" s="539">
        <f>IF(calcR2LOB1Clinician7Disc2Emp1BaseProd=0,0,cbalR2LOB1AvgMissPercClinician7*paramR2LOB1Disc2Missed*paramR2LOB1Clinician7Missed)</f>
        <v>0</v>
      </c>
      <c r="M326" s="539">
        <f>IF(calcR2LOB1Clinician7Disc2Emp1BaseProd=0,0,cbalR2LOB1AvgMissPercClinician7*paramR2LOB1Disc2Missed*paramR2LOB1Clinician7Missed)</f>
        <v>0</v>
      </c>
      <c r="N326" s="131" t="s">
        <v>6130</v>
      </c>
    </row>
    <row r="327" spans="1:14" ht="12.75" customHeight="1">
      <c r="A327" s="461"/>
      <c r="B327" s="635"/>
      <c r="C327" s="170">
        <v>8</v>
      </c>
      <c r="D327" s="131" t="s">
        <v>554</v>
      </c>
      <c r="E327" s="539">
        <f>IF(calcLOB1Clinician8Disc2Emp1BaseProd=0,0,cbalLOB1AvgMissPercClinician8*paramLOB1Disc2Missed*paramLOB1Clinician8Missed)</f>
        <v>0</v>
      </c>
      <c r="F327" s="539">
        <f>IF(calcLOB1Clinician8Disc2Emp1BaseProd=0,0,cbalLOB1AvgMissPercClinician8*paramLOB1Disc2Missed*paramLOB1Clinician8Missed)</f>
        <v>0</v>
      </c>
      <c r="G327" s="539">
        <f>IF(calcLOB1Clinician8Disc2Emp1BaseProd=0,0,cbalLOB1AvgMissPercClinician8*paramLOB1Disc2Missed*paramLOB1Clinician8Missed)</f>
        <v>0</v>
      </c>
      <c r="H327" s="131" t="s">
        <v>5130</v>
      </c>
      <c r="J327" s="131" t="s">
        <v>554</v>
      </c>
      <c r="K327" s="539">
        <f>IF(calcR2LOB1Clinician8Disc2Emp1BaseProd=0,0,cbalR2LOB1AvgMissPercClinician8*paramR2LOB1Disc2Missed*paramR2LOB1Clinician8Missed)</f>
        <v>0</v>
      </c>
      <c r="L327" s="539">
        <f>IF(calcR2LOB1Clinician8Disc2Emp1BaseProd=0,0,cbalR2LOB1AvgMissPercClinician8*paramR2LOB1Disc2Missed*paramR2LOB1Clinician8Missed)</f>
        <v>0</v>
      </c>
      <c r="M327" s="539">
        <f>IF(calcR2LOB1Clinician8Disc2Emp1BaseProd=0,0,cbalR2LOB1AvgMissPercClinician8*paramR2LOB1Disc2Missed*paramR2LOB1Clinician8Missed)</f>
        <v>0</v>
      </c>
      <c r="N327" s="131" t="s">
        <v>6131</v>
      </c>
    </row>
    <row r="328" spans="1:14" ht="12.75" customHeight="1">
      <c r="A328" s="461"/>
      <c r="B328" s="635"/>
      <c r="C328" s="170">
        <v>9</v>
      </c>
      <c r="D328" s="131" t="s">
        <v>554</v>
      </c>
      <c r="E328" s="539">
        <f>IF(calcLOB1Clinician9Disc2Emp1BaseProd=0,0,cbalLOB1AvgMissPercClinician9*paramLOB1Disc2Missed*paramLOB1Clinician9Missed)</f>
        <v>0</v>
      </c>
      <c r="F328" s="539">
        <f>IF(calcLOB1Clinician9Disc2Emp1BaseProd=0,0,cbalLOB1AvgMissPercClinician9*paramLOB1Disc2Missed*paramLOB1Clinician9Missed)</f>
        <v>0</v>
      </c>
      <c r="G328" s="539">
        <f>IF(calcLOB1Clinician9Disc2Emp1BaseProd=0,0,cbalLOB1AvgMissPercClinician9*paramLOB1Disc2Missed*paramLOB1Clinician9Missed)</f>
        <v>0</v>
      </c>
      <c r="H328" s="131" t="s">
        <v>5131</v>
      </c>
      <c r="J328" s="131" t="s">
        <v>554</v>
      </c>
      <c r="K328" s="539">
        <f>IF(calcR2LOB1Clinician9Disc2Emp1BaseProd=0,0,cbalR2LOB1AvgMissPercClinician9*paramR2LOB1Disc2Missed*paramR2LOB1Clinician9Missed)</f>
        <v>0</v>
      </c>
      <c r="L328" s="539">
        <f>IF(calcR2LOB1Clinician9Disc2Emp1BaseProd=0,0,cbalR2LOB1AvgMissPercClinician9*paramR2LOB1Disc2Missed*paramR2LOB1Clinician9Missed)</f>
        <v>0</v>
      </c>
      <c r="M328" s="539">
        <f>IF(calcR2LOB1Clinician9Disc2Emp1BaseProd=0,0,cbalR2LOB1AvgMissPercClinician9*paramR2LOB1Disc2Missed*paramR2LOB1Clinician9Missed)</f>
        <v>0</v>
      </c>
      <c r="N328" s="131" t="s">
        <v>6132</v>
      </c>
    </row>
    <row r="329" spans="1:14" ht="12.75" customHeight="1">
      <c r="A329" s="461"/>
      <c r="B329" s="635"/>
      <c r="C329" s="170">
        <v>10</v>
      </c>
      <c r="D329" s="131" t="s">
        <v>554</v>
      </c>
      <c r="E329" s="539">
        <f>IF(calcLOB1Clinician10Disc2Emp1BaseProd=0,0,cbalLOB1AvgMissPercClinician10*paramLOB1Disc2Missed*paramLOB1Clinician10Missed)</f>
        <v>0</v>
      </c>
      <c r="F329" s="539">
        <f>IF(calcLOB1Clinician10Disc2Emp1BaseProd=0,0,cbalLOB1AvgMissPercClinician10*paramLOB1Disc2Missed*paramLOB1Clinician10Missed)</f>
        <v>0</v>
      </c>
      <c r="G329" s="539">
        <f>IF(calcLOB1Clinician10Disc2Emp1BaseProd=0,0,cbalLOB1AvgMissPercClinician10*paramLOB1Disc2Missed*paramLOB1Clinician10Missed)</f>
        <v>0</v>
      </c>
      <c r="H329" s="131" t="s">
        <v>5132</v>
      </c>
      <c r="J329" s="131" t="s">
        <v>554</v>
      </c>
      <c r="K329" s="539">
        <f>IF(calcR2LOB1Clinician10Disc2Emp1BaseProd=0,0,cbalR2LOB1AvgMissPercClinician10*paramR2LOB1Disc2Missed*paramR2LOB1Clinician10Missed)</f>
        <v>0</v>
      </c>
      <c r="L329" s="539">
        <f>IF(calcR2LOB1Clinician10Disc2Emp1BaseProd=0,0,cbalR2LOB1AvgMissPercClinician10*paramR2LOB1Disc2Missed*paramR2LOB1Clinician10Missed)</f>
        <v>0</v>
      </c>
      <c r="M329" s="539">
        <f>IF(calcR2LOB1Clinician10Disc2Emp1BaseProd=0,0,cbalR2LOB1AvgMissPercClinician10*paramR2LOB1Disc2Missed*paramR2LOB1Clinician10Missed)</f>
        <v>0</v>
      </c>
      <c r="N329" s="131" t="s">
        <v>6133</v>
      </c>
    </row>
    <row r="330" spans="1:14" ht="12.75" customHeight="1">
      <c r="A330" s="461"/>
      <c r="B330" s="635"/>
      <c r="C330" s="170">
        <v>11</v>
      </c>
      <c r="D330" s="131" t="s">
        <v>554</v>
      </c>
      <c r="E330" s="539">
        <f>IF(calcLOB1Clinician11Disc2Emp1BaseProd=0,0,cbalLOB1AvgMissPercClinician11*paramLOB1Disc2Missed*paramLOB1Clinician11Missed)</f>
        <v>0</v>
      </c>
      <c r="F330" s="539">
        <f>IF(calcLOB1Clinician11Disc2Emp1BaseProd=0,0,cbalLOB1AvgMissPercClinician11*paramLOB1Disc2Missed*paramLOB1Clinician11Missed)</f>
        <v>0</v>
      </c>
      <c r="G330" s="539">
        <f>IF(calcLOB1Clinician11Disc2Emp1BaseProd=0,0,cbalLOB1AvgMissPercClinician11*paramLOB1Disc2Missed*paramLOB1Clinician11Missed)</f>
        <v>0</v>
      </c>
      <c r="H330" s="131" t="s">
        <v>5133</v>
      </c>
      <c r="J330" s="131" t="s">
        <v>554</v>
      </c>
      <c r="K330" s="539">
        <f>IF(calcR2LOB1Clinician11Disc2Emp1BaseProd=0,0,cbalR2LOB1AvgMissPercClinician11*paramR2LOB1Disc2Missed*paramR2LOB1Clinician11Missed)</f>
        <v>0</v>
      </c>
      <c r="L330" s="539">
        <f>IF(calcR2LOB1Clinician11Disc2Emp1BaseProd=0,0,cbalR2LOB1AvgMissPercClinician11*paramR2LOB1Disc2Missed*paramR2LOB1Clinician11Missed)</f>
        <v>0</v>
      </c>
      <c r="M330" s="539">
        <f>IF(calcR2LOB1Clinician11Disc2Emp1BaseProd=0,0,cbalR2LOB1AvgMissPercClinician11*paramR2LOB1Disc2Missed*paramR2LOB1Clinician11Missed)</f>
        <v>0</v>
      </c>
      <c r="N330" s="131" t="s">
        <v>6134</v>
      </c>
    </row>
    <row r="331" spans="1:14" ht="12.75" customHeight="1">
      <c r="A331" s="461"/>
      <c r="B331" s="635"/>
      <c r="C331" s="170">
        <v>12</v>
      </c>
      <c r="D331" s="131" t="s">
        <v>554</v>
      </c>
      <c r="E331" s="539">
        <f>IF(calcLOB1Clinician12Disc2Emp1BaseProd=0,0,cbalLOB1AvgMissPercClinician12*paramLOB1Disc2Missed*paramLOB1Clinician12Missed)</f>
        <v>0</v>
      </c>
      <c r="F331" s="539">
        <f>IF(calcLOB1Clinician12Disc2Emp1BaseProd=0,0,cbalLOB1AvgMissPercClinician12*paramLOB1Disc2Missed*paramLOB1Clinician12Missed)</f>
        <v>0</v>
      </c>
      <c r="G331" s="539">
        <f>IF(calcLOB1Clinician12Disc2Emp1BaseProd=0,0,cbalLOB1AvgMissPercClinician12*paramLOB1Disc2Missed*paramLOB1Clinician12Missed)</f>
        <v>0</v>
      </c>
      <c r="H331" s="131" t="s">
        <v>5134</v>
      </c>
      <c r="J331" s="131" t="s">
        <v>554</v>
      </c>
      <c r="K331" s="539">
        <f>IF(calcR2LOB1Clinician12Disc2Emp1BaseProd=0,0,cbalR2LOB1AvgMissPercClinician12*paramR2LOB1Disc2Missed*paramR2LOB1Clinician12Missed)</f>
        <v>0</v>
      </c>
      <c r="L331" s="539">
        <f>IF(calcR2LOB1Clinician12Disc2Emp1BaseProd=0,0,cbalR2LOB1AvgMissPercClinician12*paramR2LOB1Disc2Missed*paramR2LOB1Clinician12Missed)</f>
        <v>0</v>
      </c>
      <c r="M331" s="539">
        <f>IF(calcR2LOB1Clinician12Disc2Emp1BaseProd=0,0,cbalR2LOB1AvgMissPercClinician12*paramR2LOB1Disc2Missed*paramR2LOB1Clinician12Missed)</f>
        <v>0</v>
      </c>
      <c r="N331" s="131" t="s">
        <v>6135</v>
      </c>
    </row>
    <row r="332" spans="1:14" ht="12.75" customHeight="1">
      <c r="A332" s="461"/>
      <c r="B332" s="635"/>
      <c r="D332" s="131" t="s">
        <v>554</v>
      </c>
      <c r="E332" s="539">
        <f>IF(calcLOB1Clinician14Disc2Emp1BaseProd=0,0,cbalLOB1AvgMissPercClinician14*paramLOB1Disc2Missed)</f>
        <v>0.05</v>
      </c>
      <c r="F332" s="539">
        <f>IF(calcLOB1Clinician14Disc2Emp1BaseProd=0,0,cbalLOB1AvgMissPercClinician14*paramLOB1Disc2Missed)</f>
        <v>0.05</v>
      </c>
      <c r="G332" s="539">
        <f>IF(calcLOB1Clinician14Disc2Emp1BaseProd=0,0,cbalLOB1AvgMissPercClinician14*paramLOB1Disc2Missed)</f>
        <v>0.05</v>
      </c>
      <c r="H332" s="131" t="s">
        <v>5135</v>
      </c>
      <c r="J332" s="131" t="s">
        <v>554</v>
      </c>
      <c r="K332" s="539">
        <f>IF(calcR2LOB1Clinician14Disc2Emp1BaseProd=0,0,cbalR2LOB1AvgMissPercClinician14*paramR2LOB1Disc2Missed)</f>
        <v>0.05</v>
      </c>
      <c r="L332" s="539">
        <f>IF(calcR2LOB1Clinician14Disc2Emp1BaseProd=0,0,cbalR2LOB1AvgMissPercClinician14*paramR2LOB1Disc2Missed)</f>
        <v>0.05</v>
      </c>
      <c r="M332" s="539">
        <f>IF(calcR2LOB1Clinician14Disc2Emp1BaseProd=0,0,cbalR2LOB1AvgMissPercClinician14*paramR2LOB1Disc2Missed)</f>
        <v>0.05</v>
      </c>
      <c r="N332" s="131" t="s">
        <v>6136</v>
      </c>
    </row>
    <row r="333" spans="1:14" ht="12.75" customHeight="1">
      <c r="A333" s="461"/>
      <c r="B333" s="459"/>
      <c r="D333" s="131"/>
      <c r="E333" s="539"/>
      <c r="F333" s="539"/>
      <c r="G333" s="539"/>
      <c r="H333" s="131"/>
      <c r="J333" s="131"/>
      <c r="K333" s="539"/>
      <c r="L333" s="539"/>
      <c r="M333" s="539"/>
      <c r="N333" s="131"/>
    </row>
    <row r="334" spans="1:14" ht="12.75" customHeight="1">
      <c r="A334" s="461"/>
      <c r="B334" s="459"/>
      <c r="C334" s="131" t="s">
        <v>1615</v>
      </c>
    </row>
    <row r="335" spans="1:14" ht="12.75" customHeight="1">
      <c r="A335" s="461"/>
      <c r="B335" s="459"/>
      <c r="C335" s="170">
        <v>1</v>
      </c>
      <c r="D335" s="131" t="s">
        <v>550</v>
      </c>
      <c r="E335" s="539">
        <f>IF(calcLOB1Clinician1Disc1Emp1BaseProd=0,0,cbalLOB1AvgMissPercClinician1+(calcLOB1Clinician1Disc1Emp1GrossProd/calcLOB1Clinician1Disc1Emp1BaseProd-1)/paramTimeConversion)</f>
        <v>0.15</v>
      </c>
      <c r="F335" s="539">
        <f>IF(calcLOB1Clinician1Disc1Emp1BaseProd=0,0,cbalLOB1AvgMissPercClinician1+(calcLOB1Clinician1Disc1Emp1GrossProd/calcLOB1Clinician1Disc1Emp1BaseProd-1)/paramTimeConversion)</f>
        <v>0.15</v>
      </c>
      <c r="G335" s="539">
        <f>IF(calcLOB1Clinician1Disc1Emp1BaseProd=0,0,cbalLOB1AvgMissPercClinician1+(calcLOB1Clinician1Disc1Emp1GrossProd/calcLOB1Clinician1Disc1Emp1BaseProd-1)/paramTimeConversion)</f>
        <v>0.15</v>
      </c>
      <c r="H335" s="131" t="s">
        <v>3843</v>
      </c>
      <c r="J335" s="131" t="s">
        <v>550</v>
      </c>
      <c r="K335" s="539">
        <f>IF(calcR2LOB1Clinician1Disc1Emp1BaseProd=0,0,cbalR2LOB1AvgMissPercClinician1+(calcR2LOB1Clinician1Disc1Emp1GrossProd/calcR2LOB1Clinician1Disc1Emp1BaseProd-1)/paramR2TimeConversion)</f>
        <v>0.15</v>
      </c>
      <c r="L335" s="539">
        <f>IF(calcR2LOB1Clinician1Disc1Emp1BaseProd=0,0,cbalR2LOB1AvgMissPercClinician1+(calcR2LOB1Clinician1Disc1Emp1GrossProd/calcR2LOB1Clinician1Disc1Emp1BaseProd-1)/paramR2TimeConversion)</f>
        <v>0.15</v>
      </c>
      <c r="M335" s="539">
        <f>IF(calcR2LOB1Clinician1Disc1Emp1BaseProd=0,0,cbalR2LOB1AvgMissPercClinician1+(calcR2LOB1Clinician1Disc1Emp1GrossProd/calcR2LOB1Clinician1Disc1Emp1BaseProd-1)/paramR2TimeConversion)</f>
        <v>0.15</v>
      </c>
      <c r="N335" s="131" t="s">
        <v>6137</v>
      </c>
    </row>
    <row r="336" spans="1:14" ht="12.75" customHeight="1">
      <c r="A336" s="461"/>
      <c r="B336" s="459"/>
      <c r="C336" s="170">
        <v>2</v>
      </c>
      <c r="D336" s="131" t="s">
        <v>550</v>
      </c>
      <c r="E336" s="539">
        <f>IF(calcLOB1Clinician2Disc1Emp1BaseProd=0,0,cbalLOB1AvgMissPercClinician2+(calcLOB1Clinician2Disc1Emp1GrossProd/calcLOB1Clinician2Disc1Emp1BaseProd-1)/paramTimeConversion)</f>
        <v>0.1</v>
      </c>
      <c r="F336" s="539">
        <f>IF(calcLOB1Clinician2Disc1Emp1BaseProd=0,0,cbalLOB1AvgMissPercClinician2+(calcLOB1Clinician2Disc1Emp1GrossProd/calcLOB1Clinician2Disc1Emp1BaseProd-1)/paramTimeConversion)</f>
        <v>0.1</v>
      </c>
      <c r="G336" s="539">
        <f>IF(calcLOB1Clinician2Disc1Emp1BaseProd=0,0,cbalLOB1AvgMissPercClinician2+(calcLOB1Clinician2Disc1Emp1GrossProd/calcLOB1Clinician2Disc1Emp1BaseProd-1)/paramTimeConversion)</f>
        <v>0.1</v>
      </c>
      <c r="H336" s="131" t="s">
        <v>3844</v>
      </c>
      <c r="J336" s="131" t="s">
        <v>550</v>
      </c>
      <c r="K336" s="539">
        <f>IF(calcR2LOB1Clinician2Disc1Emp1BaseProd=0,0,cbalR2LOB1AvgMissPercClinician2+(calcR2LOB1Clinician2Disc1Emp1GrossProd/calcR2LOB1Clinician2Disc1Emp1BaseProd-1)/paramR2TimeConversion)</f>
        <v>0.1</v>
      </c>
      <c r="L336" s="539">
        <f>IF(calcR2LOB1Clinician2Disc1Emp1BaseProd=0,0,cbalR2LOB1AvgMissPercClinician2+(calcR2LOB1Clinician2Disc1Emp1GrossProd/calcR2LOB1Clinician2Disc1Emp1BaseProd-1)/paramR2TimeConversion)</f>
        <v>0.1</v>
      </c>
      <c r="M336" s="539">
        <f>IF(calcR2LOB1Clinician2Disc1Emp1BaseProd=0,0,cbalR2LOB1AvgMissPercClinician2+(calcR2LOB1Clinician2Disc1Emp1GrossProd/calcR2LOB1Clinician2Disc1Emp1BaseProd-1)/paramR2TimeConversion)</f>
        <v>0.1</v>
      </c>
      <c r="N336" s="131" t="s">
        <v>6138</v>
      </c>
    </row>
    <row r="337" spans="1:14" ht="12.75" customHeight="1">
      <c r="A337" s="461"/>
      <c r="B337" s="459"/>
      <c r="C337" s="170">
        <v>3</v>
      </c>
      <c r="D337" s="131" t="s">
        <v>550</v>
      </c>
      <c r="E337" s="539">
        <f>IF(calcLOB1Clinician3Disc1Emp1BaseProd=0,0,cbalLOB1AvgMissPercClinician3+(calcLOB1Clinician3Disc1Emp1GrossProd/calcLOB1Clinician3Disc1Emp1BaseProd-1)/paramTimeConversion)</f>
        <v>0.05</v>
      </c>
      <c r="F337" s="539">
        <f>IF(calcLOB1Clinician3Disc1Emp1BaseProd=0,0,cbalLOB1AvgMissPercClinician3+(calcLOB1Clinician3Disc1Emp1GrossProd/calcLOB1Clinician3Disc1Emp1BaseProd-1)/paramTimeConversion)</f>
        <v>0.05</v>
      </c>
      <c r="G337" s="539">
        <f>IF(calcLOB1Clinician3Disc1Emp1BaseProd=0,0,cbalLOB1AvgMissPercClinician3+(calcLOB1Clinician3Disc1Emp1GrossProd/calcLOB1Clinician3Disc1Emp1BaseProd-1)/paramTimeConversion)</f>
        <v>0.05</v>
      </c>
      <c r="H337" s="131" t="s">
        <v>3845</v>
      </c>
      <c r="J337" s="131" t="s">
        <v>550</v>
      </c>
      <c r="K337" s="539">
        <f>IF(calcR2LOB1Clinician3Disc1Emp1BaseProd=0,0,cbalR2LOB1AvgMissPercClinician3+(calcR2LOB1Clinician3Disc1Emp1GrossProd/calcR2LOB1Clinician3Disc1Emp1BaseProd-1)/paramR2TimeConversion)</f>
        <v>0.05</v>
      </c>
      <c r="L337" s="539">
        <f>IF(calcR2LOB1Clinician3Disc1Emp1BaseProd=0,0,cbalR2LOB1AvgMissPercClinician3+(calcR2LOB1Clinician3Disc1Emp1GrossProd/calcR2LOB1Clinician3Disc1Emp1BaseProd-1)/paramR2TimeConversion)</f>
        <v>0.05</v>
      </c>
      <c r="M337" s="539">
        <f>IF(calcR2LOB1Clinician3Disc1Emp1BaseProd=0,0,cbalR2LOB1AvgMissPercClinician3+(calcR2LOB1Clinician3Disc1Emp1GrossProd/calcR2LOB1Clinician3Disc1Emp1BaseProd-1)/paramR2TimeConversion)</f>
        <v>0.05</v>
      </c>
      <c r="N337" s="131" t="s">
        <v>6139</v>
      </c>
    </row>
    <row r="338" spans="1:14" ht="12.75" customHeight="1">
      <c r="A338" s="461"/>
      <c r="B338" s="459"/>
      <c r="C338" s="170">
        <v>4</v>
      </c>
      <c r="D338" s="131" t="s">
        <v>550</v>
      </c>
      <c r="E338" s="539">
        <f>IF(calcLOB1Clinician4Disc1Emp1BaseProd=0,0,cbalLOB1AvgMissPercClinician4+(calcLOB1Clinician4Disc1Emp1GrossProd/calcLOB1Clinician4Disc1Emp1BaseProd-1)/paramTimeConversion)</f>
        <v>0</v>
      </c>
      <c r="F338" s="539">
        <f>IF(calcLOB1Clinician4Disc1Emp1BaseProd=0,0,cbalLOB1AvgMissPercClinician4+(calcLOB1Clinician4Disc1Emp1GrossProd/calcLOB1Clinician4Disc1Emp1BaseProd-1)/paramTimeConversion)</f>
        <v>0</v>
      </c>
      <c r="G338" s="539">
        <f>IF(calcLOB1Clinician4Disc1Emp1BaseProd=0,0,cbalLOB1AvgMissPercClinician4+(calcLOB1Clinician4Disc1Emp1GrossProd/calcLOB1Clinician4Disc1Emp1BaseProd-1)/paramTimeConversion)</f>
        <v>0</v>
      </c>
      <c r="H338" s="131" t="s">
        <v>3846</v>
      </c>
      <c r="J338" s="131" t="s">
        <v>550</v>
      </c>
      <c r="K338" s="539">
        <f>IF(calcR2LOB1Clinician4Disc1Emp1BaseProd=0,0,cbalR2LOB1AvgMissPercClinician4+(calcR2LOB1Clinician4Disc1Emp1GrossProd/calcR2LOB1Clinician4Disc1Emp1BaseProd-1)/paramR2TimeConversion)</f>
        <v>0</v>
      </c>
      <c r="L338" s="539">
        <f>IF(calcR2LOB1Clinician4Disc1Emp1BaseProd=0,0,cbalR2LOB1AvgMissPercClinician4+(calcR2LOB1Clinician4Disc1Emp1GrossProd/calcR2LOB1Clinician4Disc1Emp1BaseProd-1)/paramR2TimeConversion)</f>
        <v>0</v>
      </c>
      <c r="M338" s="539">
        <f>IF(calcR2LOB1Clinician4Disc1Emp1BaseProd=0,0,cbalR2LOB1AvgMissPercClinician4+(calcR2LOB1Clinician4Disc1Emp1GrossProd/calcR2LOB1Clinician4Disc1Emp1BaseProd-1)/paramR2TimeConversion)</f>
        <v>0</v>
      </c>
      <c r="N338" s="131" t="s">
        <v>6140</v>
      </c>
    </row>
    <row r="339" spans="1:14" ht="12.75" customHeight="1">
      <c r="A339" s="461"/>
      <c r="B339" s="459"/>
      <c r="C339" s="170">
        <v>5</v>
      </c>
      <c r="D339" s="131" t="s">
        <v>550</v>
      </c>
      <c r="E339" s="539">
        <f>IF(calcLOB1Clinician5Disc1Emp1BaseProd=0,0,cbalLOB1AvgMissPercClinician5+(calcLOB1Clinician5Disc1Emp1GrossProd/calcLOB1Clinician5Disc1Emp1BaseProd-1)/paramTimeConversion)</f>
        <v>0</v>
      </c>
      <c r="F339" s="539">
        <f>IF(calcLOB1Clinician5Disc1Emp1BaseProd=0,0,cbalLOB1AvgMissPercClinician5+(calcLOB1Clinician5Disc1Emp1GrossProd/calcLOB1Clinician5Disc1Emp1BaseProd-1)/paramTimeConversion)</f>
        <v>0</v>
      </c>
      <c r="G339" s="539">
        <f>IF(calcLOB1Clinician5Disc1Emp1BaseProd=0,0,cbalLOB1AvgMissPercClinician5+(calcLOB1Clinician5Disc1Emp1GrossProd/calcLOB1Clinician5Disc1Emp1BaseProd-1)/paramTimeConversion)</f>
        <v>0</v>
      </c>
      <c r="H339" s="131" t="s">
        <v>3847</v>
      </c>
      <c r="J339" s="131" t="s">
        <v>550</v>
      </c>
      <c r="K339" s="539">
        <f>IF(calcR2LOB1Clinician5Disc1Emp1BaseProd=0,0,cbalR2LOB1AvgMissPercClinician5+(calcR2LOB1Clinician5Disc1Emp1GrossProd/calcR2LOB1Clinician5Disc1Emp1BaseProd-1)/paramR2TimeConversion)</f>
        <v>0</v>
      </c>
      <c r="L339" s="539">
        <f>IF(calcR2LOB1Clinician5Disc1Emp1BaseProd=0,0,cbalR2LOB1AvgMissPercClinician5+(calcR2LOB1Clinician5Disc1Emp1GrossProd/calcR2LOB1Clinician5Disc1Emp1BaseProd-1)/paramR2TimeConversion)</f>
        <v>0</v>
      </c>
      <c r="M339" s="539">
        <f>IF(calcR2LOB1Clinician5Disc1Emp1BaseProd=0,0,cbalR2LOB1AvgMissPercClinician5+(calcR2LOB1Clinician5Disc1Emp1GrossProd/calcR2LOB1Clinician5Disc1Emp1BaseProd-1)/paramR2TimeConversion)</f>
        <v>0</v>
      </c>
      <c r="N339" s="131" t="s">
        <v>6141</v>
      </c>
    </row>
    <row r="340" spans="1:14" ht="12.75" customHeight="1">
      <c r="A340" s="461"/>
      <c r="B340" s="459"/>
      <c r="C340" s="170">
        <v>6</v>
      </c>
      <c r="D340" s="131" t="s">
        <v>550</v>
      </c>
      <c r="E340" s="539">
        <f>IF(calcLOB1Clinician6Disc1Emp1BaseProd=0,0,cbalLOB1AvgMissPercClinician6+(calcLOB1Clinician6Disc1Emp1GrossProd/calcLOB1Clinician6Disc1Emp1BaseProd-1)/paramTimeConversion)</f>
        <v>0</v>
      </c>
      <c r="F340" s="539">
        <f>IF(calcLOB1Clinician6Disc1Emp1BaseProd=0,0,cbalLOB1AvgMissPercClinician6+(calcLOB1Clinician6Disc1Emp1GrossProd/calcLOB1Clinician6Disc1Emp1BaseProd-1)/paramTimeConversion)</f>
        <v>0</v>
      </c>
      <c r="G340" s="539">
        <f>IF(calcLOB1Clinician6Disc1Emp1BaseProd=0,0,cbalLOB1AvgMissPercClinician6+(calcLOB1Clinician6Disc1Emp1GrossProd/calcLOB1Clinician6Disc1Emp1BaseProd-1)/paramTimeConversion)</f>
        <v>0</v>
      </c>
      <c r="H340" s="131" t="s">
        <v>3848</v>
      </c>
      <c r="J340" s="131" t="s">
        <v>550</v>
      </c>
      <c r="K340" s="539">
        <f>IF(calcR2LOB1Clinician6Disc1Emp1BaseProd=0,0,cbalR2LOB1AvgMissPercClinician6+(calcR2LOB1Clinician6Disc1Emp1GrossProd/calcR2LOB1Clinician6Disc1Emp1BaseProd-1)/paramR2TimeConversion)</f>
        <v>0</v>
      </c>
      <c r="L340" s="539">
        <f>IF(calcR2LOB1Clinician6Disc1Emp1BaseProd=0,0,cbalR2LOB1AvgMissPercClinician6+(calcR2LOB1Clinician6Disc1Emp1GrossProd/calcR2LOB1Clinician6Disc1Emp1BaseProd-1)/paramR2TimeConversion)</f>
        <v>0</v>
      </c>
      <c r="M340" s="539">
        <f>IF(calcR2LOB1Clinician6Disc1Emp1BaseProd=0,0,cbalR2LOB1AvgMissPercClinician6+(calcR2LOB1Clinician6Disc1Emp1GrossProd/calcR2LOB1Clinician6Disc1Emp1BaseProd-1)/paramR2TimeConversion)</f>
        <v>0</v>
      </c>
      <c r="N340" s="131" t="s">
        <v>6142</v>
      </c>
    </row>
    <row r="341" spans="1:14" ht="12.75" customHeight="1">
      <c r="A341" s="461"/>
      <c r="B341" s="459"/>
      <c r="C341" s="170">
        <v>7</v>
      </c>
      <c r="D341" s="131" t="s">
        <v>550</v>
      </c>
      <c r="E341" s="539">
        <f>IF(calcLOB1Clinician7Disc1Emp1BaseProd=0,0,cbalLOB1AvgMissPercClinician7+(calcLOB1Clinician7Disc1Emp1GrossProd/calcLOB1Clinician7Disc1Emp1BaseProd-1)/paramTimeConversion)</f>
        <v>0</v>
      </c>
      <c r="F341" s="539">
        <f>IF(calcLOB1Clinician7Disc1Emp1BaseProd=0,0,cbalLOB1AvgMissPercClinician7+(calcLOB1Clinician7Disc1Emp1GrossProd/calcLOB1Clinician7Disc1Emp1BaseProd-1)/paramTimeConversion)</f>
        <v>0</v>
      </c>
      <c r="G341" s="539">
        <f>IF(calcLOB1Clinician7Disc1Emp1BaseProd=0,0,cbalLOB1AvgMissPercClinician7+(calcLOB1Clinician7Disc1Emp1GrossProd/calcLOB1Clinician7Disc1Emp1BaseProd-1)/paramTimeConversion)</f>
        <v>0</v>
      </c>
      <c r="H341" s="131" t="s">
        <v>3849</v>
      </c>
      <c r="J341" s="131" t="s">
        <v>550</v>
      </c>
      <c r="K341" s="539">
        <f>IF(calcR2LOB1Clinician7Disc1Emp1BaseProd=0,0,cbalR2LOB1AvgMissPercClinician7+(calcR2LOB1Clinician7Disc1Emp1GrossProd/calcR2LOB1Clinician7Disc1Emp1BaseProd-1)/paramR2TimeConversion)</f>
        <v>0</v>
      </c>
      <c r="L341" s="539">
        <f>IF(calcR2LOB1Clinician7Disc1Emp1BaseProd=0,0,cbalR2LOB1AvgMissPercClinician7+(calcR2LOB1Clinician7Disc1Emp1GrossProd/calcR2LOB1Clinician7Disc1Emp1BaseProd-1)/paramR2TimeConversion)</f>
        <v>0</v>
      </c>
      <c r="M341" s="539">
        <f>IF(calcR2LOB1Clinician7Disc1Emp1BaseProd=0,0,cbalR2LOB1AvgMissPercClinician7+(calcR2LOB1Clinician7Disc1Emp1GrossProd/calcR2LOB1Clinician7Disc1Emp1BaseProd-1)/paramR2TimeConversion)</f>
        <v>0</v>
      </c>
      <c r="N341" s="131" t="s">
        <v>6143</v>
      </c>
    </row>
    <row r="342" spans="1:14" ht="12.75" customHeight="1">
      <c r="A342" s="461"/>
      <c r="B342" s="459"/>
      <c r="C342" s="170">
        <v>8</v>
      </c>
      <c r="D342" s="131" t="s">
        <v>550</v>
      </c>
      <c r="E342" s="539">
        <f>IF(calcLOB1Clinician8Disc1Emp1BaseProd=0,0,cbalLOB1AvgMissPercClinician8+(calcLOB1Clinician8Disc1Emp1GrossProd/calcLOB1Clinician8Disc1Emp1BaseProd-1)/paramTimeConversion)</f>
        <v>0</v>
      </c>
      <c r="F342" s="539">
        <f>IF(calcLOB1Clinician8Disc1Emp1BaseProd=0,0,cbalLOB1AvgMissPercClinician8+(calcLOB1Clinician8Disc1Emp1GrossProd/calcLOB1Clinician8Disc1Emp1BaseProd-1)/paramTimeConversion)</f>
        <v>0</v>
      </c>
      <c r="G342" s="539">
        <f>IF(calcLOB1Clinician8Disc1Emp1BaseProd=0,0,cbalLOB1AvgMissPercClinician8+(calcLOB1Clinician8Disc1Emp1GrossProd/calcLOB1Clinician8Disc1Emp1BaseProd-1)/paramTimeConversion)</f>
        <v>0</v>
      </c>
      <c r="H342" s="131" t="s">
        <v>3850</v>
      </c>
      <c r="J342" s="131" t="s">
        <v>550</v>
      </c>
      <c r="K342" s="539">
        <f>IF(calcR2LOB1Clinician8Disc1Emp1BaseProd=0,0,cbalR2LOB1AvgMissPercClinician8+(calcR2LOB1Clinician8Disc1Emp1GrossProd/calcR2LOB1Clinician8Disc1Emp1BaseProd-1)/paramR2TimeConversion)</f>
        <v>0</v>
      </c>
      <c r="L342" s="539">
        <f>IF(calcR2LOB1Clinician8Disc1Emp1BaseProd=0,0,cbalR2LOB1AvgMissPercClinician8+(calcR2LOB1Clinician8Disc1Emp1GrossProd/calcR2LOB1Clinician8Disc1Emp1BaseProd-1)/paramR2TimeConversion)</f>
        <v>0</v>
      </c>
      <c r="M342" s="539">
        <f>IF(calcR2LOB1Clinician8Disc1Emp1BaseProd=0,0,cbalR2LOB1AvgMissPercClinician8+(calcR2LOB1Clinician8Disc1Emp1GrossProd/calcR2LOB1Clinician8Disc1Emp1BaseProd-1)/paramR2TimeConversion)</f>
        <v>0</v>
      </c>
      <c r="N342" s="131" t="s">
        <v>6144</v>
      </c>
    </row>
    <row r="343" spans="1:14" ht="12.75" customHeight="1">
      <c r="A343" s="461"/>
      <c r="B343" s="459"/>
      <c r="C343" s="170">
        <v>9</v>
      </c>
      <c r="D343" s="131" t="s">
        <v>550</v>
      </c>
      <c r="E343" s="539">
        <f>IF(calcLOB1Clinician9Disc1Emp1BaseProd=0,0,cbalLOB1AvgMissPercClinician9+(calcLOB1Clinician9Disc1Emp1GrossProd/calcLOB1Clinician9Disc1Emp1BaseProd-1)/paramTimeConversion)</f>
        <v>0</v>
      </c>
      <c r="F343" s="539">
        <f>IF(calcLOB1Clinician9Disc1Emp1BaseProd=0,0,cbalLOB1AvgMissPercClinician9+(calcLOB1Clinician9Disc1Emp1GrossProd/calcLOB1Clinician9Disc1Emp1BaseProd-1)/paramTimeConversion)</f>
        <v>0</v>
      </c>
      <c r="G343" s="539">
        <f>IF(calcLOB1Clinician9Disc1Emp1BaseProd=0,0,cbalLOB1AvgMissPercClinician9+(calcLOB1Clinician9Disc1Emp1GrossProd/calcLOB1Clinician9Disc1Emp1BaseProd-1)/paramTimeConversion)</f>
        <v>0</v>
      </c>
      <c r="H343" s="131" t="s">
        <v>3851</v>
      </c>
      <c r="J343" s="131" t="s">
        <v>550</v>
      </c>
      <c r="K343" s="539">
        <f>IF(calcR2LOB1Clinician9Disc1Emp1BaseProd=0,0,cbalR2LOB1AvgMissPercClinician9+(calcR2LOB1Clinician9Disc1Emp1GrossProd/calcR2LOB1Clinician9Disc1Emp1BaseProd-1)/paramR2TimeConversion)</f>
        <v>0</v>
      </c>
      <c r="L343" s="539">
        <f>IF(calcR2LOB1Clinician9Disc1Emp1BaseProd=0,0,cbalR2LOB1AvgMissPercClinician9+(calcR2LOB1Clinician9Disc1Emp1GrossProd/calcR2LOB1Clinician9Disc1Emp1BaseProd-1)/paramR2TimeConversion)</f>
        <v>0</v>
      </c>
      <c r="M343" s="539">
        <f>IF(calcR2LOB1Clinician9Disc1Emp1BaseProd=0,0,cbalR2LOB1AvgMissPercClinician9+(calcR2LOB1Clinician9Disc1Emp1GrossProd/calcR2LOB1Clinician9Disc1Emp1BaseProd-1)/paramR2TimeConversion)</f>
        <v>0</v>
      </c>
      <c r="N343" s="131" t="s">
        <v>6145</v>
      </c>
    </row>
    <row r="344" spans="1:14" ht="12.75" customHeight="1">
      <c r="A344" s="461"/>
      <c r="B344" s="459"/>
      <c r="C344" s="170">
        <v>10</v>
      </c>
      <c r="D344" s="131" t="s">
        <v>550</v>
      </c>
      <c r="E344" s="539">
        <f>IF(calcLOB1Clinician10Disc1Emp1BaseProd=0,0,cbalLOB1AvgMissPercClinician10+(calcLOB1Clinician10Disc1Emp1GrossProd/calcLOB1Clinician10Disc1Emp1BaseProd-1)/paramTimeConversion)</f>
        <v>0</v>
      </c>
      <c r="F344" s="539">
        <f>IF(calcLOB1Clinician10Disc1Emp1BaseProd=0,0,cbalLOB1AvgMissPercClinician10+(calcLOB1Clinician10Disc1Emp1GrossProd/calcLOB1Clinician10Disc1Emp1BaseProd-1)/paramTimeConversion)</f>
        <v>0</v>
      </c>
      <c r="G344" s="539">
        <f>IF(calcLOB1Clinician10Disc1Emp1BaseProd=0,0,cbalLOB1AvgMissPercClinician10+(calcLOB1Clinician10Disc1Emp1GrossProd/calcLOB1Clinician10Disc1Emp1BaseProd-1)/paramTimeConversion)</f>
        <v>0</v>
      </c>
      <c r="H344" s="131" t="s">
        <v>3852</v>
      </c>
      <c r="J344" s="131" t="s">
        <v>550</v>
      </c>
      <c r="K344" s="539">
        <f>IF(calcR2LOB1Clinician10Disc1Emp1BaseProd=0,0,cbalR2LOB1AvgMissPercClinician10+(calcR2LOB1Clinician10Disc1Emp1GrossProd/calcR2LOB1Clinician10Disc1Emp1BaseProd-1)/paramR2TimeConversion)</f>
        <v>0</v>
      </c>
      <c r="L344" s="539">
        <f>IF(calcR2LOB1Clinician10Disc1Emp1BaseProd=0,0,cbalR2LOB1AvgMissPercClinician10+(calcR2LOB1Clinician10Disc1Emp1GrossProd/calcR2LOB1Clinician10Disc1Emp1BaseProd-1)/paramR2TimeConversion)</f>
        <v>0</v>
      </c>
      <c r="M344" s="539">
        <f>IF(calcR2LOB1Clinician10Disc1Emp1BaseProd=0,0,cbalR2LOB1AvgMissPercClinician10+(calcR2LOB1Clinician10Disc1Emp1GrossProd/calcR2LOB1Clinician10Disc1Emp1BaseProd-1)/paramR2TimeConversion)</f>
        <v>0</v>
      </c>
      <c r="N344" s="131" t="s">
        <v>6146</v>
      </c>
    </row>
    <row r="345" spans="1:14" ht="12.75" customHeight="1">
      <c r="A345" s="461"/>
      <c r="B345" s="459"/>
      <c r="C345" s="170">
        <v>11</v>
      </c>
      <c r="D345" s="131" t="s">
        <v>550</v>
      </c>
      <c r="E345" s="539">
        <f>IF(calcLOB1Clinician11Disc1Emp1BaseProd=0,0,cbalLOB1AvgMissPercClinician11+(calcLOB1Clinician11Disc1Emp1GrossProd/calcLOB1Clinician11Disc1Emp1BaseProd-1)/paramTimeConversion)</f>
        <v>0</v>
      </c>
      <c r="F345" s="539">
        <f>IF(calcLOB1Clinician11Disc1Emp1BaseProd=0,0,cbalLOB1AvgMissPercClinician11+(calcLOB1Clinician11Disc1Emp1GrossProd/calcLOB1Clinician11Disc1Emp1BaseProd-1)/paramTimeConversion)</f>
        <v>0</v>
      </c>
      <c r="G345" s="539">
        <f>IF(calcLOB1Clinician11Disc1Emp1BaseProd=0,0,cbalLOB1AvgMissPercClinician11+(calcLOB1Clinician11Disc1Emp1GrossProd/calcLOB1Clinician11Disc1Emp1BaseProd-1)/paramTimeConversion)</f>
        <v>0</v>
      </c>
      <c r="H345" s="131" t="s">
        <v>3853</v>
      </c>
      <c r="J345" s="131" t="s">
        <v>550</v>
      </c>
      <c r="K345" s="539">
        <f>IF(calcR2LOB1Clinician11Disc1Emp1BaseProd=0,0,cbalR2LOB1AvgMissPercClinician11+(calcR2LOB1Clinician11Disc1Emp1GrossProd/calcR2LOB1Clinician11Disc1Emp1BaseProd-1)/paramR2TimeConversion)</f>
        <v>0</v>
      </c>
      <c r="L345" s="539">
        <f>IF(calcR2LOB1Clinician11Disc1Emp1BaseProd=0,0,cbalR2LOB1AvgMissPercClinician11+(calcR2LOB1Clinician11Disc1Emp1GrossProd/calcR2LOB1Clinician11Disc1Emp1BaseProd-1)/paramR2TimeConversion)</f>
        <v>0</v>
      </c>
      <c r="M345" s="539">
        <f>IF(calcR2LOB1Clinician11Disc1Emp1BaseProd=0,0,cbalR2LOB1AvgMissPercClinician11+(calcR2LOB1Clinician11Disc1Emp1GrossProd/calcR2LOB1Clinician11Disc1Emp1BaseProd-1)/paramR2TimeConversion)</f>
        <v>0</v>
      </c>
      <c r="N345" s="131" t="s">
        <v>6147</v>
      </c>
    </row>
    <row r="346" spans="1:14" ht="12.75" customHeight="1">
      <c r="A346" s="461"/>
      <c r="B346" s="459"/>
      <c r="C346" s="170">
        <v>12</v>
      </c>
      <c r="D346" s="131" t="s">
        <v>550</v>
      </c>
      <c r="E346" s="539">
        <f>IF(calcLOB1Clinician12Disc1Emp1BaseProd=0,0,cbalLOB1AvgMissPercClinician12+(calcLOB1Clinician12Disc1Emp1GrossProd/calcLOB1Clinician12Disc1Emp1BaseProd-1)/paramTimeConversion)</f>
        <v>0</v>
      </c>
      <c r="F346" s="539">
        <f>IF(calcLOB1Clinician12Disc1Emp1BaseProd=0,0,cbalLOB1AvgMissPercClinician12+(calcLOB1Clinician12Disc1Emp1GrossProd/calcLOB1Clinician12Disc1Emp1BaseProd-1)/paramTimeConversion)</f>
        <v>0</v>
      </c>
      <c r="G346" s="539">
        <f>IF(calcLOB1Clinician12Disc1Emp1BaseProd=0,0,cbalLOB1AvgMissPercClinician12+(calcLOB1Clinician12Disc1Emp1GrossProd/calcLOB1Clinician12Disc1Emp1BaseProd-1)/paramTimeConversion)</f>
        <v>0</v>
      </c>
      <c r="H346" s="131" t="s">
        <v>3854</v>
      </c>
      <c r="J346" s="131" t="s">
        <v>550</v>
      </c>
      <c r="K346" s="539">
        <f>IF(calcR2LOB1Clinician12Disc1Emp1BaseProd=0,0,cbalR2LOB1AvgMissPercClinician12+(calcR2LOB1Clinician12Disc1Emp1GrossProd/calcR2LOB1Clinician12Disc1Emp1BaseProd-1)/paramR2TimeConversion)</f>
        <v>0</v>
      </c>
      <c r="L346" s="539">
        <f>IF(calcR2LOB1Clinician12Disc1Emp1BaseProd=0,0,cbalR2LOB1AvgMissPercClinician12+(calcR2LOB1Clinician12Disc1Emp1GrossProd/calcR2LOB1Clinician12Disc1Emp1BaseProd-1)/paramR2TimeConversion)</f>
        <v>0</v>
      </c>
      <c r="M346" s="539">
        <f>IF(calcR2LOB1Clinician12Disc1Emp1BaseProd=0,0,cbalR2LOB1AvgMissPercClinician12+(calcR2LOB1Clinician12Disc1Emp1GrossProd/calcR2LOB1Clinician12Disc1Emp1BaseProd-1)/paramR2TimeConversion)</f>
        <v>0</v>
      </c>
      <c r="N346" s="131" t="s">
        <v>6148</v>
      </c>
    </row>
    <row r="347" spans="1:14" ht="12.75" customHeight="1">
      <c r="A347" s="461"/>
      <c r="B347" s="459"/>
      <c r="D347" s="131" t="s">
        <v>550</v>
      </c>
      <c r="E347" s="539">
        <f>IF(calcLOB1Clinician13Disc1Emp1BaseProd=0,0,cbalLOB1AvgMissPercClinician13+(calcLOB1Clinician13Disc1Emp1GrossProd/calcLOB1Clinician13Disc1Emp1BaseProd-1)/paramTimeConversion)</f>
        <v>3.7916666666666668E-2</v>
      </c>
      <c r="F347" s="539">
        <f>IF(calcLOB1Clinician13Disc1Emp1BaseProd=0,0,cbalLOB1AvgMissPercClinician13+(calcLOB1Clinician13Disc1Emp1GrossProd/calcLOB1Clinician13Disc1Emp1BaseProd-1)/paramTimeConversion)</f>
        <v>3.973354166666667E-2</v>
      </c>
      <c r="G347" s="539">
        <f>IF(calcLOB1Clinician13Disc1Emp1BaseProd=0,0,cbalLOB1AvgMissPercClinician13+(calcLOB1Clinician13Disc1Emp1GrossProd/calcLOB1Clinician13Disc1Emp1BaseProd-1)/paramTimeConversion)</f>
        <v>3.7453541666666666E-2</v>
      </c>
      <c r="H347" s="131" t="s">
        <v>4042</v>
      </c>
      <c r="J347" s="131" t="s">
        <v>550</v>
      </c>
      <c r="K347" s="539">
        <f>IF(calcR2LOB1Clinician13Disc1Emp1BaseProd=0,0,cbalR2LOB1AvgMissPercClinician13+(calcR2LOB1Clinician13Disc1Emp1GrossProd/calcR2LOB1Clinician13Disc1Emp1BaseProd-1)/paramR2TimeConversion)</f>
        <v>3.5419215463249158E-2</v>
      </c>
      <c r="L347" s="539">
        <f>IF(calcR2LOB1Clinician13Disc1Emp1BaseProd=0,0,cbalR2LOB1AvgMissPercClinician13+(calcR2LOB1Clinician13Disc1Emp1GrossProd/calcR2LOB1Clinician13Disc1Emp1BaseProd-1)/paramR2TimeConversion)</f>
        <v>4.1231412604166691E-2</v>
      </c>
      <c r="M347" s="539">
        <f>IF(calcR2LOB1Clinician13Disc1Emp1BaseProd=0,0,cbalR2LOB1AvgMissPercClinician13+(calcR2LOB1Clinician13Disc1Emp1GrossProd/calcR2LOB1Clinician13Disc1Emp1BaseProd-1)/paramR2TimeConversion)</f>
        <v>3.6993426979166667E-2</v>
      </c>
      <c r="N347" s="131" t="s">
        <v>6149</v>
      </c>
    </row>
    <row r="348" spans="1:14" ht="12.75" customHeight="1">
      <c r="A348" s="461"/>
      <c r="B348" s="459"/>
      <c r="C348" s="170">
        <v>1</v>
      </c>
      <c r="D348" s="131" t="s">
        <v>554</v>
      </c>
      <c r="E348" s="539">
        <f>IF(calcLOB1Clinician1Disc2Emp1BaseProd=0,0,cbalLOB1AvgMissPercClinician1+(calcLOB1Clinician1Disc2Emp1GrossProd/calcLOB1Clinician1Disc2Emp1BaseProd-1)/paramTimeConversion)</f>
        <v>0</v>
      </c>
      <c r="F348" s="539">
        <f>IF(calcLOB1Clinician1Disc2Emp1BaseProd=0,0,cbalLOB1AvgMissPercClinician1+(calcLOB1Clinician1Disc2Emp1GrossProd/calcLOB1Clinician1Disc2Emp1BaseProd-1)/paramTimeConversion)</f>
        <v>0</v>
      </c>
      <c r="G348" s="539">
        <f>IF(calcLOB1Clinician1Disc2Emp1BaseProd=0,0,cbalLOB1AvgMissPercClinician1+(calcLOB1Clinician1Disc2Emp1GrossProd/calcLOB1Clinician1Disc2Emp1BaseProd-1)/paramTimeConversion)</f>
        <v>0</v>
      </c>
      <c r="H348" s="131" t="s">
        <v>3855</v>
      </c>
      <c r="J348" s="131" t="s">
        <v>554</v>
      </c>
      <c r="K348" s="539">
        <f>IF(calcR2LOB1Clinician1Disc2Emp1BaseProd=0,0,cbalR2LOB1AvgMissPercClinician1+(calcR2LOB1Clinician1Disc2Emp1GrossProd/calcR2LOB1Clinician1Disc2Emp1BaseProd-1)/paramR2TimeConversion)</f>
        <v>0</v>
      </c>
      <c r="L348" s="539">
        <f>IF(calcR2LOB1Clinician1Disc2Emp1BaseProd=0,0,cbalR2LOB1AvgMissPercClinician1+(calcR2LOB1Clinician1Disc2Emp1GrossProd/calcR2LOB1Clinician1Disc2Emp1BaseProd-1)/paramR2TimeConversion)</f>
        <v>0</v>
      </c>
      <c r="M348" s="539">
        <f>IF(calcR2LOB1Clinician1Disc2Emp1BaseProd=0,0,cbalR2LOB1AvgMissPercClinician1+(calcR2LOB1Clinician1Disc2Emp1GrossProd/calcR2LOB1Clinician1Disc2Emp1BaseProd-1)/paramR2TimeConversion)</f>
        <v>0</v>
      </c>
      <c r="N348" s="131" t="s">
        <v>6150</v>
      </c>
    </row>
    <row r="349" spans="1:14" ht="12.75" customHeight="1">
      <c r="A349" s="461"/>
      <c r="B349" s="459"/>
      <c r="C349" s="170">
        <v>2</v>
      </c>
      <c r="D349" s="131" t="s">
        <v>554</v>
      </c>
      <c r="E349" s="539">
        <f>IF(calcLOB1Clinician2Disc2Emp1BaseProd=0,0,cbalLOB1AvgMissPercClinician2+(calcLOB1Clinician2Disc2Emp1GrossProd/calcLOB1Clinician2Disc2Emp1BaseProd-1)/paramTimeConversion)</f>
        <v>0</v>
      </c>
      <c r="F349" s="539">
        <f>IF(calcLOB1Clinician2Disc2Emp1BaseProd=0,0,cbalLOB1AvgMissPercClinician2+(calcLOB1Clinician2Disc2Emp1GrossProd/calcLOB1Clinician2Disc2Emp1BaseProd-1)/paramTimeConversion)</f>
        <v>0</v>
      </c>
      <c r="G349" s="539">
        <f>IF(calcLOB1Clinician2Disc2Emp1BaseProd=0,0,cbalLOB1AvgMissPercClinician2+(calcLOB1Clinician2Disc2Emp1GrossProd/calcLOB1Clinician2Disc2Emp1BaseProd-1)/paramTimeConversion)</f>
        <v>0</v>
      </c>
      <c r="H349" s="131" t="s">
        <v>3856</v>
      </c>
      <c r="J349" s="131" t="s">
        <v>554</v>
      </c>
      <c r="K349" s="539">
        <f>IF(calcR2LOB1Clinician2Disc2Emp1BaseProd=0,0,cbalR2LOB1AvgMissPercClinician2+(calcR2LOB1Clinician2Disc2Emp1GrossProd/calcR2LOB1Clinician2Disc2Emp1BaseProd-1)/paramR2TimeConversion)</f>
        <v>0</v>
      </c>
      <c r="L349" s="539">
        <f>IF(calcR2LOB1Clinician2Disc2Emp1BaseProd=0,0,cbalR2LOB1AvgMissPercClinician2+(calcR2LOB1Clinician2Disc2Emp1GrossProd/calcR2LOB1Clinician2Disc2Emp1BaseProd-1)/paramR2TimeConversion)</f>
        <v>0</v>
      </c>
      <c r="M349" s="539">
        <f>IF(calcR2LOB1Clinician2Disc2Emp1BaseProd=0,0,cbalR2LOB1AvgMissPercClinician2+(calcR2LOB1Clinician2Disc2Emp1GrossProd/calcR2LOB1Clinician2Disc2Emp1BaseProd-1)/paramR2TimeConversion)</f>
        <v>0</v>
      </c>
      <c r="N349" s="131" t="s">
        <v>6151</v>
      </c>
    </row>
    <row r="350" spans="1:14" ht="12.75" customHeight="1">
      <c r="A350" s="461"/>
      <c r="B350" s="459"/>
      <c r="C350" s="170">
        <v>3</v>
      </c>
      <c r="D350" s="131" t="s">
        <v>554</v>
      </c>
      <c r="E350" s="539">
        <f>IF(calcLOB1Clinician3Disc2Emp1BaseProd=0,0,cbalLOB1AvgMissPercClinician3+(calcLOB1Clinician3Disc2Emp1GrossProd/calcLOB1Clinician3Disc2Emp1BaseProd-1)/paramTimeConversion)</f>
        <v>0</v>
      </c>
      <c r="F350" s="539">
        <f>IF(calcLOB1Clinician3Disc2Emp1BaseProd=0,0,cbalLOB1AvgMissPercClinician3+(calcLOB1Clinician3Disc2Emp1GrossProd/calcLOB1Clinician3Disc2Emp1BaseProd-1)/paramTimeConversion)</f>
        <v>0</v>
      </c>
      <c r="G350" s="539">
        <f>IF(calcLOB1Clinician3Disc2Emp1BaseProd=0,0,cbalLOB1AvgMissPercClinician3+(calcLOB1Clinician3Disc2Emp1GrossProd/calcLOB1Clinician3Disc2Emp1BaseProd-1)/paramTimeConversion)</f>
        <v>0</v>
      </c>
      <c r="H350" s="131" t="s">
        <v>3857</v>
      </c>
      <c r="J350" s="131" t="s">
        <v>554</v>
      </c>
      <c r="K350" s="539">
        <f>IF(calcR2LOB1Clinician3Disc2Emp1BaseProd=0,0,cbalR2LOB1AvgMissPercClinician3+(calcR2LOB1Clinician3Disc2Emp1GrossProd/calcR2LOB1Clinician3Disc2Emp1BaseProd-1)/paramR2TimeConversion)</f>
        <v>0</v>
      </c>
      <c r="L350" s="539">
        <f>IF(calcR2LOB1Clinician3Disc2Emp1BaseProd=0,0,cbalR2LOB1AvgMissPercClinician3+(calcR2LOB1Clinician3Disc2Emp1GrossProd/calcR2LOB1Clinician3Disc2Emp1BaseProd-1)/paramR2TimeConversion)</f>
        <v>0</v>
      </c>
      <c r="M350" s="539">
        <f>IF(calcR2LOB1Clinician3Disc2Emp1BaseProd=0,0,cbalR2LOB1AvgMissPercClinician3+(calcR2LOB1Clinician3Disc2Emp1GrossProd/calcR2LOB1Clinician3Disc2Emp1BaseProd-1)/paramR2TimeConversion)</f>
        <v>0</v>
      </c>
      <c r="N350" s="131" t="s">
        <v>6152</v>
      </c>
    </row>
    <row r="351" spans="1:14" ht="12.75" customHeight="1">
      <c r="A351" s="461"/>
      <c r="B351" s="459"/>
      <c r="C351" s="170">
        <v>4</v>
      </c>
      <c r="D351" s="131" t="s">
        <v>554</v>
      </c>
      <c r="E351" s="539">
        <f>IF(calcLOB1Clinician4Disc2Emp1BaseProd=0,0,cbalLOB1AvgMissPercClinician4+(calcLOB1Clinician4Disc2Emp1GrossProd/calcLOB1Clinician4Disc2Emp1BaseProd-1)/paramTimeConversion)</f>
        <v>0.01</v>
      </c>
      <c r="F351" s="539">
        <f>IF(calcLOB1Clinician4Disc2Emp1BaseProd=0,0,cbalLOB1AvgMissPercClinician4+(calcLOB1Clinician4Disc2Emp1GrossProd/calcLOB1Clinician4Disc2Emp1BaseProd-1)/paramTimeConversion)</f>
        <v>0.01</v>
      </c>
      <c r="G351" s="539">
        <f>IF(calcLOB1Clinician4Disc2Emp1BaseProd=0,0,cbalLOB1AvgMissPercClinician4+(calcLOB1Clinician4Disc2Emp1GrossProd/calcLOB1Clinician4Disc2Emp1BaseProd-1)/paramTimeConversion)</f>
        <v>0.01</v>
      </c>
      <c r="H351" s="131" t="s">
        <v>3858</v>
      </c>
      <c r="J351" s="131" t="s">
        <v>554</v>
      </c>
      <c r="K351" s="539">
        <f>IF(calcR2LOB1Clinician4Disc2Emp1BaseProd=0,0,cbalR2LOB1AvgMissPercClinician4+(calcR2LOB1Clinician4Disc2Emp1GrossProd/calcR2LOB1Clinician4Disc2Emp1BaseProd-1)/paramR2TimeConversion)</f>
        <v>0.01</v>
      </c>
      <c r="L351" s="539">
        <f>IF(calcR2LOB1Clinician4Disc2Emp1BaseProd=0,0,cbalR2LOB1AvgMissPercClinician4+(calcR2LOB1Clinician4Disc2Emp1GrossProd/calcR2LOB1Clinician4Disc2Emp1BaseProd-1)/paramR2TimeConversion)</f>
        <v>0.01</v>
      </c>
      <c r="M351" s="539">
        <f>IF(calcR2LOB1Clinician4Disc2Emp1BaseProd=0,0,cbalR2LOB1AvgMissPercClinician4+(calcR2LOB1Clinician4Disc2Emp1GrossProd/calcR2LOB1Clinician4Disc2Emp1BaseProd-1)/paramR2TimeConversion)</f>
        <v>0.01</v>
      </c>
      <c r="N351" s="131" t="s">
        <v>6153</v>
      </c>
    </row>
    <row r="352" spans="1:14" ht="12.75" customHeight="1">
      <c r="A352" s="461"/>
      <c r="B352" s="459"/>
      <c r="C352" s="170">
        <v>5</v>
      </c>
      <c r="D352" s="131" t="s">
        <v>554</v>
      </c>
      <c r="E352" s="539">
        <f>IF(calcLOB1Clinician5Disc2Emp1BaseProd=0,0,cbalLOB1AvgMissPercClinician5+(calcLOB1Clinician5Disc2Emp1GrossProd/calcLOB1Clinician5Disc2Emp1BaseProd-1)/paramTimeConversion)</f>
        <v>0.03</v>
      </c>
      <c r="F352" s="539">
        <f>IF(calcLOB1Clinician5Disc2Emp1BaseProd=0,0,cbalLOB1AvgMissPercClinician5+(calcLOB1Clinician5Disc2Emp1GrossProd/calcLOB1Clinician5Disc2Emp1BaseProd-1)/paramTimeConversion)</f>
        <v>0.03</v>
      </c>
      <c r="G352" s="539">
        <f>IF(calcLOB1Clinician5Disc2Emp1BaseProd=0,0,cbalLOB1AvgMissPercClinician5+(calcLOB1Clinician5Disc2Emp1GrossProd/calcLOB1Clinician5Disc2Emp1BaseProd-1)/paramTimeConversion)</f>
        <v>0.03</v>
      </c>
      <c r="H352" s="131" t="s">
        <v>3859</v>
      </c>
      <c r="J352" s="131" t="s">
        <v>554</v>
      </c>
      <c r="K352" s="539">
        <f>IF(calcR2LOB1Clinician5Disc2Emp1BaseProd=0,0,cbalR2LOB1AvgMissPercClinician5+(calcR2LOB1Clinician5Disc2Emp1GrossProd/calcR2LOB1Clinician5Disc2Emp1BaseProd-1)/paramR2TimeConversion)</f>
        <v>0.03</v>
      </c>
      <c r="L352" s="539">
        <f>IF(calcR2LOB1Clinician5Disc2Emp1BaseProd=0,0,cbalR2LOB1AvgMissPercClinician5+(calcR2LOB1Clinician5Disc2Emp1GrossProd/calcR2LOB1Clinician5Disc2Emp1BaseProd-1)/paramR2TimeConversion)</f>
        <v>0.03</v>
      </c>
      <c r="M352" s="539">
        <f>IF(calcR2LOB1Clinician5Disc2Emp1BaseProd=0,0,cbalR2LOB1AvgMissPercClinician5+(calcR2LOB1Clinician5Disc2Emp1GrossProd/calcR2LOB1Clinician5Disc2Emp1BaseProd-1)/paramR2TimeConversion)</f>
        <v>0.03</v>
      </c>
      <c r="N352" s="131" t="s">
        <v>6154</v>
      </c>
    </row>
    <row r="353" spans="1:14" ht="12.75" customHeight="1">
      <c r="A353" s="461"/>
      <c r="B353" s="459"/>
      <c r="C353" s="170">
        <v>6</v>
      </c>
      <c r="D353" s="131" t="s">
        <v>554</v>
      </c>
      <c r="E353" s="539">
        <f>IF(calcLOB1Clinician6Disc2Emp1BaseProd=0,0,cbalLOB1AvgMissPercClinician6+(calcLOB1Clinician6Disc2Emp1GrossProd/calcLOB1Clinician6Disc2Emp1BaseProd-1)/paramTimeConversion)</f>
        <v>0</v>
      </c>
      <c r="F353" s="539">
        <f>IF(calcLOB1Clinician6Disc2Emp1BaseProd=0,0,cbalLOB1AvgMissPercClinician6+(calcLOB1Clinician6Disc2Emp1GrossProd/calcLOB1Clinician6Disc2Emp1BaseProd-1)/paramTimeConversion)</f>
        <v>0</v>
      </c>
      <c r="G353" s="539">
        <f>IF(calcLOB1Clinician6Disc2Emp1BaseProd=0,0,cbalLOB1AvgMissPercClinician6+(calcLOB1Clinician6Disc2Emp1GrossProd/calcLOB1Clinician6Disc2Emp1BaseProd-1)/paramTimeConversion)</f>
        <v>0</v>
      </c>
      <c r="H353" s="131" t="s">
        <v>3860</v>
      </c>
      <c r="J353" s="131" t="s">
        <v>554</v>
      </c>
      <c r="K353" s="539">
        <f>IF(calcR2LOB1Clinician6Disc2Emp1BaseProd=0,0,cbalR2LOB1AvgMissPercClinician6+(calcR2LOB1Clinician6Disc2Emp1GrossProd/calcR2LOB1Clinician6Disc2Emp1BaseProd-1)/paramR2TimeConversion)</f>
        <v>0</v>
      </c>
      <c r="L353" s="539">
        <f>IF(calcR2LOB1Clinician6Disc2Emp1BaseProd=0,0,cbalR2LOB1AvgMissPercClinician6+(calcR2LOB1Clinician6Disc2Emp1GrossProd/calcR2LOB1Clinician6Disc2Emp1BaseProd-1)/paramR2TimeConversion)</f>
        <v>0</v>
      </c>
      <c r="M353" s="539">
        <f>IF(calcR2LOB1Clinician6Disc2Emp1BaseProd=0,0,cbalR2LOB1AvgMissPercClinician6+(calcR2LOB1Clinician6Disc2Emp1GrossProd/calcR2LOB1Clinician6Disc2Emp1BaseProd-1)/paramR2TimeConversion)</f>
        <v>0</v>
      </c>
      <c r="N353" s="131" t="s">
        <v>6155</v>
      </c>
    </row>
    <row r="354" spans="1:14" ht="12.75" customHeight="1">
      <c r="A354" s="461"/>
      <c r="B354" s="459"/>
      <c r="C354" s="170">
        <v>7</v>
      </c>
      <c r="D354" s="131" t="s">
        <v>554</v>
      </c>
      <c r="E354" s="539">
        <f>IF(calcLOB1Clinician7Disc2Emp1BaseProd=0,0,cbalLOB1AvgMissPercClinician7+(calcLOB1Clinician7Disc2Emp1GrossProd/calcLOB1Clinician7Disc2Emp1BaseProd-1)/paramTimeConversion)</f>
        <v>0</v>
      </c>
      <c r="F354" s="539">
        <f>IF(calcLOB1Clinician7Disc2Emp1BaseProd=0,0,cbalLOB1AvgMissPercClinician7+(calcLOB1Clinician7Disc2Emp1GrossProd/calcLOB1Clinician7Disc2Emp1BaseProd-1)/paramTimeConversion)</f>
        <v>0</v>
      </c>
      <c r="G354" s="539">
        <f>IF(calcLOB1Clinician7Disc2Emp1BaseProd=0,0,cbalLOB1AvgMissPercClinician7+(calcLOB1Clinician7Disc2Emp1GrossProd/calcLOB1Clinician7Disc2Emp1BaseProd-1)/paramTimeConversion)</f>
        <v>0</v>
      </c>
      <c r="H354" s="131" t="s">
        <v>3861</v>
      </c>
      <c r="J354" s="131" t="s">
        <v>554</v>
      </c>
      <c r="K354" s="539">
        <f>IF(calcR2LOB1Clinician7Disc2Emp1BaseProd=0,0,cbalR2LOB1AvgMissPercClinician7+(calcR2LOB1Clinician7Disc2Emp1GrossProd/calcR2LOB1Clinician7Disc2Emp1BaseProd-1)/paramR2TimeConversion)</f>
        <v>0</v>
      </c>
      <c r="L354" s="539">
        <f>IF(calcR2LOB1Clinician7Disc2Emp1BaseProd=0,0,cbalR2LOB1AvgMissPercClinician7+(calcR2LOB1Clinician7Disc2Emp1GrossProd/calcR2LOB1Clinician7Disc2Emp1BaseProd-1)/paramR2TimeConversion)</f>
        <v>0</v>
      </c>
      <c r="M354" s="539">
        <f>IF(calcR2LOB1Clinician7Disc2Emp1BaseProd=0,0,cbalR2LOB1AvgMissPercClinician7+(calcR2LOB1Clinician7Disc2Emp1GrossProd/calcR2LOB1Clinician7Disc2Emp1BaseProd-1)/paramR2TimeConversion)</f>
        <v>0</v>
      </c>
      <c r="N354" s="131" t="s">
        <v>6156</v>
      </c>
    </row>
    <row r="355" spans="1:14" ht="12.75" customHeight="1">
      <c r="A355" s="461"/>
      <c r="B355" s="459"/>
      <c r="C355" s="170">
        <v>8</v>
      </c>
      <c r="D355" s="131" t="s">
        <v>554</v>
      </c>
      <c r="E355" s="539">
        <f>IF(calcLOB1Clinician8Disc2Emp1BaseProd=0,0,cbalLOB1AvgMissPercClinician8+(calcLOB1Clinician8Disc2Emp1GrossProd/calcLOB1Clinician8Disc2Emp1BaseProd-1)/paramTimeConversion)</f>
        <v>0</v>
      </c>
      <c r="F355" s="539">
        <f>IF(calcLOB1Clinician8Disc2Emp1BaseProd=0,0,cbalLOB1AvgMissPercClinician8+(calcLOB1Clinician8Disc2Emp1GrossProd/calcLOB1Clinician8Disc2Emp1BaseProd-1)/paramTimeConversion)</f>
        <v>0</v>
      </c>
      <c r="G355" s="539">
        <f>IF(calcLOB1Clinician8Disc2Emp1BaseProd=0,0,cbalLOB1AvgMissPercClinician8+(calcLOB1Clinician8Disc2Emp1GrossProd/calcLOB1Clinician8Disc2Emp1BaseProd-1)/paramTimeConversion)</f>
        <v>0</v>
      </c>
      <c r="H355" s="131" t="s">
        <v>3862</v>
      </c>
      <c r="J355" s="131" t="s">
        <v>554</v>
      </c>
      <c r="K355" s="539">
        <f>IF(calcR2LOB1Clinician8Disc2Emp1BaseProd=0,0,cbalR2LOB1AvgMissPercClinician8+(calcR2LOB1Clinician8Disc2Emp1GrossProd/calcR2LOB1Clinician8Disc2Emp1BaseProd-1)/paramR2TimeConversion)</f>
        <v>0</v>
      </c>
      <c r="L355" s="539">
        <f>IF(calcR2LOB1Clinician8Disc2Emp1BaseProd=0,0,cbalR2LOB1AvgMissPercClinician8+(calcR2LOB1Clinician8Disc2Emp1GrossProd/calcR2LOB1Clinician8Disc2Emp1BaseProd-1)/paramR2TimeConversion)</f>
        <v>0</v>
      </c>
      <c r="M355" s="539">
        <f>IF(calcR2LOB1Clinician8Disc2Emp1BaseProd=0,0,cbalR2LOB1AvgMissPercClinician8+(calcR2LOB1Clinician8Disc2Emp1GrossProd/calcR2LOB1Clinician8Disc2Emp1BaseProd-1)/paramR2TimeConversion)</f>
        <v>0</v>
      </c>
      <c r="N355" s="131" t="s">
        <v>6157</v>
      </c>
    </row>
    <row r="356" spans="1:14" ht="12.75" customHeight="1">
      <c r="A356" s="461"/>
      <c r="B356" s="459"/>
      <c r="C356" s="170">
        <v>9</v>
      </c>
      <c r="D356" s="131" t="s">
        <v>554</v>
      </c>
      <c r="E356" s="539">
        <f>IF(calcLOB1Clinician9Disc2Emp1BaseProd=0,0,cbalLOB1AvgMissPercClinician9+(calcLOB1Clinician9Disc2Emp1GrossProd/calcLOB1Clinician9Disc2Emp1BaseProd-1)/paramTimeConversion)</f>
        <v>0</v>
      </c>
      <c r="F356" s="539">
        <f>IF(calcLOB1Clinician9Disc2Emp1BaseProd=0,0,cbalLOB1AvgMissPercClinician9+(calcLOB1Clinician9Disc2Emp1GrossProd/calcLOB1Clinician9Disc2Emp1BaseProd-1)/paramTimeConversion)</f>
        <v>0</v>
      </c>
      <c r="G356" s="539">
        <f>IF(calcLOB1Clinician9Disc2Emp1BaseProd=0,0,cbalLOB1AvgMissPercClinician9+(calcLOB1Clinician9Disc2Emp1GrossProd/calcLOB1Clinician9Disc2Emp1BaseProd-1)/paramTimeConversion)</f>
        <v>0</v>
      </c>
      <c r="H356" s="131" t="s">
        <v>3863</v>
      </c>
      <c r="J356" s="131" t="s">
        <v>554</v>
      </c>
      <c r="K356" s="539">
        <f>IF(calcR2LOB1Clinician9Disc2Emp1BaseProd=0,0,cbalR2LOB1AvgMissPercClinician9+(calcR2LOB1Clinician9Disc2Emp1GrossProd/calcR2LOB1Clinician9Disc2Emp1BaseProd-1)/paramR2TimeConversion)</f>
        <v>0</v>
      </c>
      <c r="L356" s="539">
        <f>IF(calcR2LOB1Clinician9Disc2Emp1BaseProd=0,0,cbalR2LOB1AvgMissPercClinician9+(calcR2LOB1Clinician9Disc2Emp1GrossProd/calcR2LOB1Clinician9Disc2Emp1BaseProd-1)/paramR2TimeConversion)</f>
        <v>0</v>
      </c>
      <c r="M356" s="539">
        <f>IF(calcR2LOB1Clinician9Disc2Emp1BaseProd=0,0,cbalR2LOB1AvgMissPercClinician9+(calcR2LOB1Clinician9Disc2Emp1GrossProd/calcR2LOB1Clinician9Disc2Emp1BaseProd-1)/paramR2TimeConversion)</f>
        <v>0</v>
      </c>
      <c r="N356" s="131" t="s">
        <v>6158</v>
      </c>
    </row>
    <row r="357" spans="1:14" ht="12.75" customHeight="1">
      <c r="A357" s="461"/>
      <c r="B357" s="459"/>
      <c r="C357" s="170">
        <v>10</v>
      </c>
      <c r="D357" s="131" t="s">
        <v>554</v>
      </c>
      <c r="E357" s="539">
        <f>IF(calcLOB1Clinician10Disc2Emp1BaseProd=0,0,cbalLOB1AvgMissPercClinician10+(calcLOB1Clinician10Disc2Emp1GrossProd/calcLOB1Clinician10Disc2Emp1BaseProd-1)/paramTimeConversion)</f>
        <v>0</v>
      </c>
      <c r="F357" s="539">
        <f>IF(calcLOB1Clinician10Disc2Emp1BaseProd=0,0,cbalLOB1AvgMissPercClinician10+(calcLOB1Clinician10Disc2Emp1GrossProd/calcLOB1Clinician10Disc2Emp1BaseProd-1)/paramTimeConversion)</f>
        <v>0</v>
      </c>
      <c r="G357" s="539">
        <f>IF(calcLOB1Clinician10Disc2Emp1BaseProd=0,0,cbalLOB1AvgMissPercClinician10+(calcLOB1Clinician10Disc2Emp1GrossProd/calcLOB1Clinician10Disc2Emp1BaseProd-1)/paramTimeConversion)</f>
        <v>0</v>
      </c>
      <c r="H357" s="131" t="s">
        <v>3864</v>
      </c>
      <c r="J357" s="131" t="s">
        <v>554</v>
      </c>
      <c r="K357" s="539">
        <f>IF(calcR2LOB1Clinician10Disc2Emp1BaseProd=0,0,cbalR2LOB1AvgMissPercClinician10+(calcR2LOB1Clinician10Disc2Emp1GrossProd/calcR2LOB1Clinician10Disc2Emp1BaseProd-1)/paramR2TimeConversion)</f>
        <v>0</v>
      </c>
      <c r="L357" s="539">
        <f>IF(calcR2LOB1Clinician10Disc2Emp1BaseProd=0,0,cbalR2LOB1AvgMissPercClinician10+(calcR2LOB1Clinician10Disc2Emp1GrossProd/calcR2LOB1Clinician10Disc2Emp1BaseProd-1)/paramR2TimeConversion)</f>
        <v>0</v>
      </c>
      <c r="M357" s="539">
        <f>IF(calcR2LOB1Clinician10Disc2Emp1BaseProd=0,0,cbalR2LOB1AvgMissPercClinician10+(calcR2LOB1Clinician10Disc2Emp1GrossProd/calcR2LOB1Clinician10Disc2Emp1BaseProd-1)/paramR2TimeConversion)</f>
        <v>0</v>
      </c>
      <c r="N357" s="131" t="s">
        <v>6159</v>
      </c>
    </row>
    <row r="358" spans="1:14" ht="12.75" customHeight="1">
      <c r="A358" s="461"/>
      <c r="B358" s="459"/>
      <c r="C358" s="170">
        <v>11</v>
      </c>
      <c r="D358" s="131" t="s">
        <v>554</v>
      </c>
      <c r="E358" s="539">
        <f>IF(calcLOB1Clinician11Disc2Emp1BaseProd=0,0,cbalLOB1AvgMissPercClinician11+(calcLOB1Clinician11Disc2Emp1GrossProd/calcLOB1Clinician11Disc2Emp1BaseProd-1)/paramTimeConversion)</f>
        <v>0</v>
      </c>
      <c r="F358" s="539">
        <f>IF(calcLOB1Clinician11Disc2Emp1BaseProd=0,0,cbalLOB1AvgMissPercClinician11+(calcLOB1Clinician11Disc2Emp1GrossProd/calcLOB1Clinician11Disc2Emp1BaseProd-1)/paramTimeConversion)</f>
        <v>0</v>
      </c>
      <c r="G358" s="539">
        <f>IF(calcLOB1Clinician11Disc2Emp1BaseProd=0,0,cbalLOB1AvgMissPercClinician11+(calcLOB1Clinician11Disc2Emp1GrossProd/calcLOB1Clinician11Disc2Emp1BaseProd-1)/paramTimeConversion)</f>
        <v>0</v>
      </c>
      <c r="H358" s="131" t="s">
        <v>3865</v>
      </c>
      <c r="J358" s="131" t="s">
        <v>554</v>
      </c>
      <c r="K358" s="539">
        <f>IF(calcR2LOB1Clinician11Disc2Emp1BaseProd=0,0,cbalR2LOB1AvgMissPercClinician11+(calcR2LOB1Clinician11Disc2Emp1GrossProd/calcR2LOB1Clinician11Disc2Emp1BaseProd-1)/paramR2TimeConversion)</f>
        <v>0</v>
      </c>
      <c r="L358" s="539">
        <f>IF(calcR2LOB1Clinician11Disc2Emp1BaseProd=0,0,cbalR2LOB1AvgMissPercClinician11+(calcR2LOB1Clinician11Disc2Emp1GrossProd/calcR2LOB1Clinician11Disc2Emp1BaseProd-1)/paramR2TimeConversion)</f>
        <v>0</v>
      </c>
      <c r="M358" s="539">
        <f>IF(calcR2LOB1Clinician11Disc2Emp1BaseProd=0,0,cbalR2LOB1AvgMissPercClinician11+(calcR2LOB1Clinician11Disc2Emp1GrossProd/calcR2LOB1Clinician11Disc2Emp1BaseProd-1)/paramR2TimeConversion)</f>
        <v>0</v>
      </c>
      <c r="N358" s="131" t="s">
        <v>6160</v>
      </c>
    </row>
    <row r="359" spans="1:14" ht="12.75" customHeight="1">
      <c r="A359" s="461"/>
      <c r="B359" s="459"/>
      <c r="C359" s="170">
        <v>12</v>
      </c>
      <c r="D359" s="131" t="s">
        <v>554</v>
      </c>
      <c r="E359" s="539">
        <f>IF(calcLOB1Clinician12Disc2Emp1BaseProd=0,0,cbalLOB1AvgMissPercClinician12+(calcLOB1Clinician12Disc2Emp1GrossProd/calcLOB1Clinician12Disc2Emp1BaseProd-1)/paramTimeConversion)</f>
        <v>0</v>
      </c>
      <c r="F359" s="539">
        <f>IF(calcLOB1Clinician12Disc2Emp1BaseProd=0,0,cbalLOB1AvgMissPercClinician12+(calcLOB1Clinician12Disc2Emp1GrossProd/calcLOB1Clinician12Disc2Emp1BaseProd-1)/paramTimeConversion)</f>
        <v>0</v>
      </c>
      <c r="G359" s="539">
        <f>IF(calcLOB1Clinician12Disc2Emp1BaseProd=0,0,cbalLOB1AvgMissPercClinician12+(calcLOB1Clinician12Disc2Emp1GrossProd/calcLOB1Clinician12Disc2Emp1BaseProd-1)/paramTimeConversion)</f>
        <v>0</v>
      </c>
      <c r="H359" s="131" t="s">
        <v>3866</v>
      </c>
      <c r="J359" s="131" t="s">
        <v>554</v>
      </c>
      <c r="K359" s="539">
        <f>IF(calcR2LOB1Clinician12Disc2Emp1BaseProd=0,0,cbalR2LOB1AvgMissPercClinician12+(calcR2LOB1Clinician12Disc2Emp1GrossProd/calcR2LOB1Clinician12Disc2Emp1BaseProd-1)/paramR2TimeConversion)</f>
        <v>0</v>
      </c>
      <c r="L359" s="539">
        <f>IF(calcR2LOB1Clinician12Disc2Emp1BaseProd=0,0,cbalR2LOB1AvgMissPercClinician12+(calcR2LOB1Clinician12Disc2Emp1GrossProd/calcR2LOB1Clinician12Disc2Emp1BaseProd-1)/paramR2TimeConversion)</f>
        <v>0</v>
      </c>
      <c r="M359" s="539">
        <f>IF(calcR2LOB1Clinician12Disc2Emp1BaseProd=0,0,cbalR2LOB1AvgMissPercClinician12+(calcR2LOB1Clinician12Disc2Emp1GrossProd/calcR2LOB1Clinician12Disc2Emp1BaseProd-1)/paramR2TimeConversion)</f>
        <v>0</v>
      </c>
      <c r="N359" s="131" t="s">
        <v>6161</v>
      </c>
    </row>
    <row r="360" spans="1:14" ht="12.75" customHeight="1">
      <c r="A360" s="461"/>
      <c r="B360" s="459"/>
      <c r="D360" s="131" t="s">
        <v>554</v>
      </c>
      <c r="E360" s="539">
        <f>IF(calcLOB1Clinician14Disc2Emp1BaseProd=0,0,cbalLOB1AvgMissPercClinician14+(calcLOB1Clinician14Disc2Emp1GrossProd/calcLOB1Clinician14Disc2Emp1BaseProd-1)/paramTimeConversion)</f>
        <v>3.7916666666666668E-2</v>
      </c>
      <c r="F360" s="539">
        <f>IF(calcLOB1Clinician14Disc2Emp1BaseProd=0,0,cbalLOB1AvgMissPercClinician14+(calcLOB1Clinician14Disc2Emp1GrossProd/calcLOB1Clinician14Disc2Emp1BaseProd-1)/paramTimeConversion)</f>
        <v>4.7852083333333337E-2</v>
      </c>
      <c r="G360" s="539">
        <f>IF(calcLOB1Clinician14Disc2Emp1BaseProd=0,0,cbalLOB1AvgMissPercClinician14+(calcLOB1Clinician14Disc2Emp1GrossProd/calcLOB1Clinician14Disc2Emp1BaseProd-1)/paramTimeConversion)</f>
        <v>4.5318749999999998E-2</v>
      </c>
      <c r="H360" s="131" t="s">
        <v>4043</v>
      </c>
      <c r="J360" s="131" t="s">
        <v>554</v>
      </c>
      <c r="K360" s="539">
        <f>IF(calcR2LOB1Clinician14Disc2Emp1BaseProd=0,0,cbalR2LOB1AvgMissPercClinician14+(calcR2LOB1Clinician14Disc2Emp1GrossProd/calcR2LOB1Clinician14Disc2Emp1BaseProd-1)/paramR2TimeConversion)</f>
        <v>3.5419215463249158E-2</v>
      </c>
      <c r="L360" s="539">
        <f>IF(calcR2LOB1Clinician14Disc2Emp1BaseProd=0,0,cbalR2LOB1AvgMissPercClinician14+(calcR2LOB1Clinician14Disc2Emp1GrossProd/calcR2LOB1Clinician14Disc2Emp1BaseProd-1)/paramR2TimeConversion)</f>
        <v>4.9516384375000021E-2</v>
      </c>
      <c r="M360" s="539">
        <f>IF(calcR2LOB1Clinician14Disc2Emp1BaseProd=0,0,cbalR2LOB1AvgMissPercClinician14+(calcR2LOB1Clinician14Disc2Emp1GrossProd/calcR2LOB1Clinician14Disc2Emp1BaseProd-1)/paramR2TimeConversion)</f>
        <v>4.4807511458333317E-2</v>
      </c>
      <c r="N360" s="131" t="s">
        <v>6162</v>
      </c>
    </row>
    <row r="361" spans="1:14" ht="12.75" customHeight="1">
      <c r="A361" s="461"/>
      <c r="B361" s="459"/>
      <c r="E361" s="476"/>
      <c r="F361" s="476"/>
      <c r="G361" s="476"/>
      <c r="K361" s="476"/>
      <c r="L361" s="476"/>
      <c r="M361" s="476"/>
    </row>
    <row r="362" spans="1:14" ht="12.75" customHeight="1">
      <c r="A362" s="461"/>
      <c r="B362" s="459"/>
      <c r="C362" s="131" t="s">
        <v>1615</v>
      </c>
      <c r="E362" s="476"/>
      <c r="F362" s="476"/>
      <c r="G362" s="476"/>
      <c r="K362" s="476"/>
      <c r="L362" s="476"/>
      <c r="M362" s="476"/>
    </row>
    <row r="363" spans="1:14" ht="12.75" customHeight="1">
      <c r="A363" s="461"/>
      <c r="B363" s="459"/>
      <c r="C363" s="170">
        <v>1</v>
      </c>
      <c r="D363" s="131" t="s">
        <v>550</v>
      </c>
      <c r="E363" s="540">
        <f>calcLOB1Clinician1Disc1AvgMissPerc*calcLOB1Clinician1Disc1Emp1GrossProd*paramLOB1Disc1Missed*paramLOB1Clinician1Missed</f>
        <v>4.05</v>
      </c>
      <c r="F363" s="540">
        <f>calcLOB1Clinician1Disc1AvgMissPerc*calcLOB1Clinician1Disc1Emp1GrossProd*paramLOB1Disc1Missed*paramLOB1Clinician1Missed</f>
        <v>4.05</v>
      </c>
      <c r="G363" s="540">
        <f>calcLOB1Clinician1Disc1AvgMissPerc*calcLOB1Clinician1Disc1Emp1GrossProd*paramLOB1Disc1Missed*paramLOB1Clinician1Missed</f>
        <v>4.05</v>
      </c>
      <c r="H363" s="131" t="s">
        <v>1698</v>
      </c>
      <c r="J363" s="131" t="s">
        <v>550</v>
      </c>
      <c r="K363" s="540">
        <f>calcR2LOB1Clinician1Disc1AvgMissPerc*calcR2LOB1Clinician1Disc1Emp1GrossProd*paramR2LOB1Disc1Missed*paramR2LOB1Clinician1Missed</f>
        <v>4.05</v>
      </c>
      <c r="L363" s="540">
        <f>calcR2LOB1Clinician1Disc1AvgMissPerc*calcR2LOB1Clinician1Disc1Emp1GrossProd*paramR2LOB1Disc1Missed*paramR2LOB1Clinician1Missed</f>
        <v>4.05</v>
      </c>
      <c r="M363" s="540">
        <f>calcR2LOB1Clinician1Disc1AvgMissPerc*calcR2LOB1Clinician1Disc1Emp1GrossProd*paramR2LOB1Disc1Missed*paramR2LOB1Clinician1Missed</f>
        <v>4.05</v>
      </c>
      <c r="N363" s="131" t="s">
        <v>6163</v>
      </c>
    </row>
    <row r="364" spans="1:14" ht="12.75" customHeight="1">
      <c r="A364" s="461"/>
      <c r="B364" s="459"/>
      <c r="C364" s="170">
        <v>2</v>
      </c>
      <c r="D364" s="131" t="s">
        <v>550</v>
      </c>
      <c r="E364" s="540">
        <f>calcLOB1Clinician2Disc1AvgMissPerc*calcLOB1Clinician2Disc1Emp1GrossProd*paramLOB1Disc1Missed*paramLOB1Clinician2Missed</f>
        <v>2.4000000000000004</v>
      </c>
      <c r="F364" s="540">
        <f>calcLOB1Clinician2Disc1AvgMissPerc*calcLOB1Clinician2Disc1Emp1GrossProd*paramLOB1Disc1Missed*paramLOB1Clinician2Missed</f>
        <v>2.4000000000000004</v>
      </c>
      <c r="G364" s="540">
        <f>calcLOB1Clinician2Disc1AvgMissPerc*calcLOB1Clinician2Disc1Emp1GrossProd*paramLOB1Disc1Missed*paramLOB1Clinician2Missed</f>
        <v>2.4000000000000004</v>
      </c>
      <c r="H364" s="131" t="s">
        <v>1699</v>
      </c>
      <c r="J364" s="131" t="s">
        <v>550</v>
      </c>
      <c r="K364" s="540">
        <f>calcR2LOB1Clinician2Disc1AvgMissPerc*calcR2LOB1Clinician2Disc1Emp1GrossProd*paramR2LOB1Disc1Missed*paramR2LOB1Clinician2Missed</f>
        <v>2.4000000000000004</v>
      </c>
      <c r="L364" s="540">
        <f>calcR2LOB1Clinician2Disc1AvgMissPerc*calcR2LOB1Clinician2Disc1Emp1GrossProd*paramR2LOB1Disc1Missed*paramR2LOB1Clinician2Missed</f>
        <v>2.4000000000000004</v>
      </c>
      <c r="M364" s="540">
        <f>calcR2LOB1Clinician2Disc1AvgMissPerc*calcR2LOB1Clinician2Disc1Emp1GrossProd*paramR2LOB1Disc1Missed*paramR2LOB1Clinician2Missed</f>
        <v>2.4000000000000004</v>
      </c>
      <c r="N364" s="131" t="s">
        <v>6164</v>
      </c>
    </row>
    <row r="365" spans="1:14" ht="12.75" customHeight="1">
      <c r="A365" s="461"/>
      <c r="B365" s="459"/>
      <c r="C365" s="170">
        <v>3</v>
      </c>
      <c r="D365" s="131" t="s">
        <v>550</v>
      </c>
      <c r="E365" s="540">
        <f>calcLOB1Clinician3Disc1AvgMissPerc*calcLOB1Clinician3Disc1Emp1GrossProd*paramLOB1Disc1Missed*paramLOB1Clinician3Missed</f>
        <v>0.62631578947368427</v>
      </c>
      <c r="F365" s="540">
        <f>calcLOB1Clinician3Disc1AvgMissPerc*calcLOB1Clinician3Disc1Emp1GrossProd*paramLOB1Disc1Missed*paramLOB1Clinician3Missed</f>
        <v>0.62631578947368427</v>
      </c>
      <c r="G365" s="540">
        <f>calcLOB1Clinician3Disc1AvgMissPerc*calcLOB1Clinician3Disc1Emp1GrossProd*paramLOB1Disc1Missed*paramLOB1Clinician3Missed</f>
        <v>0.62631578947368427</v>
      </c>
      <c r="H365" s="131" t="s">
        <v>1700</v>
      </c>
      <c r="J365" s="131" t="s">
        <v>550</v>
      </c>
      <c r="K365" s="540">
        <f>calcR2LOB1Clinician3Disc1AvgMissPerc*calcR2LOB1Clinician3Disc1Emp1GrossProd*paramR2LOB1Disc1Missed*paramR2LOB1Clinician3Missed</f>
        <v>0.62631578947368427</v>
      </c>
      <c r="L365" s="540">
        <f>calcR2LOB1Clinician3Disc1AvgMissPerc*calcR2LOB1Clinician3Disc1Emp1GrossProd*paramR2LOB1Disc1Missed*paramR2LOB1Clinician3Missed</f>
        <v>0.62631578947368427</v>
      </c>
      <c r="M365" s="540">
        <f>calcR2LOB1Clinician3Disc1AvgMissPerc*calcR2LOB1Clinician3Disc1Emp1GrossProd*paramR2LOB1Disc1Missed*paramR2LOB1Clinician3Missed</f>
        <v>0.62631578947368427</v>
      </c>
      <c r="N365" s="131" t="s">
        <v>6165</v>
      </c>
    </row>
    <row r="366" spans="1:14" ht="12.75" customHeight="1">
      <c r="A366" s="461"/>
      <c r="B366" s="459"/>
      <c r="C366" s="170">
        <v>4</v>
      </c>
      <c r="D366" s="131" t="s">
        <v>550</v>
      </c>
      <c r="E366" s="540">
        <f>calcLOB1Clinician4Disc1AvgMissPerc*calcLOB1Clinician4Disc1Emp1GrossProd*paramLOB1Disc1Missed*paramLOB1Clinician4Missed</f>
        <v>0</v>
      </c>
      <c r="F366" s="540">
        <f>calcLOB1Clinician4Disc1AvgMissPerc*calcLOB1Clinician4Disc1Emp1GrossProd*paramLOB1Disc1Missed*paramLOB1Clinician4Missed</f>
        <v>0</v>
      </c>
      <c r="G366" s="540">
        <f>calcLOB1Clinician4Disc1AvgMissPerc*calcLOB1Clinician4Disc1Emp1GrossProd*paramLOB1Disc1Missed*paramLOB1Clinician4Missed</f>
        <v>0</v>
      </c>
      <c r="H366" s="131" t="s">
        <v>1701</v>
      </c>
      <c r="J366" s="131" t="s">
        <v>550</v>
      </c>
      <c r="K366" s="540">
        <f>calcR2LOB1Clinician4Disc1AvgMissPerc*calcR2LOB1Clinician4Disc1Emp1GrossProd*paramR2LOB1Disc1Missed*paramR2LOB1Clinician4Missed</f>
        <v>0</v>
      </c>
      <c r="L366" s="540">
        <f>calcR2LOB1Clinician4Disc1AvgMissPerc*calcR2LOB1Clinician4Disc1Emp1GrossProd*paramR2LOB1Disc1Missed*paramR2LOB1Clinician4Missed</f>
        <v>0</v>
      </c>
      <c r="M366" s="540">
        <f>calcR2LOB1Clinician4Disc1AvgMissPerc*calcR2LOB1Clinician4Disc1Emp1GrossProd*paramR2LOB1Disc1Missed*paramR2LOB1Clinician4Missed</f>
        <v>0</v>
      </c>
      <c r="N366" s="131" t="s">
        <v>6166</v>
      </c>
    </row>
    <row r="367" spans="1:14" ht="12.75" customHeight="1">
      <c r="A367" s="461"/>
      <c r="B367" s="459"/>
      <c r="C367" s="170">
        <v>5</v>
      </c>
      <c r="D367" s="131" t="s">
        <v>550</v>
      </c>
      <c r="E367" s="540">
        <f>calcLOB1Clinician5Disc1AvgMissPerc*calcLOB1Clinician5Disc1Emp1GrossProd*paramLOB1Disc1Missed*paramLOB1Clinician5Missed</f>
        <v>0</v>
      </c>
      <c r="F367" s="540">
        <f>calcLOB1Clinician5Disc1AvgMissPerc*calcLOB1Clinician5Disc1Emp1GrossProd*paramLOB1Disc1Missed*paramLOB1Clinician5Missed</f>
        <v>0</v>
      </c>
      <c r="G367" s="540">
        <f>calcLOB1Clinician5Disc1AvgMissPerc*calcLOB1Clinician5Disc1Emp1GrossProd*paramLOB1Disc1Missed*paramLOB1Clinician5Missed</f>
        <v>0</v>
      </c>
      <c r="H367" s="131" t="s">
        <v>1702</v>
      </c>
      <c r="J367" s="131" t="s">
        <v>550</v>
      </c>
      <c r="K367" s="540">
        <f>calcR2LOB1Clinician5Disc1AvgMissPerc*calcR2LOB1Clinician5Disc1Emp1GrossProd*paramR2LOB1Disc1Missed*paramR2LOB1Clinician5Missed</f>
        <v>0</v>
      </c>
      <c r="L367" s="540">
        <f>calcR2LOB1Clinician5Disc1AvgMissPerc*calcR2LOB1Clinician5Disc1Emp1GrossProd*paramR2LOB1Disc1Missed*paramR2LOB1Clinician5Missed</f>
        <v>0</v>
      </c>
      <c r="M367" s="540">
        <f>calcR2LOB1Clinician5Disc1AvgMissPerc*calcR2LOB1Clinician5Disc1Emp1GrossProd*paramR2LOB1Disc1Missed*paramR2LOB1Clinician5Missed</f>
        <v>0</v>
      </c>
      <c r="N367" s="131" t="s">
        <v>6167</v>
      </c>
    </row>
    <row r="368" spans="1:14" ht="12.75" customHeight="1">
      <c r="A368" s="461"/>
      <c r="B368" s="459"/>
      <c r="C368" s="170">
        <v>6</v>
      </c>
      <c r="D368" s="131" t="s">
        <v>550</v>
      </c>
      <c r="E368" s="540">
        <f>calcLOB1Clinician6Disc1AvgMissPerc*calcLOB1Clinician6Disc1Emp1GrossProd*paramLOB1Disc1Missed*paramLOB1Clinician6Missed</f>
        <v>0</v>
      </c>
      <c r="F368" s="540">
        <f>calcLOB1Clinician6Disc1AvgMissPerc*calcLOB1Clinician6Disc1Emp1GrossProd*paramLOB1Disc1Missed*paramLOB1Clinician6Missed</f>
        <v>0</v>
      </c>
      <c r="G368" s="540">
        <f>calcLOB1Clinician6Disc1AvgMissPerc*calcLOB1Clinician6Disc1Emp1GrossProd*paramLOB1Disc1Missed*paramLOB1Clinician6Missed</f>
        <v>0</v>
      </c>
      <c r="H368" s="131" t="s">
        <v>1703</v>
      </c>
      <c r="J368" s="131" t="s">
        <v>550</v>
      </c>
      <c r="K368" s="540">
        <f>calcR2LOB1Clinician6Disc1AvgMissPerc*calcR2LOB1Clinician6Disc1Emp1GrossProd*paramR2LOB1Disc1Missed*paramR2LOB1Clinician6Missed</f>
        <v>0</v>
      </c>
      <c r="L368" s="540">
        <f>calcR2LOB1Clinician6Disc1AvgMissPerc*calcR2LOB1Clinician6Disc1Emp1GrossProd*paramR2LOB1Disc1Missed*paramR2LOB1Clinician6Missed</f>
        <v>0</v>
      </c>
      <c r="M368" s="540">
        <f>calcR2LOB1Clinician6Disc1AvgMissPerc*calcR2LOB1Clinician6Disc1Emp1GrossProd*paramR2LOB1Disc1Missed*paramR2LOB1Clinician6Missed</f>
        <v>0</v>
      </c>
      <c r="N368" s="131" t="s">
        <v>6168</v>
      </c>
    </row>
    <row r="369" spans="1:14" ht="12.75" customHeight="1">
      <c r="A369" s="461"/>
      <c r="B369" s="459"/>
      <c r="C369" s="170">
        <v>7</v>
      </c>
      <c r="D369" s="131" t="s">
        <v>550</v>
      </c>
      <c r="E369" s="540">
        <f>calcLOB1Clinician7Disc1AvgMissPerc*calcLOB1Clinician7Disc1Emp1GrossProd*paramLOB1Disc1Missed*paramLOB1Clinician7Missed</f>
        <v>0</v>
      </c>
      <c r="F369" s="540">
        <f>calcLOB1Clinician7Disc1AvgMissPerc*calcLOB1Clinician7Disc1Emp1GrossProd*paramLOB1Disc1Missed*paramLOB1Clinician7Missed</f>
        <v>0</v>
      </c>
      <c r="G369" s="540">
        <f>calcLOB1Clinician7Disc1AvgMissPerc*calcLOB1Clinician7Disc1Emp1GrossProd*paramLOB1Disc1Missed*paramLOB1Clinician7Missed</f>
        <v>0</v>
      </c>
      <c r="H369" s="131" t="s">
        <v>1704</v>
      </c>
      <c r="J369" s="131" t="s">
        <v>550</v>
      </c>
      <c r="K369" s="540">
        <f>calcR2LOB1Clinician7Disc1AvgMissPerc*calcR2LOB1Clinician7Disc1Emp1GrossProd*paramR2LOB1Disc1Missed*paramR2LOB1Clinician7Missed</f>
        <v>0</v>
      </c>
      <c r="L369" s="540">
        <f>calcR2LOB1Clinician7Disc1AvgMissPerc*calcR2LOB1Clinician7Disc1Emp1GrossProd*paramR2LOB1Disc1Missed*paramR2LOB1Clinician7Missed</f>
        <v>0</v>
      </c>
      <c r="M369" s="540">
        <f>calcR2LOB1Clinician7Disc1AvgMissPerc*calcR2LOB1Clinician7Disc1Emp1GrossProd*paramR2LOB1Disc1Missed*paramR2LOB1Clinician7Missed</f>
        <v>0</v>
      </c>
      <c r="N369" s="131" t="s">
        <v>6169</v>
      </c>
    </row>
    <row r="370" spans="1:14" ht="12.75" customHeight="1">
      <c r="A370" s="461"/>
      <c r="B370" s="459"/>
      <c r="C370" s="170">
        <v>8</v>
      </c>
      <c r="D370" s="131" t="s">
        <v>550</v>
      </c>
      <c r="E370" s="540">
        <f>calcLOB1Clinician8Disc1AvgMissPerc*calcLOB1Clinician8Disc1Emp1GrossProd*paramLOB1Disc1Missed*paramLOB1Clinician8Missed</f>
        <v>0</v>
      </c>
      <c r="F370" s="540">
        <f>calcLOB1Clinician8Disc1AvgMissPerc*calcLOB1Clinician8Disc1Emp1GrossProd*paramLOB1Disc1Missed*paramLOB1Clinician8Missed</f>
        <v>0</v>
      </c>
      <c r="G370" s="540">
        <f>calcLOB1Clinician8Disc1AvgMissPerc*calcLOB1Clinician8Disc1Emp1GrossProd*paramLOB1Disc1Missed*paramLOB1Clinician8Missed</f>
        <v>0</v>
      </c>
      <c r="H370" s="131" t="s">
        <v>1705</v>
      </c>
      <c r="J370" s="131" t="s">
        <v>550</v>
      </c>
      <c r="K370" s="540">
        <f>calcR2LOB1Clinician8Disc1AvgMissPerc*calcR2LOB1Clinician8Disc1Emp1GrossProd*paramR2LOB1Disc1Missed*paramR2LOB1Clinician8Missed</f>
        <v>0</v>
      </c>
      <c r="L370" s="540">
        <f>calcR2LOB1Clinician8Disc1AvgMissPerc*calcR2LOB1Clinician8Disc1Emp1GrossProd*paramR2LOB1Disc1Missed*paramR2LOB1Clinician8Missed</f>
        <v>0</v>
      </c>
      <c r="M370" s="540">
        <f>calcR2LOB1Clinician8Disc1AvgMissPerc*calcR2LOB1Clinician8Disc1Emp1GrossProd*paramR2LOB1Disc1Missed*paramR2LOB1Clinician8Missed</f>
        <v>0</v>
      </c>
      <c r="N370" s="131" t="s">
        <v>6170</v>
      </c>
    </row>
    <row r="371" spans="1:14" ht="12.75" customHeight="1">
      <c r="A371" s="461"/>
      <c r="B371" s="459"/>
      <c r="C371" s="170">
        <v>9</v>
      </c>
      <c r="D371" s="131" t="s">
        <v>550</v>
      </c>
      <c r="E371" s="540">
        <f>calcLOB1Clinician9Disc1AvgMissPerc*calcLOB1Clinician9Disc1Emp1GrossProd*paramLOB1Disc1Missed*paramLOB1Clinician9Missed</f>
        <v>0</v>
      </c>
      <c r="F371" s="540">
        <f>calcLOB1Clinician9Disc1AvgMissPerc*calcLOB1Clinician9Disc1Emp1GrossProd*paramLOB1Disc1Missed*paramLOB1Clinician9Missed</f>
        <v>0</v>
      </c>
      <c r="G371" s="540">
        <f>calcLOB1Clinician9Disc1AvgMissPerc*calcLOB1Clinician9Disc1Emp1GrossProd*paramLOB1Disc1Missed*paramLOB1Clinician9Missed</f>
        <v>0</v>
      </c>
      <c r="H371" s="131" t="s">
        <v>1706</v>
      </c>
      <c r="J371" s="131" t="s">
        <v>550</v>
      </c>
      <c r="K371" s="540">
        <f>calcR2LOB1Clinician9Disc1AvgMissPerc*calcR2LOB1Clinician9Disc1Emp1GrossProd*paramR2LOB1Disc1Missed*paramR2LOB1Clinician9Missed</f>
        <v>0</v>
      </c>
      <c r="L371" s="540">
        <f>calcR2LOB1Clinician9Disc1AvgMissPerc*calcR2LOB1Clinician9Disc1Emp1GrossProd*paramR2LOB1Disc1Missed*paramR2LOB1Clinician9Missed</f>
        <v>0</v>
      </c>
      <c r="M371" s="540">
        <f>calcR2LOB1Clinician9Disc1AvgMissPerc*calcR2LOB1Clinician9Disc1Emp1GrossProd*paramR2LOB1Disc1Missed*paramR2LOB1Clinician9Missed</f>
        <v>0</v>
      </c>
      <c r="N371" s="131" t="s">
        <v>6171</v>
      </c>
    </row>
    <row r="372" spans="1:14" ht="12.75" customHeight="1">
      <c r="A372" s="461"/>
      <c r="B372" s="459"/>
      <c r="C372" s="170">
        <v>10</v>
      </c>
      <c r="D372" s="131" t="s">
        <v>550</v>
      </c>
      <c r="E372" s="540">
        <f>calcLOB1Clinician10Disc1AvgMissPerc*calcLOB1Clinician10Disc1Emp1GrossProd*paramLOB1Disc1Missed*paramLOB1Clinician10Missed</f>
        <v>0</v>
      </c>
      <c r="F372" s="540">
        <f>calcLOB1Clinician10Disc1AvgMissPerc*calcLOB1Clinician10Disc1Emp1GrossProd*paramLOB1Disc1Missed*paramLOB1Clinician10Missed</f>
        <v>0</v>
      </c>
      <c r="G372" s="540">
        <f>calcLOB1Clinician10Disc1AvgMissPerc*calcLOB1Clinician10Disc1Emp1GrossProd*paramLOB1Disc1Missed*paramLOB1Clinician10Missed</f>
        <v>0</v>
      </c>
      <c r="H372" s="131" t="s">
        <v>1707</v>
      </c>
      <c r="J372" s="131" t="s">
        <v>550</v>
      </c>
      <c r="K372" s="540">
        <f>calcR2LOB1Clinician10Disc1AvgMissPerc*calcR2LOB1Clinician10Disc1Emp1GrossProd*paramR2LOB1Disc1Missed*paramR2LOB1Clinician10Missed</f>
        <v>0</v>
      </c>
      <c r="L372" s="540">
        <f>calcR2LOB1Clinician10Disc1AvgMissPerc*calcR2LOB1Clinician10Disc1Emp1GrossProd*paramR2LOB1Disc1Missed*paramR2LOB1Clinician10Missed</f>
        <v>0</v>
      </c>
      <c r="M372" s="540">
        <f>calcR2LOB1Clinician10Disc1AvgMissPerc*calcR2LOB1Clinician10Disc1Emp1GrossProd*paramR2LOB1Disc1Missed*paramR2LOB1Clinician10Missed</f>
        <v>0</v>
      </c>
      <c r="N372" s="131" t="s">
        <v>6172</v>
      </c>
    </row>
    <row r="373" spans="1:14" ht="12.75" customHeight="1">
      <c r="A373" s="461"/>
      <c r="B373" s="459"/>
      <c r="C373" s="170">
        <v>11</v>
      </c>
      <c r="D373" s="131" t="s">
        <v>550</v>
      </c>
      <c r="E373" s="540">
        <f>calcLOB1Clinician11Disc1AvgMissPerc*calcLOB1Clinician11Disc1Emp1GrossProd*paramLOB1Disc1Missed*paramLOB1Clinician11Missed</f>
        <v>0</v>
      </c>
      <c r="F373" s="540">
        <f>calcLOB1Clinician11Disc1AvgMissPerc*calcLOB1Clinician11Disc1Emp1GrossProd*paramLOB1Disc1Missed*paramLOB1Clinician11Missed</f>
        <v>0</v>
      </c>
      <c r="G373" s="540">
        <f>calcLOB1Clinician11Disc1AvgMissPerc*calcLOB1Clinician11Disc1Emp1GrossProd*paramLOB1Disc1Missed*paramLOB1Clinician11Missed</f>
        <v>0</v>
      </c>
      <c r="H373" s="131" t="s">
        <v>1708</v>
      </c>
      <c r="J373" s="131" t="s">
        <v>550</v>
      </c>
      <c r="K373" s="540">
        <f>calcR2LOB1Clinician11Disc1AvgMissPerc*calcR2LOB1Clinician11Disc1Emp1GrossProd*paramR2LOB1Disc1Missed*paramR2LOB1Clinician11Missed</f>
        <v>0</v>
      </c>
      <c r="L373" s="540">
        <f>calcR2LOB1Clinician11Disc1AvgMissPerc*calcR2LOB1Clinician11Disc1Emp1GrossProd*paramR2LOB1Disc1Missed*paramR2LOB1Clinician11Missed</f>
        <v>0</v>
      </c>
      <c r="M373" s="540">
        <f>calcR2LOB1Clinician11Disc1AvgMissPerc*calcR2LOB1Clinician11Disc1Emp1GrossProd*paramR2LOB1Disc1Missed*paramR2LOB1Clinician11Missed</f>
        <v>0</v>
      </c>
      <c r="N373" s="131" t="s">
        <v>6173</v>
      </c>
    </row>
    <row r="374" spans="1:14" ht="12.75" customHeight="1">
      <c r="A374" s="461"/>
      <c r="B374" s="459"/>
      <c r="C374" s="170">
        <v>12</v>
      </c>
      <c r="D374" s="131" t="s">
        <v>550</v>
      </c>
      <c r="E374" s="540">
        <f>calcLOB1Clinician12Disc1AvgMissPerc*calcLOB1Clinician12Disc1Emp1GrossProd*paramLOB1Disc1Missed*paramLOB1Clinician12Missed</f>
        <v>0</v>
      </c>
      <c r="F374" s="540">
        <f>calcLOB1Clinician12Disc1AvgMissPerc*calcLOB1Clinician12Disc1Emp1GrossProd*paramLOB1Disc1Missed*paramLOB1Clinician12Missed</f>
        <v>0</v>
      </c>
      <c r="G374" s="540">
        <f>calcLOB1Clinician12Disc1AvgMissPerc*calcLOB1Clinician12Disc1Emp1GrossProd*paramLOB1Disc1Missed*paramLOB1Clinician12Missed</f>
        <v>0</v>
      </c>
      <c r="H374" s="131" t="s">
        <v>1709</v>
      </c>
      <c r="J374" s="131" t="s">
        <v>550</v>
      </c>
      <c r="K374" s="540">
        <f>calcR2LOB1Clinician12Disc1AvgMissPerc*calcR2LOB1Clinician12Disc1Emp1GrossProd*paramR2LOB1Disc1Missed*paramR2LOB1Clinician12Missed</f>
        <v>0</v>
      </c>
      <c r="L374" s="540">
        <f>calcR2LOB1Clinician12Disc1AvgMissPerc*calcR2LOB1Clinician12Disc1Emp1GrossProd*paramR2LOB1Disc1Missed*paramR2LOB1Clinician12Missed</f>
        <v>0</v>
      </c>
      <c r="M374" s="540">
        <f>calcR2LOB1Clinician12Disc1AvgMissPerc*calcR2LOB1Clinician12Disc1Emp1GrossProd*paramR2LOB1Disc1Missed*paramR2LOB1Clinician12Missed</f>
        <v>0</v>
      </c>
      <c r="N374" s="131" t="s">
        <v>6174</v>
      </c>
    </row>
    <row r="375" spans="1:14" ht="12.75" customHeight="1">
      <c r="A375" s="461"/>
      <c r="B375" s="459"/>
      <c r="D375" s="131" t="s">
        <v>550</v>
      </c>
      <c r="E375" s="540">
        <f>calcLOB1Clinician13Disc1AvgMissPerc*calcLOB1Clinician13Disc1Emp1GrossProd*paramLOB1Disc1Missed</f>
        <v>4.0847625000000001</v>
      </c>
      <c r="F375" s="540">
        <f>calcLOB1Clinician13Disc1AvgMissPerc*calcLOB1Clinician13Disc1Emp1GrossProd*paramLOB1Disc1Missed</f>
        <v>9.5805788834765639</v>
      </c>
      <c r="G375" s="540">
        <f>calcLOB1Clinician13Disc1AvgMissPerc*calcLOB1Clinician13Disc1Emp1GrossProd*paramLOB1Disc1Missed</f>
        <v>4.7721945100781253</v>
      </c>
      <c r="H375" s="131" t="s">
        <v>4044</v>
      </c>
      <c r="J375" s="131" t="s">
        <v>550</v>
      </c>
      <c r="K375" s="540">
        <f>calcR2LOB1Clinician13Disc1AvgMissPerc*calcR2LOB1Clinician13Disc1Emp1GrossProd*paramR2LOB1Disc1Missed</f>
        <v>3.1480791732180293</v>
      </c>
      <c r="L375" s="540">
        <f>calcR2LOB1Clinician13Disc1AvgMissPerc*calcR2LOB1Clinician13Disc1Emp1GrossProd*paramR2LOB1Disc1Missed</f>
        <v>8.8956456714313692</v>
      </c>
      <c r="M375" s="540">
        <f>calcR2LOB1Clinician13Disc1AvgMissPerc*calcR2LOB1Clinician13Disc1Emp1GrossProd*paramR2LOB1Disc1Missed</f>
        <v>3.9778799110519372</v>
      </c>
      <c r="N375" s="131" t="s">
        <v>6175</v>
      </c>
    </row>
    <row r="376" spans="1:14" ht="12.75" customHeight="1">
      <c r="A376" s="461"/>
      <c r="B376" s="459"/>
      <c r="C376" s="170">
        <v>1</v>
      </c>
      <c r="D376" s="131" t="s">
        <v>554</v>
      </c>
      <c r="E376" s="540">
        <f>calcLOB1Clinician1Disc2AvgMissPerc*calcLOB1Clinician1Disc2Emp1GrossProd*paramLOB1Disc2Missed*paramLOB1Clinician1Missed</f>
        <v>0</v>
      </c>
      <c r="F376" s="540">
        <f>calcLOB1Clinician1Disc2AvgMissPerc*calcLOB1Clinician1Disc2Emp1GrossProd*paramLOB1Disc2Missed*paramLOB1Clinician1Missed</f>
        <v>0</v>
      </c>
      <c r="G376" s="540">
        <f>calcLOB1Clinician1Disc2AvgMissPerc*calcLOB1Clinician1Disc2Emp1GrossProd*paramLOB1Disc2Missed*paramLOB1Clinician1Missed</f>
        <v>0</v>
      </c>
      <c r="H376" s="131" t="s">
        <v>1710</v>
      </c>
      <c r="J376" s="131" t="s">
        <v>554</v>
      </c>
      <c r="K376" s="540">
        <f>calcR2LOB1Clinician1Disc2AvgMissPerc*calcR2LOB1Clinician1Disc2Emp1GrossProd*paramR2LOB1Disc2Missed*paramR2LOB1Clinician1Missed</f>
        <v>0</v>
      </c>
      <c r="L376" s="540">
        <f>calcR2LOB1Clinician1Disc2AvgMissPerc*calcR2LOB1Clinician1Disc2Emp1GrossProd*paramR2LOB1Disc2Missed*paramR2LOB1Clinician1Missed</f>
        <v>0</v>
      </c>
      <c r="M376" s="540">
        <f>calcR2LOB1Clinician1Disc2AvgMissPerc*calcR2LOB1Clinician1Disc2Emp1GrossProd*paramR2LOB1Disc2Missed*paramR2LOB1Clinician1Missed</f>
        <v>0</v>
      </c>
      <c r="N376" s="131" t="s">
        <v>6176</v>
      </c>
    </row>
    <row r="377" spans="1:14" ht="12.75" customHeight="1">
      <c r="A377" s="461"/>
      <c r="B377" s="459"/>
      <c r="C377" s="170">
        <v>2</v>
      </c>
      <c r="D377" s="131" t="s">
        <v>554</v>
      </c>
      <c r="E377" s="540">
        <f>calcLOB1Clinician2Disc2AvgMissPerc*calcLOB1Clinician2Disc2Emp1GrossProd*paramLOB1Disc2Missed*paramLOB1Clinician2Missed</f>
        <v>0</v>
      </c>
      <c r="F377" s="540">
        <f>calcLOB1Clinician2Disc2AvgMissPerc*calcLOB1Clinician2Disc2Emp1GrossProd*paramLOB1Disc2Missed*paramLOB1Clinician2Missed</f>
        <v>0</v>
      </c>
      <c r="G377" s="540">
        <f>calcLOB1Clinician2Disc2AvgMissPerc*calcLOB1Clinician2Disc2Emp1GrossProd*paramLOB1Disc2Missed*paramLOB1Clinician2Missed</f>
        <v>0</v>
      </c>
      <c r="H377" s="131" t="s">
        <v>1711</v>
      </c>
      <c r="J377" s="131" t="s">
        <v>554</v>
      </c>
      <c r="K377" s="540">
        <f>calcR2LOB1Clinician2Disc2AvgMissPerc*calcR2LOB1Clinician2Disc2Emp1GrossProd*paramR2LOB1Disc2Missed*paramR2LOB1Clinician2Missed</f>
        <v>0</v>
      </c>
      <c r="L377" s="540">
        <f>calcR2LOB1Clinician2Disc2AvgMissPerc*calcR2LOB1Clinician2Disc2Emp1GrossProd*paramR2LOB1Disc2Missed*paramR2LOB1Clinician2Missed</f>
        <v>0</v>
      </c>
      <c r="M377" s="540">
        <f>calcR2LOB1Clinician2Disc2AvgMissPerc*calcR2LOB1Clinician2Disc2Emp1GrossProd*paramR2LOB1Disc2Missed*paramR2LOB1Clinician2Missed</f>
        <v>0</v>
      </c>
      <c r="N377" s="131" t="s">
        <v>6177</v>
      </c>
    </row>
    <row r="378" spans="1:14" ht="12.75" customHeight="1">
      <c r="A378" s="461"/>
      <c r="B378" s="459"/>
      <c r="C378" s="170">
        <v>3</v>
      </c>
      <c r="D378" s="131" t="s">
        <v>554</v>
      </c>
      <c r="E378" s="540">
        <f>calcLOB1Clinician3Disc2AvgMissPerc*calcLOB1Clinician3Disc2Emp1GrossProd*paramLOB1Disc2Missed*paramLOB1Clinician3Missed</f>
        <v>0</v>
      </c>
      <c r="F378" s="540">
        <f>calcLOB1Clinician3Disc2AvgMissPerc*calcLOB1Clinician3Disc2Emp1GrossProd*paramLOB1Disc2Missed*paramLOB1Clinician3Missed</f>
        <v>0</v>
      </c>
      <c r="G378" s="540">
        <f>calcLOB1Clinician3Disc2AvgMissPerc*calcLOB1Clinician3Disc2Emp1GrossProd*paramLOB1Disc2Missed*paramLOB1Clinician3Missed</f>
        <v>0</v>
      </c>
      <c r="H378" s="131" t="s">
        <v>1712</v>
      </c>
      <c r="J378" s="131" t="s">
        <v>554</v>
      </c>
      <c r="K378" s="540">
        <f>calcR2LOB1Clinician3Disc2AvgMissPerc*calcR2LOB1Clinician3Disc2Emp1GrossProd*paramR2LOB1Disc2Missed*paramR2LOB1Clinician3Missed</f>
        <v>0</v>
      </c>
      <c r="L378" s="540">
        <f>calcR2LOB1Clinician3Disc2AvgMissPerc*calcR2LOB1Clinician3Disc2Emp1GrossProd*paramR2LOB1Disc2Missed*paramR2LOB1Clinician3Missed</f>
        <v>0</v>
      </c>
      <c r="M378" s="540">
        <f>calcR2LOB1Clinician3Disc2AvgMissPerc*calcR2LOB1Clinician3Disc2Emp1GrossProd*paramR2LOB1Disc2Missed*paramR2LOB1Clinician3Missed</f>
        <v>0</v>
      </c>
      <c r="N378" s="131" t="s">
        <v>6178</v>
      </c>
    </row>
    <row r="379" spans="1:14" ht="12.75" customHeight="1">
      <c r="A379" s="461"/>
      <c r="B379" s="459"/>
      <c r="C379" s="170">
        <v>4</v>
      </c>
      <c r="D379" s="131" t="s">
        <v>554</v>
      </c>
      <c r="E379" s="540">
        <f>calcLOB1Clinician4Disc2AvgMissPerc*calcLOB1Clinician4Disc2Emp1GrossProd*paramLOB1Disc2Missed*paramLOB1Clinician4Missed</f>
        <v>0.33</v>
      </c>
      <c r="F379" s="540">
        <f>calcLOB1Clinician4Disc2AvgMissPerc*calcLOB1Clinician4Disc2Emp1GrossProd*paramLOB1Disc2Missed*paramLOB1Clinician4Missed</f>
        <v>0.33</v>
      </c>
      <c r="G379" s="540">
        <f>calcLOB1Clinician4Disc2AvgMissPerc*calcLOB1Clinician4Disc2Emp1GrossProd*paramLOB1Disc2Missed*paramLOB1Clinician4Missed</f>
        <v>0.33</v>
      </c>
      <c r="H379" s="131" t="s">
        <v>1713</v>
      </c>
      <c r="J379" s="131" t="s">
        <v>554</v>
      </c>
      <c r="K379" s="540">
        <f>calcR2LOB1Clinician4Disc2AvgMissPerc*calcR2LOB1Clinician4Disc2Emp1GrossProd*paramR2LOB1Disc2Missed*paramR2LOB1Clinician4Missed</f>
        <v>0.33</v>
      </c>
      <c r="L379" s="540">
        <f>calcR2LOB1Clinician4Disc2AvgMissPerc*calcR2LOB1Clinician4Disc2Emp1GrossProd*paramR2LOB1Disc2Missed*paramR2LOB1Clinician4Missed</f>
        <v>0.33</v>
      </c>
      <c r="M379" s="540">
        <f>calcR2LOB1Clinician4Disc2AvgMissPerc*calcR2LOB1Clinician4Disc2Emp1GrossProd*paramR2LOB1Disc2Missed*paramR2LOB1Clinician4Missed</f>
        <v>0.33</v>
      </c>
      <c r="N379" s="131" t="s">
        <v>6179</v>
      </c>
    </row>
    <row r="380" spans="1:14" ht="12.75" customHeight="1">
      <c r="A380" s="461"/>
      <c r="B380" s="459"/>
      <c r="C380" s="170">
        <v>5</v>
      </c>
      <c r="D380" s="131" t="s">
        <v>554</v>
      </c>
      <c r="E380" s="540">
        <f>calcLOB1Clinician5Disc2AvgMissPerc*calcLOB1Clinician5Disc2Emp1GrossProd*paramLOB1Disc2Missed*paramLOB1Clinician5Missed</f>
        <v>0.52577319587628868</v>
      </c>
      <c r="F380" s="540">
        <f>calcLOB1Clinician5Disc2AvgMissPerc*calcLOB1Clinician5Disc2Emp1GrossProd*paramLOB1Disc2Missed*paramLOB1Clinician5Missed</f>
        <v>0.52577319587628868</v>
      </c>
      <c r="G380" s="540">
        <f>calcLOB1Clinician5Disc2AvgMissPerc*calcLOB1Clinician5Disc2Emp1GrossProd*paramLOB1Disc2Missed*paramLOB1Clinician5Missed</f>
        <v>0.52577319587628868</v>
      </c>
      <c r="H380" s="131" t="s">
        <v>1714</v>
      </c>
      <c r="J380" s="131" t="s">
        <v>554</v>
      </c>
      <c r="K380" s="540">
        <f>calcR2LOB1Clinician5Disc2AvgMissPerc*calcR2LOB1Clinician5Disc2Emp1GrossProd*paramR2LOB1Disc2Missed*paramR2LOB1Clinician5Missed</f>
        <v>0.52577319587628868</v>
      </c>
      <c r="L380" s="540">
        <f>calcR2LOB1Clinician5Disc2AvgMissPerc*calcR2LOB1Clinician5Disc2Emp1GrossProd*paramR2LOB1Disc2Missed*paramR2LOB1Clinician5Missed</f>
        <v>0.52577319587628868</v>
      </c>
      <c r="M380" s="540">
        <f>calcR2LOB1Clinician5Disc2AvgMissPerc*calcR2LOB1Clinician5Disc2Emp1GrossProd*paramR2LOB1Disc2Missed*paramR2LOB1Clinician5Missed</f>
        <v>0.52577319587628868</v>
      </c>
      <c r="N380" s="131" t="s">
        <v>6180</v>
      </c>
    </row>
    <row r="381" spans="1:14" ht="12.75" customHeight="1">
      <c r="A381" s="461"/>
      <c r="B381" s="459"/>
      <c r="C381" s="170">
        <v>6</v>
      </c>
      <c r="D381" s="131" t="s">
        <v>554</v>
      </c>
      <c r="E381" s="540">
        <f>calcLOB1Clinician6Disc2AvgMissPerc*calcLOB1Clinician6Disc2Emp1GrossProd*paramLOB1Disc2Missed*paramLOB1Clinician6Missed</f>
        <v>0</v>
      </c>
      <c r="F381" s="540">
        <f>calcLOB1Clinician6Disc2AvgMissPerc*calcLOB1Clinician6Disc2Emp1GrossProd*paramLOB1Disc2Missed*paramLOB1Clinician6Missed</f>
        <v>0</v>
      </c>
      <c r="G381" s="540">
        <f>calcLOB1Clinician6Disc2AvgMissPerc*calcLOB1Clinician6Disc2Emp1GrossProd*paramLOB1Disc2Missed*paramLOB1Clinician6Missed</f>
        <v>0</v>
      </c>
      <c r="H381" s="131" t="s">
        <v>1715</v>
      </c>
      <c r="J381" s="131" t="s">
        <v>554</v>
      </c>
      <c r="K381" s="540">
        <f>calcR2LOB1Clinician6Disc2AvgMissPerc*calcR2LOB1Clinician6Disc2Emp1GrossProd*paramR2LOB1Disc2Missed*paramR2LOB1Clinician6Missed</f>
        <v>0</v>
      </c>
      <c r="L381" s="540">
        <f>calcR2LOB1Clinician6Disc2AvgMissPerc*calcR2LOB1Clinician6Disc2Emp1GrossProd*paramR2LOB1Disc2Missed*paramR2LOB1Clinician6Missed</f>
        <v>0</v>
      </c>
      <c r="M381" s="540">
        <f>calcR2LOB1Clinician6Disc2AvgMissPerc*calcR2LOB1Clinician6Disc2Emp1GrossProd*paramR2LOB1Disc2Missed*paramR2LOB1Clinician6Missed</f>
        <v>0</v>
      </c>
      <c r="N381" s="131" t="s">
        <v>6181</v>
      </c>
    </row>
    <row r="382" spans="1:14" ht="12.75" customHeight="1">
      <c r="A382" s="461"/>
      <c r="B382" s="459"/>
      <c r="C382" s="170">
        <v>7</v>
      </c>
      <c r="D382" s="131" t="s">
        <v>554</v>
      </c>
      <c r="E382" s="540">
        <f>calcLOB1Clinician7Disc2AvgMissPerc*calcLOB1Clinician7Disc2Emp1GrossProd*paramLOB1Disc2Missed*paramLOB1Clinician7Missed</f>
        <v>0</v>
      </c>
      <c r="F382" s="540">
        <f>calcLOB1Clinician7Disc2AvgMissPerc*calcLOB1Clinician7Disc2Emp1GrossProd*paramLOB1Disc2Missed*paramLOB1Clinician7Missed</f>
        <v>0</v>
      </c>
      <c r="G382" s="540">
        <f>calcLOB1Clinician7Disc2AvgMissPerc*calcLOB1Clinician7Disc2Emp1GrossProd*paramLOB1Disc2Missed*paramLOB1Clinician7Missed</f>
        <v>0</v>
      </c>
      <c r="H382" s="131" t="s">
        <v>1716</v>
      </c>
      <c r="J382" s="131" t="s">
        <v>554</v>
      </c>
      <c r="K382" s="540">
        <f>calcR2LOB1Clinician7Disc2AvgMissPerc*calcR2LOB1Clinician7Disc2Emp1GrossProd*paramR2LOB1Disc2Missed*paramR2LOB1Clinician7Missed</f>
        <v>0</v>
      </c>
      <c r="L382" s="540">
        <f>calcR2LOB1Clinician7Disc2AvgMissPerc*calcR2LOB1Clinician7Disc2Emp1GrossProd*paramR2LOB1Disc2Missed*paramR2LOB1Clinician7Missed</f>
        <v>0</v>
      </c>
      <c r="M382" s="540">
        <f>calcR2LOB1Clinician7Disc2AvgMissPerc*calcR2LOB1Clinician7Disc2Emp1GrossProd*paramR2LOB1Disc2Missed*paramR2LOB1Clinician7Missed</f>
        <v>0</v>
      </c>
      <c r="N382" s="131" t="s">
        <v>6182</v>
      </c>
    </row>
    <row r="383" spans="1:14" ht="12.75" customHeight="1">
      <c r="A383" s="461"/>
      <c r="B383" s="459"/>
      <c r="C383" s="170">
        <v>8</v>
      </c>
      <c r="D383" s="131" t="s">
        <v>554</v>
      </c>
      <c r="E383" s="540">
        <f>calcLOB1Clinician8Disc2AvgMissPerc*calcLOB1Clinician8Disc2Emp1GrossProd*paramLOB1Disc2Missed*paramLOB1Clinician8Missed</f>
        <v>0</v>
      </c>
      <c r="F383" s="540">
        <f>calcLOB1Clinician8Disc2AvgMissPerc*calcLOB1Clinician8Disc2Emp1GrossProd*paramLOB1Disc2Missed*paramLOB1Clinician8Missed</f>
        <v>0</v>
      </c>
      <c r="G383" s="540">
        <f>calcLOB1Clinician8Disc2AvgMissPerc*calcLOB1Clinician8Disc2Emp1GrossProd*paramLOB1Disc2Missed*paramLOB1Clinician8Missed</f>
        <v>0</v>
      </c>
      <c r="H383" s="131" t="s">
        <v>1717</v>
      </c>
      <c r="J383" s="131" t="s">
        <v>554</v>
      </c>
      <c r="K383" s="540">
        <f>calcR2LOB1Clinician8Disc2AvgMissPerc*calcR2LOB1Clinician8Disc2Emp1GrossProd*paramR2LOB1Disc2Missed*paramR2LOB1Clinician8Missed</f>
        <v>0</v>
      </c>
      <c r="L383" s="540">
        <f>calcR2LOB1Clinician8Disc2AvgMissPerc*calcR2LOB1Clinician8Disc2Emp1GrossProd*paramR2LOB1Disc2Missed*paramR2LOB1Clinician8Missed</f>
        <v>0</v>
      </c>
      <c r="M383" s="540">
        <f>calcR2LOB1Clinician8Disc2AvgMissPerc*calcR2LOB1Clinician8Disc2Emp1GrossProd*paramR2LOB1Disc2Missed*paramR2LOB1Clinician8Missed</f>
        <v>0</v>
      </c>
      <c r="N383" s="131" t="s">
        <v>6183</v>
      </c>
    </row>
    <row r="384" spans="1:14" ht="12.75" customHeight="1">
      <c r="A384" s="461"/>
      <c r="B384" s="459"/>
      <c r="C384" s="170">
        <v>9</v>
      </c>
      <c r="D384" s="131" t="s">
        <v>554</v>
      </c>
      <c r="E384" s="540">
        <f>calcLOB1Clinician9Disc2AvgMissPerc*calcLOB1Clinician9Disc2Emp1GrossProd*paramLOB1Disc2Missed*paramLOB1Clinician9Missed</f>
        <v>0</v>
      </c>
      <c r="F384" s="540">
        <f>calcLOB1Clinician9Disc2AvgMissPerc*calcLOB1Clinician9Disc2Emp1GrossProd*paramLOB1Disc2Missed*paramLOB1Clinician9Missed</f>
        <v>0</v>
      </c>
      <c r="G384" s="540">
        <f>calcLOB1Clinician9Disc2AvgMissPerc*calcLOB1Clinician9Disc2Emp1GrossProd*paramLOB1Disc2Missed*paramLOB1Clinician9Missed</f>
        <v>0</v>
      </c>
      <c r="H384" s="131" t="s">
        <v>1718</v>
      </c>
      <c r="J384" s="131" t="s">
        <v>554</v>
      </c>
      <c r="K384" s="540">
        <f>calcR2LOB1Clinician9Disc2AvgMissPerc*calcR2LOB1Clinician9Disc2Emp1GrossProd*paramR2LOB1Disc2Missed*paramR2LOB1Clinician9Missed</f>
        <v>0</v>
      </c>
      <c r="L384" s="540">
        <f>calcR2LOB1Clinician9Disc2AvgMissPerc*calcR2LOB1Clinician9Disc2Emp1GrossProd*paramR2LOB1Disc2Missed*paramR2LOB1Clinician9Missed</f>
        <v>0</v>
      </c>
      <c r="M384" s="540">
        <f>calcR2LOB1Clinician9Disc2AvgMissPerc*calcR2LOB1Clinician9Disc2Emp1GrossProd*paramR2LOB1Disc2Missed*paramR2LOB1Clinician9Missed</f>
        <v>0</v>
      </c>
      <c r="N384" s="131" t="s">
        <v>6184</v>
      </c>
    </row>
    <row r="385" spans="1:14" ht="12.75" customHeight="1">
      <c r="A385" s="461"/>
      <c r="B385" s="459"/>
      <c r="C385" s="170">
        <v>10</v>
      </c>
      <c r="D385" s="131" t="s">
        <v>554</v>
      </c>
      <c r="E385" s="540">
        <f>calcLOB1Clinician10Disc2AvgMissPerc*calcLOB1Clinician10Disc2Emp1GrossProd*paramLOB1Disc2Missed*paramLOB1Clinician10Missed</f>
        <v>0</v>
      </c>
      <c r="F385" s="540">
        <f>calcLOB1Clinician10Disc2AvgMissPerc*calcLOB1Clinician10Disc2Emp1GrossProd*paramLOB1Disc2Missed*paramLOB1Clinician10Missed</f>
        <v>0</v>
      </c>
      <c r="G385" s="540">
        <f>calcLOB1Clinician10Disc2AvgMissPerc*calcLOB1Clinician10Disc2Emp1GrossProd*paramLOB1Disc2Missed*paramLOB1Clinician10Missed</f>
        <v>0</v>
      </c>
      <c r="H385" s="131" t="s">
        <v>1719</v>
      </c>
      <c r="J385" s="131" t="s">
        <v>554</v>
      </c>
      <c r="K385" s="540">
        <f>calcR2LOB1Clinician10Disc2AvgMissPerc*calcR2LOB1Clinician10Disc2Emp1GrossProd*paramR2LOB1Disc2Missed*paramR2LOB1Clinician10Missed</f>
        <v>0</v>
      </c>
      <c r="L385" s="540">
        <f>calcR2LOB1Clinician10Disc2AvgMissPerc*calcR2LOB1Clinician10Disc2Emp1GrossProd*paramR2LOB1Disc2Missed*paramR2LOB1Clinician10Missed</f>
        <v>0</v>
      </c>
      <c r="M385" s="540">
        <f>calcR2LOB1Clinician10Disc2AvgMissPerc*calcR2LOB1Clinician10Disc2Emp1GrossProd*paramR2LOB1Disc2Missed*paramR2LOB1Clinician10Missed</f>
        <v>0</v>
      </c>
      <c r="N385" s="131" t="s">
        <v>6185</v>
      </c>
    </row>
    <row r="386" spans="1:14" ht="12.75" customHeight="1">
      <c r="A386" s="461"/>
      <c r="B386" s="459"/>
      <c r="C386" s="170">
        <v>11</v>
      </c>
      <c r="D386" s="131" t="s">
        <v>554</v>
      </c>
      <c r="E386" s="540">
        <f>calcLOB1Clinician11Disc2AvgMissPerc*calcLOB1Clinician11Disc2Emp1GrossProd*paramLOB1Disc2Missed*paramLOB1Clinician11Missed</f>
        <v>0</v>
      </c>
      <c r="F386" s="540">
        <f>calcLOB1Clinician11Disc2AvgMissPerc*calcLOB1Clinician11Disc2Emp1GrossProd*paramLOB1Disc2Missed*paramLOB1Clinician11Missed</f>
        <v>0</v>
      </c>
      <c r="G386" s="540">
        <f>calcLOB1Clinician11Disc2AvgMissPerc*calcLOB1Clinician11Disc2Emp1GrossProd*paramLOB1Disc2Missed*paramLOB1Clinician11Missed</f>
        <v>0</v>
      </c>
      <c r="H386" s="131" t="s">
        <v>1720</v>
      </c>
      <c r="J386" s="131" t="s">
        <v>554</v>
      </c>
      <c r="K386" s="540">
        <f>calcR2LOB1Clinician11Disc2AvgMissPerc*calcR2LOB1Clinician11Disc2Emp1GrossProd*paramR2LOB1Disc2Missed*paramR2LOB1Clinician11Missed</f>
        <v>0</v>
      </c>
      <c r="L386" s="540">
        <f>calcR2LOB1Clinician11Disc2AvgMissPerc*calcR2LOB1Clinician11Disc2Emp1GrossProd*paramR2LOB1Disc2Missed*paramR2LOB1Clinician11Missed</f>
        <v>0</v>
      </c>
      <c r="M386" s="540">
        <f>calcR2LOB1Clinician11Disc2AvgMissPerc*calcR2LOB1Clinician11Disc2Emp1GrossProd*paramR2LOB1Disc2Missed*paramR2LOB1Clinician11Missed</f>
        <v>0</v>
      </c>
      <c r="N386" s="131" t="s">
        <v>6186</v>
      </c>
    </row>
    <row r="387" spans="1:14" ht="12.75" customHeight="1">
      <c r="A387" s="461"/>
      <c r="B387" s="459"/>
      <c r="C387" s="170">
        <v>12</v>
      </c>
      <c r="D387" s="131" t="s">
        <v>554</v>
      </c>
      <c r="E387" s="540">
        <f>calcLOB1Clinician12Disc2AvgMissPerc*calcLOB1Clinician12Disc2Emp1GrossProd*paramLOB1Disc2Missed*paramLOB1Clinician12Missed</f>
        <v>0</v>
      </c>
      <c r="F387" s="540">
        <f>calcLOB1Clinician12Disc2AvgMissPerc*calcLOB1Clinician12Disc2Emp1GrossProd*paramLOB1Disc2Missed*paramLOB1Clinician12Missed</f>
        <v>0</v>
      </c>
      <c r="G387" s="540">
        <f>calcLOB1Clinician12Disc2AvgMissPerc*calcLOB1Clinician12Disc2Emp1GrossProd*paramLOB1Disc2Missed*paramLOB1Clinician12Missed</f>
        <v>0</v>
      </c>
      <c r="H387" s="131" t="s">
        <v>1721</v>
      </c>
      <c r="J387" s="131" t="s">
        <v>554</v>
      </c>
      <c r="K387" s="540">
        <f>calcR2LOB1Clinician12Disc2AvgMissPerc*calcR2LOB1Clinician12Disc2Emp1GrossProd*paramR2LOB1Disc2Missed*paramR2LOB1Clinician12Missed</f>
        <v>0</v>
      </c>
      <c r="L387" s="540">
        <f>calcR2LOB1Clinician12Disc2AvgMissPerc*calcR2LOB1Clinician12Disc2Emp1GrossProd*paramR2LOB1Disc2Missed*paramR2LOB1Clinician12Missed</f>
        <v>0</v>
      </c>
      <c r="M387" s="540">
        <f>calcR2LOB1Clinician12Disc2AvgMissPerc*calcR2LOB1Clinician12Disc2Emp1GrossProd*paramR2LOB1Disc2Missed*paramR2LOB1Clinician12Missed</f>
        <v>0</v>
      </c>
      <c r="N387" s="131" t="s">
        <v>6187</v>
      </c>
    </row>
    <row r="388" spans="1:14" ht="12.75" customHeight="1">
      <c r="A388" s="461"/>
      <c r="B388" s="459"/>
      <c r="D388" s="131" t="s">
        <v>554</v>
      </c>
      <c r="E388" s="540">
        <f>calcLOB1Clinician14Disc2AvgMissPerc*calcLOB1Clinician14Disc2Emp1GrossProd*paramLOB1Disc2Missed</f>
        <v>6.5323781250000001</v>
      </c>
      <c r="F388" s="540">
        <f>calcLOB1Clinician14Disc2AvgMissPerc*calcLOB1Clinician14Disc2Emp1GrossProd*paramLOB1Disc2Missed</f>
        <v>13.053234847916668</v>
      </c>
      <c r="G388" s="540">
        <f>calcLOB1Clinician14Disc2AvgMissPerc*calcLOB1Clinician14Disc2Emp1GrossProd*paramLOB1Disc2Missed</f>
        <v>6.4159453828124988</v>
      </c>
      <c r="H388" s="131" t="s">
        <v>4045</v>
      </c>
      <c r="J388" s="131" t="s">
        <v>554</v>
      </c>
      <c r="K388" s="540">
        <f>calcR2LOB1Clinician14Disc2AvgMissPerc*calcR2LOB1Clinician14Disc2Emp1GrossProd*paramR2LOB1Disc2Missed</f>
        <v>5.0344282016145474</v>
      </c>
      <c r="L388" s="540">
        <f>calcR2LOB1Clinician14Disc2AvgMissPerc*calcR2LOB1Clinician14Disc2Emp1GrossProd*paramR2LOB1Disc2Missed</f>
        <v>13.428840201533195</v>
      </c>
      <c r="M388" s="540">
        <f>calcR2LOB1Clinician14Disc2AvgMissPerc*calcR2LOB1Clinician14Disc2Emp1GrossProd*paramR2LOB1Disc2Missed</f>
        <v>5.9483006112927832</v>
      </c>
      <c r="N388" s="131" t="s">
        <v>6188</v>
      </c>
    </row>
    <row r="389" spans="1:14" ht="12.75" customHeight="1">
      <c r="A389" s="461"/>
      <c r="B389" s="459"/>
      <c r="E389" s="760">
        <f>SUM(E363:E388)</f>
        <v>18.549229610349975</v>
      </c>
      <c r="K389" s="760">
        <f>SUM(K363:K388)</f>
        <v>16.114596360182553</v>
      </c>
    </row>
    <row r="390" spans="1:14" ht="12.75" customHeight="1">
      <c r="A390" s="461"/>
      <c r="B390" s="459"/>
      <c r="C390" s="131" t="s">
        <v>1617</v>
      </c>
    </row>
    <row r="391" spans="1:14" ht="12.75" customHeight="1">
      <c r="A391" s="461"/>
      <c r="B391" s="459"/>
      <c r="C391" s="170">
        <v>1</v>
      </c>
      <c r="D391" s="131" t="s">
        <v>550</v>
      </c>
      <c r="E391" s="453">
        <f>calcLOB1Clinician1Disc1Emp1GrossProd-calcLOB1Clinician1Disc1Emp1MissVisits</f>
        <v>22.95</v>
      </c>
      <c r="F391" s="453">
        <f>calcLOB1Clinician1Disc1Emp1GrossProd-calcLOB1Clinician1Disc1Emp1MissVisits</f>
        <v>22.95</v>
      </c>
      <c r="G391" s="453">
        <f>calcLOB1Clinician1Disc1Emp1GrossProd-calcLOB1Clinician1Disc1Emp1MissVisits</f>
        <v>22.95</v>
      </c>
      <c r="H391" s="131" t="s">
        <v>1722</v>
      </c>
      <c r="J391" s="131" t="s">
        <v>550</v>
      </c>
      <c r="K391" s="453">
        <f>calcR2LOB1Clinician1Disc1Emp1GrossProd-calcR2LOB1Clinician1Disc1Emp1MissVisits</f>
        <v>22.95</v>
      </c>
      <c r="L391" s="453">
        <f>calcR2LOB1Clinician1Disc1Emp1GrossProd-calcR2LOB1Clinician1Disc1Emp1MissVisits</f>
        <v>22.95</v>
      </c>
      <c r="M391" s="453">
        <f>calcR2LOB1Clinician1Disc1Emp1GrossProd-calcR2LOB1Clinician1Disc1Emp1MissVisits</f>
        <v>22.95</v>
      </c>
      <c r="N391" s="131" t="s">
        <v>6189</v>
      </c>
    </row>
    <row r="392" spans="1:14" ht="12.75" customHeight="1">
      <c r="A392" s="461"/>
      <c r="B392" s="459"/>
      <c r="C392" s="170">
        <v>2</v>
      </c>
      <c r="D392" s="131" t="s">
        <v>550</v>
      </c>
      <c r="E392" s="453">
        <f>calcLOB1Clinician2Disc1Emp1GrossProd-calcLOB1Clinician2Disc1Emp1MissVisits</f>
        <v>21.6</v>
      </c>
      <c r="F392" s="453">
        <f>calcLOB1Clinician2Disc1Emp1GrossProd-calcLOB1Clinician2Disc1Emp1MissVisits</f>
        <v>21.6</v>
      </c>
      <c r="G392" s="453">
        <f>calcLOB1Clinician2Disc1Emp1GrossProd-calcLOB1Clinician2Disc1Emp1MissVisits</f>
        <v>21.6</v>
      </c>
      <c r="H392" s="131" t="s">
        <v>1723</v>
      </c>
      <c r="J392" s="131" t="s">
        <v>550</v>
      </c>
      <c r="K392" s="453">
        <f>calcR2LOB1Clinician2Disc1Emp1GrossProd-calcR2LOB1Clinician2Disc1Emp1MissVisits</f>
        <v>21.6</v>
      </c>
      <c r="L392" s="453">
        <f>calcR2LOB1Clinician2Disc1Emp1GrossProd-calcR2LOB1Clinician2Disc1Emp1MissVisits</f>
        <v>21.6</v>
      </c>
      <c r="M392" s="453">
        <f>calcR2LOB1Clinician2Disc1Emp1GrossProd-calcR2LOB1Clinician2Disc1Emp1MissVisits</f>
        <v>21.6</v>
      </c>
      <c r="N392" s="131" t="s">
        <v>6190</v>
      </c>
    </row>
    <row r="393" spans="1:14" ht="12.75" customHeight="1">
      <c r="A393" s="461"/>
      <c r="B393" s="459"/>
      <c r="C393" s="170">
        <v>3</v>
      </c>
      <c r="D393" s="131" t="s">
        <v>550</v>
      </c>
      <c r="E393" s="453">
        <f>calcLOB1Clinician3Disc1Emp1GrossProd-calcLOB1Clinician3Disc1Emp1MissVisits</f>
        <v>11.9</v>
      </c>
      <c r="F393" s="453">
        <f>calcLOB1Clinician3Disc1Emp1GrossProd-calcLOB1Clinician3Disc1Emp1MissVisits</f>
        <v>11.9</v>
      </c>
      <c r="G393" s="453">
        <f>calcLOB1Clinician3Disc1Emp1GrossProd-calcLOB1Clinician3Disc1Emp1MissVisits</f>
        <v>11.9</v>
      </c>
      <c r="H393" s="131" t="s">
        <v>1724</v>
      </c>
      <c r="J393" s="131" t="s">
        <v>550</v>
      </c>
      <c r="K393" s="453">
        <f>calcR2LOB1Clinician3Disc1Emp1GrossProd-calcR2LOB1Clinician3Disc1Emp1MissVisits</f>
        <v>11.9</v>
      </c>
      <c r="L393" s="453">
        <f>calcR2LOB1Clinician3Disc1Emp1GrossProd-calcR2LOB1Clinician3Disc1Emp1MissVisits</f>
        <v>11.9</v>
      </c>
      <c r="M393" s="453">
        <f>calcR2LOB1Clinician3Disc1Emp1GrossProd-calcR2LOB1Clinician3Disc1Emp1MissVisits</f>
        <v>11.9</v>
      </c>
      <c r="N393" s="131" t="s">
        <v>6191</v>
      </c>
    </row>
    <row r="394" spans="1:14" ht="12.75" customHeight="1">
      <c r="A394" s="461"/>
      <c r="B394" s="459"/>
      <c r="C394" s="170">
        <v>4</v>
      </c>
      <c r="D394" s="131" t="s">
        <v>550</v>
      </c>
      <c r="E394" s="453">
        <f>calcLOB1Clinician4Disc1Emp1GrossProd-calcLOB1Clinician4Disc1Emp1MissVisits</f>
        <v>0</v>
      </c>
      <c r="F394" s="453">
        <f>calcLOB1Clinician4Disc1Emp1GrossProd-calcLOB1Clinician4Disc1Emp1MissVisits</f>
        <v>0</v>
      </c>
      <c r="G394" s="453">
        <f>calcLOB1Clinician4Disc1Emp1GrossProd-calcLOB1Clinician4Disc1Emp1MissVisits</f>
        <v>0</v>
      </c>
      <c r="H394" s="131" t="s">
        <v>1725</v>
      </c>
      <c r="J394" s="131" t="s">
        <v>550</v>
      </c>
      <c r="K394" s="453">
        <f>calcR2LOB1Clinician4Disc1Emp1GrossProd-calcR2LOB1Clinician4Disc1Emp1MissVisits</f>
        <v>0</v>
      </c>
      <c r="L394" s="453">
        <f>calcR2LOB1Clinician4Disc1Emp1GrossProd-calcR2LOB1Clinician4Disc1Emp1MissVisits</f>
        <v>0</v>
      </c>
      <c r="M394" s="453">
        <f>calcR2LOB1Clinician4Disc1Emp1GrossProd-calcR2LOB1Clinician4Disc1Emp1MissVisits</f>
        <v>0</v>
      </c>
      <c r="N394" s="131" t="s">
        <v>6192</v>
      </c>
    </row>
    <row r="395" spans="1:14" ht="12.75" customHeight="1">
      <c r="A395" s="461"/>
      <c r="B395" s="459"/>
      <c r="C395" s="170">
        <v>5</v>
      </c>
      <c r="D395" s="131" t="s">
        <v>550</v>
      </c>
      <c r="E395" s="453">
        <f>calcLOB1Clinician5Disc1Emp1GrossProd-calcLOB1Clinician5Disc1Emp1MissVisits</f>
        <v>0</v>
      </c>
      <c r="F395" s="453">
        <f>calcLOB1Clinician5Disc1Emp1GrossProd-calcLOB1Clinician5Disc1Emp1MissVisits</f>
        <v>0</v>
      </c>
      <c r="G395" s="453">
        <f>calcLOB1Clinician5Disc1Emp1GrossProd-calcLOB1Clinician5Disc1Emp1MissVisits</f>
        <v>0</v>
      </c>
      <c r="H395" s="131" t="s">
        <v>1726</v>
      </c>
      <c r="J395" s="131" t="s">
        <v>550</v>
      </c>
      <c r="K395" s="453">
        <f>calcR2LOB1Clinician5Disc1Emp1GrossProd-calcR2LOB1Clinician5Disc1Emp1MissVisits</f>
        <v>0</v>
      </c>
      <c r="L395" s="453">
        <f>calcR2LOB1Clinician5Disc1Emp1GrossProd-calcR2LOB1Clinician5Disc1Emp1MissVisits</f>
        <v>0</v>
      </c>
      <c r="M395" s="453">
        <f>calcR2LOB1Clinician5Disc1Emp1GrossProd-calcR2LOB1Clinician5Disc1Emp1MissVisits</f>
        <v>0</v>
      </c>
      <c r="N395" s="131" t="s">
        <v>6193</v>
      </c>
    </row>
    <row r="396" spans="1:14" ht="12.75" customHeight="1">
      <c r="A396" s="461"/>
      <c r="B396" s="459"/>
      <c r="C396" s="170">
        <v>6</v>
      </c>
      <c r="D396" s="131" t="s">
        <v>550</v>
      </c>
      <c r="E396" s="453">
        <f>calcLOB1Clinician6Disc1Emp1GrossProd-calcLOB1Clinician6Disc1Emp1MissVisits</f>
        <v>0</v>
      </c>
      <c r="F396" s="453">
        <f>calcLOB1Clinician6Disc1Emp1GrossProd-calcLOB1Clinician6Disc1Emp1MissVisits</f>
        <v>0</v>
      </c>
      <c r="G396" s="453">
        <f>calcLOB1Clinician6Disc1Emp1GrossProd-calcLOB1Clinician6Disc1Emp1MissVisits</f>
        <v>0</v>
      </c>
      <c r="H396" s="131" t="s">
        <v>1727</v>
      </c>
      <c r="J396" s="131" t="s">
        <v>550</v>
      </c>
      <c r="K396" s="453">
        <f>calcR2LOB1Clinician6Disc1Emp1GrossProd-calcR2LOB1Clinician6Disc1Emp1MissVisits</f>
        <v>0</v>
      </c>
      <c r="L396" s="453">
        <f>calcR2LOB1Clinician6Disc1Emp1GrossProd-calcR2LOB1Clinician6Disc1Emp1MissVisits</f>
        <v>0</v>
      </c>
      <c r="M396" s="453">
        <f>calcR2LOB1Clinician6Disc1Emp1GrossProd-calcR2LOB1Clinician6Disc1Emp1MissVisits</f>
        <v>0</v>
      </c>
      <c r="N396" s="131" t="s">
        <v>6194</v>
      </c>
    </row>
    <row r="397" spans="1:14" ht="12.75" customHeight="1">
      <c r="A397" s="461"/>
      <c r="B397" s="459"/>
      <c r="C397" s="170">
        <v>7</v>
      </c>
      <c r="D397" s="131" t="s">
        <v>550</v>
      </c>
      <c r="E397" s="453">
        <f>calcLOB1Clinician7Disc1Emp1GrossProd-calcLOB1Clinician7Disc1Emp1MissVisits</f>
        <v>0</v>
      </c>
      <c r="F397" s="453">
        <f>calcLOB1Clinician7Disc1Emp1GrossProd-calcLOB1Clinician7Disc1Emp1MissVisits</f>
        <v>0</v>
      </c>
      <c r="G397" s="453">
        <f>calcLOB1Clinician7Disc1Emp1GrossProd-calcLOB1Clinician7Disc1Emp1MissVisits</f>
        <v>0</v>
      </c>
      <c r="H397" s="131" t="s">
        <v>1728</v>
      </c>
      <c r="J397" s="131" t="s">
        <v>550</v>
      </c>
      <c r="K397" s="453">
        <f>calcR2LOB1Clinician7Disc1Emp1GrossProd-calcR2LOB1Clinician7Disc1Emp1MissVisits</f>
        <v>0</v>
      </c>
      <c r="L397" s="453">
        <f>calcR2LOB1Clinician7Disc1Emp1GrossProd-calcR2LOB1Clinician7Disc1Emp1MissVisits</f>
        <v>0</v>
      </c>
      <c r="M397" s="453">
        <f>calcR2LOB1Clinician7Disc1Emp1GrossProd-calcR2LOB1Clinician7Disc1Emp1MissVisits</f>
        <v>0</v>
      </c>
      <c r="N397" s="131" t="s">
        <v>6195</v>
      </c>
    </row>
    <row r="398" spans="1:14" ht="12.75" customHeight="1">
      <c r="A398" s="461"/>
      <c r="B398" s="459"/>
      <c r="C398" s="170">
        <v>8</v>
      </c>
      <c r="D398" s="131" t="s">
        <v>550</v>
      </c>
      <c r="E398" s="453">
        <f>calcLOB1Clinician8Disc1Emp1GrossProd-calcLOB1Clinician8Disc1Emp1MissVisits</f>
        <v>0</v>
      </c>
      <c r="F398" s="453">
        <f>calcLOB1Clinician8Disc1Emp1GrossProd-calcLOB1Clinician8Disc1Emp1MissVisits</f>
        <v>0</v>
      </c>
      <c r="G398" s="453">
        <f>calcLOB1Clinician8Disc1Emp1GrossProd-calcLOB1Clinician8Disc1Emp1MissVisits</f>
        <v>0</v>
      </c>
      <c r="H398" s="131" t="s">
        <v>1729</v>
      </c>
      <c r="J398" s="131" t="s">
        <v>550</v>
      </c>
      <c r="K398" s="453">
        <f>calcR2LOB1Clinician8Disc1Emp1GrossProd-calcR2LOB1Clinician8Disc1Emp1MissVisits</f>
        <v>0</v>
      </c>
      <c r="L398" s="453">
        <f>calcR2LOB1Clinician8Disc1Emp1GrossProd-calcR2LOB1Clinician8Disc1Emp1MissVisits</f>
        <v>0</v>
      </c>
      <c r="M398" s="453">
        <f>calcR2LOB1Clinician8Disc1Emp1GrossProd-calcR2LOB1Clinician8Disc1Emp1MissVisits</f>
        <v>0</v>
      </c>
      <c r="N398" s="131" t="s">
        <v>6196</v>
      </c>
    </row>
    <row r="399" spans="1:14" ht="12.75" customHeight="1">
      <c r="A399" s="461"/>
      <c r="B399" s="459"/>
      <c r="C399" s="170">
        <v>9</v>
      </c>
      <c r="D399" s="131" t="s">
        <v>550</v>
      </c>
      <c r="E399" s="453">
        <f>calcLOB1Clinician9Disc1Emp1GrossProd-calcLOB1Clinician9Disc1Emp1MissVisits</f>
        <v>0</v>
      </c>
      <c r="F399" s="453">
        <f>calcLOB1Clinician9Disc1Emp1GrossProd-calcLOB1Clinician9Disc1Emp1MissVisits</f>
        <v>0</v>
      </c>
      <c r="G399" s="453">
        <f>calcLOB1Clinician9Disc1Emp1GrossProd-calcLOB1Clinician9Disc1Emp1MissVisits</f>
        <v>0</v>
      </c>
      <c r="H399" s="131" t="s">
        <v>1730</v>
      </c>
      <c r="J399" s="131" t="s">
        <v>550</v>
      </c>
      <c r="K399" s="453">
        <f>calcR2LOB1Clinician9Disc1Emp1GrossProd-calcR2LOB1Clinician9Disc1Emp1MissVisits</f>
        <v>0</v>
      </c>
      <c r="L399" s="453">
        <f>calcR2LOB1Clinician9Disc1Emp1GrossProd-calcR2LOB1Clinician9Disc1Emp1MissVisits</f>
        <v>0</v>
      </c>
      <c r="M399" s="453">
        <f>calcR2LOB1Clinician9Disc1Emp1GrossProd-calcR2LOB1Clinician9Disc1Emp1MissVisits</f>
        <v>0</v>
      </c>
      <c r="N399" s="131" t="s">
        <v>6197</v>
      </c>
    </row>
    <row r="400" spans="1:14" ht="12.75" customHeight="1">
      <c r="A400" s="461"/>
      <c r="B400" s="459"/>
      <c r="C400" s="170">
        <v>10</v>
      </c>
      <c r="D400" s="131" t="s">
        <v>550</v>
      </c>
      <c r="E400" s="453">
        <f>calcLOB1Clinician10Disc1Emp1GrossProd-calcLOB1Clinician10Disc1Emp1MissVisits</f>
        <v>0</v>
      </c>
      <c r="F400" s="453">
        <f>calcLOB1Clinician10Disc1Emp1GrossProd-calcLOB1Clinician10Disc1Emp1MissVisits</f>
        <v>0</v>
      </c>
      <c r="G400" s="453">
        <f>calcLOB1Clinician10Disc1Emp1GrossProd-calcLOB1Clinician10Disc1Emp1MissVisits</f>
        <v>0</v>
      </c>
      <c r="H400" s="131" t="s">
        <v>1731</v>
      </c>
      <c r="J400" s="131" t="s">
        <v>550</v>
      </c>
      <c r="K400" s="453">
        <f>calcR2LOB1Clinician10Disc1Emp1GrossProd-calcR2LOB1Clinician10Disc1Emp1MissVisits</f>
        <v>0</v>
      </c>
      <c r="L400" s="453">
        <f>calcR2LOB1Clinician10Disc1Emp1GrossProd-calcR2LOB1Clinician10Disc1Emp1MissVisits</f>
        <v>0</v>
      </c>
      <c r="M400" s="453">
        <f>calcR2LOB1Clinician10Disc1Emp1GrossProd-calcR2LOB1Clinician10Disc1Emp1MissVisits</f>
        <v>0</v>
      </c>
      <c r="N400" s="131" t="s">
        <v>6198</v>
      </c>
    </row>
    <row r="401" spans="1:14" ht="12.75" customHeight="1">
      <c r="A401" s="461"/>
      <c r="B401" s="459"/>
      <c r="C401" s="170">
        <v>11</v>
      </c>
      <c r="D401" s="131" t="s">
        <v>550</v>
      </c>
      <c r="E401" s="453">
        <f>calcLOB1Clinician11Disc1Emp1GrossProd-calcLOB1Clinician11Disc1Emp1MissVisits</f>
        <v>0</v>
      </c>
      <c r="F401" s="453">
        <f>calcLOB1Clinician11Disc1Emp1GrossProd-calcLOB1Clinician11Disc1Emp1MissVisits</f>
        <v>0</v>
      </c>
      <c r="G401" s="453">
        <f>calcLOB1Clinician11Disc1Emp1GrossProd-calcLOB1Clinician11Disc1Emp1MissVisits</f>
        <v>0</v>
      </c>
      <c r="H401" s="131" t="s">
        <v>1732</v>
      </c>
      <c r="J401" s="131" t="s">
        <v>550</v>
      </c>
      <c r="K401" s="453">
        <f>calcR2LOB1Clinician11Disc1Emp1GrossProd-calcR2LOB1Clinician11Disc1Emp1MissVisits</f>
        <v>0</v>
      </c>
      <c r="L401" s="453">
        <f>calcR2LOB1Clinician11Disc1Emp1GrossProd-calcR2LOB1Clinician11Disc1Emp1MissVisits</f>
        <v>0</v>
      </c>
      <c r="M401" s="453">
        <f>calcR2LOB1Clinician11Disc1Emp1GrossProd-calcR2LOB1Clinician11Disc1Emp1MissVisits</f>
        <v>0</v>
      </c>
      <c r="N401" s="131" t="s">
        <v>6199</v>
      </c>
    </row>
    <row r="402" spans="1:14" ht="12.75" customHeight="1">
      <c r="A402" s="461"/>
      <c r="B402" s="459"/>
      <c r="C402" s="170">
        <v>12</v>
      </c>
      <c r="D402" s="131" t="s">
        <v>550</v>
      </c>
      <c r="E402" s="453">
        <f>calcLOB1Clinician12Disc1Emp1GrossProd-calcLOB1Clinician12Disc1Emp1MissVisits</f>
        <v>0</v>
      </c>
      <c r="F402" s="453">
        <f>calcLOB1Clinician12Disc1Emp1GrossProd-calcLOB1Clinician12Disc1Emp1MissVisits</f>
        <v>0</v>
      </c>
      <c r="G402" s="453">
        <f>calcLOB1Clinician12Disc1Emp1GrossProd-calcLOB1Clinician12Disc1Emp1MissVisits</f>
        <v>0</v>
      </c>
      <c r="H402" s="131" t="s">
        <v>1733</v>
      </c>
      <c r="J402" s="131" t="s">
        <v>550</v>
      </c>
      <c r="K402" s="453">
        <f>calcR2LOB1Clinician12Disc1Emp1GrossProd-calcR2LOB1Clinician12Disc1Emp1MissVisits</f>
        <v>0</v>
      </c>
      <c r="L402" s="453">
        <f>calcR2LOB1Clinician12Disc1Emp1GrossProd-calcR2LOB1Clinician12Disc1Emp1MissVisits</f>
        <v>0</v>
      </c>
      <c r="M402" s="453">
        <f>calcR2LOB1Clinician12Disc1Emp1GrossProd-calcR2LOB1Clinician12Disc1Emp1MissVisits</f>
        <v>0</v>
      </c>
      <c r="N402" s="131" t="s">
        <v>6200</v>
      </c>
    </row>
    <row r="403" spans="1:14" ht="12.75" customHeight="1">
      <c r="A403" s="461"/>
      <c r="B403" s="459"/>
      <c r="D403" s="131" t="s">
        <v>550</v>
      </c>
      <c r="E403" s="453">
        <f>calcLOB1Clinician13Disc1Emp1GrossProd-calcLOB1Clinician13Disc1Emp1MissVisits</f>
        <v>103.64523750000001</v>
      </c>
      <c r="F403" s="453">
        <f>calcLOB1Clinician13Disc1Emp1GrossProd-calcLOB1Clinician13Disc1Emp1MissVisits</f>
        <v>231.54010861652344</v>
      </c>
      <c r="G403" s="453">
        <f>calcLOB1Clinician13Disc1Emp1GrossProd-calcLOB1Clinician13Disc1Emp1MissVisits</f>
        <v>122.64418048992188</v>
      </c>
      <c r="H403" s="131" t="s">
        <v>4046</v>
      </c>
      <c r="J403" s="131" t="s">
        <v>550</v>
      </c>
      <c r="K403" s="453">
        <f>calcR2LOB1Clinician13Disc1Emp1GrossProd-calcR2LOB1Clinician13Disc1Emp1MissVisits</f>
        <v>85.732465809051945</v>
      </c>
      <c r="L403" s="453">
        <f>calcR2LOB1Clinician13Disc1Emp1GrossProd-calcR2LOB1Clinician13Disc1Emp1MissVisits</f>
        <v>206.85358797312267</v>
      </c>
      <c r="M403" s="453">
        <f>calcR2LOB1Clinician13Disc1Emp1GrossProd-calcR2LOB1Clinician13Disc1Emp1MissVisits</f>
        <v>103.55149046309946</v>
      </c>
      <c r="N403" s="131" t="s">
        <v>6201</v>
      </c>
    </row>
    <row r="404" spans="1:14" ht="12.75" customHeight="1">
      <c r="A404" s="461"/>
      <c r="B404" s="459"/>
      <c r="C404" s="170">
        <v>1</v>
      </c>
      <c r="D404" s="131" t="s">
        <v>554</v>
      </c>
      <c r="E404" s="453">
        <f>calcLOB1Clinician1Disc2Emp1GrossProd-calcLOB1Clinician1Disc2Emp1MissVisits</f>
        <v>0</v>
      </c>
      <c r="F404" s="453">
        <f>calcLOB1Clinician1Disc2Emp1GrossProd-calcLOB1Clinician1Disc2Emp1MissVisits</f>
        <v>0</v>
      </c>
      <c r="G404" s="453">
        <f>calcLOB1Clinician1Disc2Emp1GrossProd-calcLOB1Clinician1Disc2Emp1MissVisits</f>
        <v>0</v>
      </c>
      <c r="H404" s="131" t="s">
        <v>1734</v>
      </c>
      <c r="J404" s="131" t="s">
        <v>554</v>
      </c>
      <c r="K404" s="453">
        <f>calcR2LOB1Clinician1Disc2Emp1GrossProd-calcR2LOB1Clinician1Disc2Emp1MissVisits</f>
        <v>0</v>
      </c>
      <c r="L404" s="453">
        <f>calcR2LOB1Clinician1Disc2Emp1GrossProd-calcR2LOB1Clinician1Disc2Emp1MissVisits</f>
        <v>0</v>
      </c>
      <c r="M404" s="453">
        <f>calcR2LOB1Clinician1Disc2Emp1GrossProd-calcR2LOB1Clinician1Disc2Emp1MissVisits</f>
        <v>0</v>
      </c>
      <c r="N404" s="131" t="s">
        <v>6202</v>
      </c>
    </row>
    <row r="405" spans="1:14" ht="12.75" customHeight="1">
      <c r="A405" s="461"/>
      <c r="B405" s="459"/>
      <c r="C405" s="170">
        <v>2</v>
      </c>
      <c r="D405" s="131" t="s">
        <v>554</v>
      </c>
      <c r="E405" s="453">
        <f>calcLOB1Clinician2Disc2Emp1GrossProd-calcLOB1Clinician2Disc2Emp1MissVisits</f>
        <v>0</v>
      </c>
      <c r="F405" s="453">
        <f>calcLOB1Clinician2Disc2Emp1GrossProd-calcLOB1Clinician2Disc2Emp1MissVisits</f>
        <v>0</v>
      </c>
      <c r="G405" s="453">
        <f>calcLOB1Clinician2Disc2Emp1GrossProd-calcLOB1Clinician2Disc2Emp1MissVisits</f>
        <v>0</v>
      </c>
      <c r="H405" s="131" t="s">
        <v>1735</v>
      </c>
      <c r="J405" s="131" t="s">
        <v>554</v>
      </c>
      <c r="K405" s="453">
        <f>calcR2LOB1Clinician2Disc2Emp1GrossProd-calcR2LOB1Clinician2Disc2Emp1MissVisits</f>
        <v>0</v>
      </c>
      <c r="L405" s="453">
        <f>calcR2LOB1Clinician2Disc2Emp1GrossProd-calcR2LOB1Clinician2Disc2Emp1MissVisits</f>
        <v>0</v>
      </c>
      <c r="M405" s="453">
        <f>calcR2LOB1Clinician2Disc2Emp1GrossProd-calcR2LOB1Clinician2Disc2Emp1MissVisits</f>
        <v>0</v>
      </c>
      <c r="N405" s="131" t="s">
        <v>6203</v>
      </c>
    </row>
    <row r="406" spans="1:14" ht="12.75" customHeight="1">
      <c r="A406" s="461"/>
      <c r="B406" s="459"/>
      <c r="C406" s="170">
        <v>3</v>
      </c>
      <c r="D406" s="131" t="s">
        <v>554</v>
      </c>
      <c r="E406" s="453">
        <f>calcLOB1Clinician3Disc2Emp1GrossProd-calcLOB1Clinician3Disc2Emp1MissVisits</f>
        <v>0</v>
      </c>
      <c r="F406" s="453">
        <f>calcLOB1Clinician3Disc2Emp1GrossProd-calcLOB1Clinician3Disc2Emp1MissVisits</f>
        <v>0</v>
      </c>
      <c r="G406" s="453">
        <f>calcLOB1Clinician3Disc2Emp1GrossProd-calcLOB1Clinician3Disc2Emp1MissVisits</f>
        <v>0</v>
      </c>
      <c r="H406" s="131" t="s">
        <v>1736</v>
      </c>
      <c r="J406" s="131" t="s">
        <v>554</v>
      </c>
      <c r="K406" s="453">
        <f>calcR2LOB1Clinician3Disc2Emp1GrossProd-calcR2LOB1Clinician3Disc2Emp1MissVisits</f>
        <v>0</v>
      </c>
      <c r="L406" s="453">
        <f>calcR2LOB1Clinician3Disc2Emp1GrossProd-calcR2LOB1Clinician3Disc2Emp1MissVisits</f>
        <v>0</v>
      </c>
      <c r="M406" s="453">
        <f>calcR2LOB1Clinician3Disc2Emp1GrossProd-calcR2LOB1Clinician3Disc2Emp1MissVisits</f>
        <v>0</v>
      </c>
      <c r="N406" s="131" t="s">
        <v>6204</v>
      </c>
    </row>
    <row r="407" spans="1:14" ht="12.75" customHeight="1">
      <c r="A407" s="461"/>
      <c r="B407" s="459"/>
      <c r="C407" s="170">
        <v>4</v>
      </c>
      <c r="D407" s="131" t="s">
        <v>554</v>
      </c>
      <c r="E407" s="453">
        <f>calcLOB1Clinician4Disc2Emp1GrossProd-calcLOB1Clinician4Disc2Emp1MissVisits</f>
        <v>32.67</v>
      </c>
      <c r="F407" s="453">
        <f>calcLOB1Clinician4Disc2Emp1GrossProd-calcLOB1Clinician4Disc2Emp1MissVisits</f>
        <v>32.67</v>
      </c>
      <c r="G407" s="453">
        <f>calcLOB1Clinician4Disc2Emp1GrossProd-calcLOB1Clinician4Disc2Emp1MissVisits</f>
        <v>32.67</v>
      </c>
      <c r="H407" s="131" t="s">
        <v>1737</v>
      </c>
      <c r="J407" s="131" t="s">
        <v>554</v>
      </c>
      <c r="K407" s="453">
        <f>calcR2LOB1Clinician4Disc2Emp1GrossProd-calcR2LOB1Clinician4Disc2Emp1MissVisits</f>
        <v>32.67</v>
      </c>
      <c r="L407" s="453">
        <f>calcR2LOB1Clinician4Disc2Emp1GrossProd-calcR2LOB1Clinician4Disc2Emp1MissVisits</f>
        <v>32.67</v>
      </c>
      <c r="M407" s="453">
        <f>calcR2LOB1Clinician4Disc2Emp1GrossProd-calcR2LOB1Clinician4Disc2Emp1MissVisits</f>
        <v>32.67</v>
      </c>
      <c r="N407" s="131" t="s">
        <v>6205</v>
      </c>
    </row>
    <row r="408" spans="1:14" ht="12.75" customHeight="1">
      <c r="A408" s="461"/>
      <c r="B408" s="459"/>
      <c r="C408" s="170">
        <v>5</v>
      </c>
      <c r="D408" s="131" t="s">
        <v>554</v>
      </c>
      <c r="E408" s="453">
        <f>calcLOB1Clinician5Disc2Emp1GrossProd-calcLOB1Clinician5Disc2Emp1MissVisits</f>
        <v>17</v>
      </c>
      <c r="F408" s="453">
        <f>calcLOB1Clinician5Disc2Emp1GrossProd-calcLOB1Clinician5Disc2Emp1MissVisits</f>
        <v>17</v>
      </c>
      <c r="G408" s="453">
        <f>calcLOB1Clinician5Disc2Emp1GrossProd-calcLOB1Clinician5Disc2Emp1MissVisits</f>
        <v>17</v>
      </c>
      <c r="H408" s="131" t="s">
        <v>1738</v>
      </c>
      <c r="J408" s="131" t="s">
        <v>554</v>
      </c>
      <c r="K408" s="453">
        <f>calcR2LOB1Clinician5Disc2Emp1GrossProd-calcR2LOB1Clinician5Disc2Emp1MissVisits</f>
        <v>17</v>
      </c>
      <c r="L408" s="453">
        <f>calcR2LOB1Clinician5Disc2Emp1GrossProd-calcR2LOB1Clinician5Disc2Emp1MissVisits</f>
        <v>17</v>
      </c>
      <c r="M408" s="453">
        <f>calcR2LOB1Clinician5Disc2Emp1GrossProd-calcR2LOB1Clinician5Disc2Emp1MissVisits</f>
        <v>17</v>
      </c>
      <c r="N408" s="131" t="s">
        <v>6206</v>
      </c>
    </row>
    <row r="409" spans="1:14" ht="12.75" customHeight="1">
      <c r="A409" s="461"/>
      <c r="B409" s="459"/>
      <c r="C409" s="170">
        <v>6</v>
      </c>
      <c r="D409" s="131" t="s">
        <v>554</v>
      </c>
      <c r="E409" s="453">
        <f>calcLOB1Clinician6Disc2Emp1GrossProd-calcLOB1Clinician6Disc2Emp1MissVisits</f>
        <v>0</v>
      </c>
      <c r="F409" s="453">
        <f>calcLOB1Clinician6Disc2Emp1GrossProd-calcLOB1Clinician6Disc2Emp1MissVisits</f>
        <v>0</v>
      </c>
      <c r="G409" s="453">
        <f>calcLOB1Clinician6Disc2Emp1GrossProd-calcLOB1Clinician6Disc2Emp1MissVisits</f>
        <v>0</v>
      </c>
      <c r="H409" s="131" t="s">
        <v>1739</v>
      </c>
      <c r="J409" s="131" t="s">
        <v>554</v>
      </c>
      <c r="K409" s="453">
        <f>calcR2LOB1Clinician6Disc2Emp1GrossProd-calcR2LOB1Clinician6Disc2Emp1MissVisits</f>
        <v>0</v>
      </c>
      <c r="L409" s="453">
        <f>calcR2LOB1Clinician6Disc2Emp1GrossProd-calcR2LOB1Clinician6Disc2Emp1MissVisits</f>
        <v>0</v>
      </c>
      <c r="M409" s="453">
        <f>calcR2LOB1Clinician6Disc2Emp1GrossProd-calcR2LOB1Clinician6Disc2Emp1MissVisits</f>
        <v>0</v>
      </c>
      <c r="N409" s="131" t="s">
        <v>6207</v>
      </c>
    </row>
    <row r="410" spans="1:14" ht="12.75" customHeight="1">
      <c r="A410" s="461"/>
      <c r="B410" s="459"/>
      <c r="C410" s="170">
        <v>7</v>
      </c>
      <c r="D410" s="131" t="s">
        <v>554</v>
      </c>
      <c r="E410" s="453">
        <f>calcLOB1Clinician7Disc2Emp1GrossProd-calcLOB1Clinician7Disc2Emp1MissVisits</f>
        <v>0</v>
      </c>
      <c r="F410" s="453">
        <f>calcLOB1Clinician7Disc2Emp1GrossProd-calcLOB1Clinician7Disc2Emp1MissVisits</f>
        <v>0</v>
      </c>
      <c r="G410" s="453">
        <f>calcLOB1Clinician7Disc2Emp1GrossProd-calcLOB1Clinician7Disc2Emp1MissVisits</f>
        <v>0</v>
      </c>
      <c r="H410" s="131" t="s">
        <v>1740</v>
      </c>
      <c r="J410" s="131" t="s">
        <v>554</v>
      </c>
      <c r="K410" s="453">
        <f>calcR2LOB1Clinician7Disc2Emp1GrossProd-calcR2LOB1Clinician7Disc2Emp1MissVisits</f>
        <v>0</v>
      </c>
      <c r="L410" s="453">
        <f>calcR2LOB1Clinician7Disc2Emp1GrossProd-calcR2LOB1Clinician7Disc2Emp1MissVisits</f>
        <v>0</v>
      </c>
      <c r="M410" s="453">
        <f>calcR2LOB1Clinician7Disc2Emp1GrossProd-calcR2LOB1Clinician7Disc2Emp1MissVisits</f>
        <v>0</v>
      </c>
      <c r="N410" s="131" t="s">
        <v>6208</v>
      </c>
    </row>
    <row r="411" spans="1:14" ht="12.75" customHeight="1">
      <c r="A411" s="461"/>
      <c r="B411" s="459"/>
      <c r="C411" s="170">
        <v>8</v>
      </c>
      <c r="D411" s="131" t="s">
        <v>554</v>
      </c>
      <c r="E411" s="453">
        <f>calcLOB1Clinician8Disc2Emp1GrossProd-calcLOB1Clinician8Disc2Emp1MissVisits</f>
        <v>0</v>
      </c>
      <c r="F411" s="453">
        <f>calcLOB1Clinician8Disc2Emp1GrossProd-calcLOB1Clinician8Disc2Emp1MissVisits</f>
        <v>0</v>
      </c>
      <c r="G411" s="453">
        <f>calcLOB1Clinician8Disc2Emp1GrossProd-calcLOB1Clinician8Disc2Emp1MissVisits</f>
        <v>0</v>
      </c>
      <c r="H411" s="131" t="s">
        <v>1741</v>
      </c>
      <c r="J411" s="131" t="s">
        <v>554</v>
      </c>
      <c r="K411" s="453">
        <f>calcR2LOB1Clinician8Disc2Emp1GrossProd-calcR2LOB1Clinician8Disc2Emp1MissVisits</f>
        <v>0</v>
      </c>
      <c r="L411" s="453">
        <f>calcR2LOB1Clinician8Disc2Emp1GrossProd-calcR2LOB1Clinician8Disc2Emp1MissVisits</f>
        <v>0</v>
      </c>
      <c r="M411" s="453">
        <f>calcR2LOB1Clinician8Disc2Emp1GrossProd-calcR2LOB1Clinician8Disc2Emp1MissVisits</f>
        <v>0</v>
      </c>
      <c r="N411" s="131" t="s">
        <v>6209</v>
      </c>
    </row>
    <row r="412" spans="1:14" ht="12.75" customHeight="1">
      <c r="A412" s="461"/>
      <c r="B412" s="459"/>
      <c r="C412" s="170">
        <v>9</v>
      </c>
      <c r="D412" s="131" t="s">
        <v>554</v>
      </c>
      <c r="E412" s="453">
        <f>calcLOB1Clinician9Disc2Emp1GrossProd-calcLOB1Clinician9Disc2Emp1MissVisits</f>
        <v>0</v>
      </c>
      <c r="F412" s="453">
        <f>calcLOB1Clinician9Disc2Emp1GrossProd-calcLOB1Clinician9Disc2Emp1MissVisits</f>
        <v>0</v>
      </c>
      <c r="G412" s="453">
        <f>calcLOB1Clinician9Disc2Emp1GrossProd-calcLOB1Clinician9Disc2Emp1MissVisits</f>
        <v>0</v>
      </c>
      <c r="H412" s="131" t="s">
        <v>1742</v>
      </c>
      <c r="J412" s="131" t="s">
        <v>554</v>
      </c>
      <c r="K412" s="453">
        <f>calcR2LOB1Clinician9Disc2Emp1GrossProd-calcR2LOB1Clinician9Disc2Emp1MissVisits</f>
        <v>0</v>
      </c>
      <c r="L412" s="453">
        <f>calcR2LOB1Clinician9Disc2Emp1GrossProd-calcR2LOB1Clinician9Disc2Emp1MissVisits</f>
        <v>0</v>
      </c>
      <c r="M412" s="453">
        <f>calcR2LOB1Clinician9Disc2Emp1GrossProd-calcR2LOB1Clinician9Disc2Emp1MissVisits</f>
        <v>0</v>
      </c>
      <c r="N412" s="131" t="s">
        <v>6210</v>
      </c>
    </row>
    <row r="413" spans="1:14" ht="12.75" customHeight="1">
      <c r="A413" s="461"/>
      <c r="B413" s="459"/>
      <c r="C413" s="170">
        <v>10</v>
      </c>
      <c r="D413" s="131" t="s">
        <v>554</v>
      </c>
      <c r="E413" s="453">
        <f>calcLOB1Clinician10Disc2Emp1GrossProd-calcLOB1Clinician10Disc2Emp1MissVisits</f>
        <v>0</v>
      </c>
      <c r="F413" s="453">
        <f>calcLOB1Clinician10Disc2Emp1GrossProd-calcLOB1Clinician10Disc2Emp1MissVisits</f>
        <v>0</v>
      </c>
      <c r="G413" s="453">
        <f>calcLOB1Clinician10Disc2Emp1GrossProd-calcLOB1Clinician10Disc2Emp1MissVisits</f>
        <v>0</v>
      </c>
      <c r="H413" s="131" t="s">
        <v>1743</v>
      </c>
      <c r="J413" s="131" t="s">
        <v>554</v>
      </c>
      <c r="K413" s="453">
        <f>calcR2LOB1Clinician10Disc2Emp1GrossProd-calcR2LOB1Clinician10Disc2Emp1MissVisits</f>
        <v>0</v>
      </c>
      <c r="L413" s="453">
        <f>calcR2LOB1Clinician10Disc2Emp1GrossProd-calcR2LOB1Clinician10Disc2Emp1MissVisits</f>
        <v>0</v>
      </c>
      <c r="M413" s="453">
        <f>calcR2LOB1Clinician10Disc2Emp1GrossProd-calcR2LOB1Clinician10Disc2Emp1MissVisits</f>
        <v>0</v>
      </c>
      <c r="N413" s="131" t="s">
        <v>6211</v>
      </c>
    </row>
    <row r="414" spans="1:14" ht="12.75" customHeight="1">
      <c r="A414" s="461"/>
      <c r="B414" s="459"/>
      <c r="C414" s="170">
        <v>11</v>
      </c>
      <c r="D414" s="131" t="s">
        <v>554</v>
      </c>
      <c r="E414" s="453">
        <f>calcLOB1Clinician11Disc2Emp1GrossProd-calcLOB1Clinician11Disc2Emp1MissVisits</f>
        <v>0</v>
      </c>
      <c r="F414" s="453">
        <f>calcLOB1Clinician11Disc2Emp1GrossProd-calcLOB1Clinician11Disc2Emp1MissVisits</f>
        <v>0</v>
      </c>
      <c r="G414" s="453">
        <f>calcLOB1Clinician11Disc2Emp1GrossProd-calcLOB1Clinician11Disc2Emp1MissVisits</f>
        <v>0</v>
      </c>
      <c r="H414" s="131" t="s">
        <v>1744</v>
      </c>
      <c r="J414" s="131" t="s">
        <v>554</v>
      </c>
      <c r="K414" s="453">
        <f>calcR2LOB1Clinician11Disc2Emp1GrossProd-calcR2LOB1Clinician11Disc2Emp1MissVisits</f>
        <v>0</v>
      </c>
      <c r="L414" s="453">
        <f>calcR2LOB1Clinician11Disc2Emp1GrossProd-calcR2LOB1Clinician11Disc2Emp1MissVisits</f>
        <v>0</v>
      </c>
      <c r="M414" s="453">
        <f>calcR2LOB1Clinician11Disc2Emp1GrossProd-calcR2LOB1Clinician11Disc2Emp1MissVisits</f>
        <v>0</v>
      </c>
      <c r="N414" s="131" t="s">
        <v>6212</v>
      </c>
    </row>
    <row r="415" spans="1:14" ht="12.75" customHeight="1">
      <c r="A415" s="461"/>
      <c r="B415" s="459"/>
      <c r="C415" s="170">
        <v>12</v>
      </c>
      <c r="D415" s="131" t="s">
        <v>554</v>
      </c>
      <c r="E415" s="453">
        <f>calcLOB1Clinician12Disc2Emp1GrossProd-calcLOB1Clinician12Disc2Emp1MissVisits</f>
        <v>0</v>
      </c>
      <c r="F415" s="453">
        <f>calcLOB1Clinician12Disc2Emp1GrossProd-calcLOB1Clinician12Disc2Emp1MissVisits</f>
        <v>0</v>
      </c>
      <c r="G415" s="453">
        <f>calcLOB1Clinician12Disc2Emp1GrossProd-calcLOB1Clinician12Disc2Emp1MissVisits</f>
        <v>0</v>
      </c>
      <c r="H415" s="131" t="s">
        <v>1745</v>
      </c>
      <c r="J415" s="131" t="s">
        <v>554</v>
      </c>
      <c r="K415" s="453">
        <f>calcR2LOB1Clinician12Disc2Emp1GrossProd-calcR2LOB1Clinician12Disc2Emp1MissVisits</f>
        <v>0</v>
      </c>
      <c r="L415" s="453">
        <f>calcR2LOB1Clinician12Disc2Emp1GrossProd-calcR2LOB1Clinician12Disc2Emp1MissVisits</f>
        <v>0</v>
      </c>
      <c r="M415" s="453">
        <f>calcR2LOB1Clinician12Disc2Emp1GrossProd-calcR2LOB1Clinician12Disc2Emp1MissVisits</f>
        <v>0</v>
      </c>
      <c r="N415" s="131" t="s">
        <v>6213</v>
      </c>
    </row>
    <row r="416" spans="1:14" ht="12.75" customHeight="1">
      <c r="A416" s="461"/>
      <c r="B416" s="459"/>
      <c r="D416" s="131" t="s">
        <v>554</v>
      </c>
      <c r="E416" s="453">
        <f>calcLOB1Clinician14Disc2Emp1GrossProd-calcLOB1Clinician14Disc2Emp1MissVisits</f>
        <v>165.75012187499999</v>
      </c>
      <c r="F416" s="453">
        <f>calcLOB1Clinician14Disc2Emp1GrossProd-calcLOB1Clinician14Disc2Emp1MissVisits</f>
        <v>259.72976515208336</v>
      </c>
      <c r="G416" s="453">
        <f>calcLOB1Clinician14Disc2Emp1GrossProd-calcLOB1Clinician14Disc2Emp1MissVisits</f>
        <v>135.15780461718748</v>
      </c>
      <c r="H416" s="131" t="s">
        <v>4047</v>
      </c>
      <c r="J416" s="131" t="s">
        <v>554</v>
      </c>
      <c r="K416" s="453">
        <f>calcR2LOB1Clinician14Disc2Emp1GrossProd-calcR2LOB1Clinician14Disc2Emp1MissVisits</f>
        <v>137.10390365495212</v>
      </c>
      <c r="L416" s="453">
        <f>calcR2LOB1Clinician14Disc2Emp1GrossProd-calcR2LOB1Clinician14Disc2Emp1MissVisits</f>
        <v>257.77109434605438</v>
      </c>
      <c r="M416" s="453">
        <f>calcR2LOB1Clinician14Disc2Emp1GrossProd-calcR2LOB1Clinician14Disc2Emp1MissVisits</f>
        <v>126.8040084925978</v>
      </c>
      <c r="N416" s="131" t="s">
        <v>6214</v>
      </c>
    </row>
    <row r="417" spans="1:14" ht="1.5" customHeight="1">
      <c r="A417" s="461"/>
      <c r="B417" s="459"/>
      <c r="D417" s="449"/>
      <c r="E417" s="450"/>
      <c r="F417" s="450"/>
      <c r="G417" s="450"/>
      <c r="H417" s="131"/>
      <c r="J417" s="449"/>
      <c r="K417" s="450"/>
      <c r="L417" s="450"/>
      <c r="M417" s="450"/>
      <c r="N417" s="131"/>
    </row>
    <row r="418" spans="1:14" ht="12.75" customHeight="1">
      <c r="A418" s="461"/>
      <c r="B418" s="459"/>
      <c r="D418" s="131" t="s">
        <v>2632</v>
      </c>
      <c r="E418" s="448">
        <f>SUM(E391:E417)</f>
        <v>375.515359375</v>
      </c>
      <c r="F418" s="448">
        <f t="shared" ref="F418:G418" si="59">SUM(F391:F417)</f>
        <v>597.38987376860678</v>
      </c>
      <c r="G418" s="448">
        <f t="shared" si="59"/>
        <v>363.92198510710938</v>
      </c>
      <c r="H418" s="131" t="s">
        <v>2630</v>
      </c>
      <c r="J418" s="131" t="s">
        <v>2632</v>
      </c>
      <c r="K418" s="448">
        <f>SUM(K391:K417)</f>
        <v>328.95636946400407</v>
      </c>
      <c r="L418" s="448">
        <f t="shared" ref="L418:M418" si="60">SUM(L391:L417)</f>
        <v>570.74468231917706</v>
      </c>
      <c r="M418" s="448">
        <f t="shared" si="60"/>
        <v>336.47549895569728</v>
      </c>
      <c r="N418" s="131" t="s">
        <v>6215</v>
      </c>
    </row>
    <row r="419" spans="1:14" ht="12.75" customHeight="1">
      <c r="A419" s="461"/>
      <c r="B419" s="459"/>
      <c r="D419" s="131" t="s">
        <v>5051</v>
      </c>
      <c r="E419" s="451">
        <f>1-calcLOB1Clinician2Disc1Emp1NetProd/calcLOB1Emp1NetProduction</f>
        <v>0.94247905056147208</v>
      </c>
      <c r="F419" s="451">
        <f>1-calcLOB1Clinician2Disc1Emp1NetProd/calcLOB1Emp1NetProduction</f>
        <v>0.96384270817357953</v>
      </c>
      <c r="G419" s="451">
        <f>1-calcLOB1Clinician2Disc1Emp1NetProd/calcLOB1Emp1NetProduction</f>
        <v>0.94064661964942098</v>
      </c>
      <c r="H419" s="131" t="s">
        <v>5052</v>
      </c>
      <c r="J419" s="131" t="s">
        <v>5051</v>
      </c>
      <c r="K419" s="451">
        <f>1-calcR2LOB1Clinician2Disc1Emp1NetProd/calcR2LOB1Emp1NetProduction</f>
        <v>0.93433779672606831</v>
      </c>
      <c r="L419" s="451">
        <f>1-calcR2LOB1Clinician2Disc1Emp1NetProd/calcR2LOB1Emp1NetProduction</f>
        <v>0.96215470652791701</v>
      </c>
      <c r="M419" s="451">
        <f>1-calcR2LOB1Clinician2Disc1Emp1NetProd/calcR2LOB1Emp1NetProduction</f>
        <v>0.93580513271534216</v>
      </c>
      <c r="N419" s="131" t="s">
        <v>6216</v>
      </c>
    </row>
    <row r="420" spans="1:14" ht="12.75" customHeight="1">
      <c r="A420" s="461"/>
      <c r="B420" s="449"/>
      <c r="D420" s="131" t="str">
        <f>"Total "&amp; nmDisc1&amp; " Visits"</f>
        <v>Total RN Visits</v>
      </c>
      <c r="E420" s="448">
        <f>SUM(E391:E402)</f>
        <v>56.449999999999996</v>
      </c>
      <c r="F420" s="448">
        <f t="shared" ref="F420:G420" si="61">SUM(F391:F402)</f>
        <v>56.449999999999996</v>
      </c>
      <c r="G420" s="448">
        <f t="shared" si="61"/>
        <v>56.449999999999996</v>
      </c>
      <c r="H420" s="131" t="s">
        <v>4909</v>
      </c>
      <c r="J420" s="131" t="str">
        <f>"Total "&amp; nmDisc1&amp; " Visits"</f>
        <v>Total RN Visits</v>
      </c>
      <c r="K420" s="448">
        <f>SUM(K391:K402)</f>
        <v>56.449999999999996</v>
      </c>
      <c r="L420" s="448">
        <f t="shared" ref="L420:M420" si="62">SUM(L391:L402)</f>
        <v>56.449999999999996</v>
      </c>
      <c r="M420" s="448">
        <f t="shared" si="62"/>
        <v>56.449999999999996</v>
      </c>
      <c r="N420" s="131" t="s">
        <v>6217</v>
      </c>
    </row>
    <row r="421" spans="1:14" ht="12.75" customHeight="1">
      <c r="A421" s="461"/>
      <c r="B421" s="449"/>
      <c r="D421" s="131" t="str">
        <f>"Total "&amp; nmDisc2 &amp; " Visits"</f>
        <v>Total LPN Visits</v>
      </c>
      <c r="E421" s="448">
        <f>SUM(E404:E415)</f>
        <v>49.67</v>
      </c>
      <c r="F421" s="448">
        <f t="shared" ref="F421:G421" si="63">SUM(F404:F415)</f>
        <v>49.67</v>
      </c>
      <c r="G421" s="448">
        <f t="shared" si="63"/>
        <v>49.67</v>
      </c>
      <c r="H421" s="131" t="s">
        <v>4910</v>
      </c>
      <c r="J421" s="131" t="str">
        <f>"Total "&amp; nmDisc2 &amp; " Visits"</f>
        <v>Total LPN Visits</v>
      </c>
      <c r="K421" s="448">
        <f>SUM(K404:K415)</f>
        <v>49.67</v>
      </c>
      <c r="L421" s="448">
        <f t="shared" ref="L421:M421" si="64">SUM(L404:L415)</f>
        <v>49.67</v>
      </c>
      <c r="M421" s="448">
        <f t="shared" si="64"/>
        <v>49.67</v>
      </c>
      <c r="N421" s="131" t="s">
        <v>6218</v>
      </c>
    </row>
    <row r="422" spans="1:14" ht="12.75" customHeight="1">
      <c r="A422" s="461"/>
      <c r="B422" s="449"/>
      <c r="D422" s="131" t="str">
        <f>"Total "&amp; nmDisc1&amp; " Visits"</f>
        <v>Total RN Visits</v>
      </c>
      <c r="E422" s="480">
        <f>calcLOB1Disc1TotalVisits/(calcLOB1Emp1NetProduction-calcLOB1Clinician13Disc1Emp1NetProd-calcLOB1Clinician14Disc2Emp1NetProd)</f>
        <v>0.53194496796079904</v>
      </c>
      <c r="F422" s="480">
        <f>calcLOB1Disc1TotalVisits/(calcLOB1Emp1NetProduction-calcLOB1Clinician13Disc1Emp1NetProd-calcLOB1Clinician14Disc2Emp1NetProd)</f>
        <v>0.53194496796079904</v>
      </c>
      <c r="G422" s="480">
        <f>calcLOB1Disc1TotalVisits/(calcLOB1Emp1NetProduction-calcLOB1Clinician13Disc1Emp1NetProd-calcLOB1Clinician14Disc2Emp1NetProd)</f>
        <v>0.53194496796079904</v>
      </c>
      <c r="H422" s="131" t="s">
        <v>4916</v>
      </c>
      <c r="J422" s="131" t="str">
        <f>"Total "&amp; nmDisc1&amp; " Visits"</f>
        <v>Total RN Visits</v>
      </c>
      <c r="K422" s="480">
        <f>calcR2LOB1Disc1TotalVisits/(calcR2LOB1Emp1NetProduction-calcR2LOB1Clinician13Disc1Emp1NetProd-calcR2LOB1Clinician14Disc2Emp1NetProd)</f>
        <v>0.53194496796079904</v>
      </c>
      <c r="L422" s="480">
        <f>calcR2LOB1Disc1TotalVisits/(calcR2LOB1Emp1NetProduction-calcR2LOB1Clinician13Disc1Emp1NetProd-calcR2LOB1Clinician14Disc2Emp1NetProd)</f>
        <v>0.53194496796079904</v>
      </c>
      <c r="M422" s="480">
        <f>calcR2LOB1Disc1TotalVisits/(calcR2LOB1Emp1NetProduction-calcR2LOB1Clinician13Disc1Emp1NetProd-calcR2LOB1Clinician14Disc2Emp1NetProd)</f>
        <v>0.53194496796079904</v>
      </c>
      <c r="N422" s="131" t="s">
        <v>6219</v>
      </c>
    </row>
    <row r="423" spans="1:14" ht="12.75" customHeight="1">
      <c r="A423" s="461"/>
      <c r="B423" s="449"/>
      <c r="D423" s="131" t="str">
        <f>"Total "&amp; nmDisc2 &amp; " Visits"</f>
        <v>Total LPN Visits</v>
      </c>
      <c r="E423" s="480">
        <f>calcLOB1Disc2TotalVisits/(calcLOB1Emp1NetProduction-calcLOB1Clinician13Disc1Emp1NetProd-calcLOB1Clinician14Disc2Emp1NetProd)</f>
        <v>0.4680550320392009</v>
      </c>
      <c r="F423" s="480">
        <f>calcLOB1Disc2TotalVisits/(calcLOB1Emp1NetProduction-calcLOB1Clinician13Disc1Emp1NetProd-calcLOB1Clinician14Disc2Emp1NetProd)</f>
        <v>0.4680550320392009</v>
      </c>
      <c r="G423" s="480">
        <f>calcLOB1Disc2TotalVisits/(calcLOB1Emp1NetProduction-calcLOB1Clinician13Disc1Emp1NetProd-calcLOB1Clinician14Disc2Emp1NetProd)</f>
        <v>0.4680550320392009</v>
      </c>
      <c r="H423" s="131" t="s">
        <v>4917</v>
      </c>
      <c r="J423" s="131" t="str">
        <f>"Total "&amp; nmDisc2 &amp; " Visits"</f>
        <v>Total LPN Visits</v>
      </c>
      <c r="K423" s="480">
        <f>calcR2LOB1Disc2TotalVisits/(calcR2LOB1Emp1NetProduction-calcR2LOB1Clinician13Disc1Emp1NetProd-calcR2LOB1Clinician14Disc2Emp1NetProd)</f>
        <v>0.4680550320392009</v>
      </c>
      <c r="L423" s="480">
        <f>calcR2LOB1Disc2TotalVisits/(calcR2LOB1Emp1NetProduction-calcR2LOB1Clinician13Disc1Emp1NetProd-calcR2LOB1Clinician14Disc2Emp1NetProd)</f>
        <v>0.4680550320392009</v>
      </c>
      <c r="M423" s="480">
        <f>calcR2LOB1Disc2TotalVisits/(calcR2LOB1Emp1NetProduction-calcR2LOB1Clinician13Disc1Emp1NetProd-calcR2LOB1Clinician14Disc2Emp1NetProd)</f>
        <v>0.4680550320392009</v>
      </c>
      <c r="N423" s="131" t="s">
        <v>6220</v>
      </c>
    </row>
    <row r="424" spans="1:14" ht="12.75" customHeight="1">
      <c r="A424" s="461"/>
      <c r="B424" s="449"/>
      <c r="D424" s="131" t="s">
        <v>5061</v>
      </c>
      <c r="E424" s="480">
        <f>MAX(0,53%-calcLOB1Disc2TotalVisitsPerc)</f>
        <v>6.1944967960799124E-2</v>
      </c>
      <c r="F424" s="480">
        <f>MAX(0,53%-calcLOB1Disc2TotalVisitsPerc)</f>
        <v>6.1944967960799124E-2</v>
      </c>
      <c r="G424" s="480">
        <f>MAX(0,53%-calcLOB1Disc2TotalVisitsPerc)</f>
        <v>6.1944967960799124E-2</v>
      </c>
      <c r="H424" s="131" t="s">
        <v>5062</v>
      </c>
      <c r="J424" s="131" t="s">
        <v>5061</v>
      </c>
      <c r="K424" s="480">
        <f>MAX(0,53%-calcR2LOB1Disc2TotalVisitsPerc)</f>
        <v>6.1944967960799124E-2</v>
      </c>
      <c r="L424" s="480">
        <f>MAX(0,53%-calcR2LOB1Disc2TotalVisitsPerc)</f>
        <v>6.1944967960799124E-2</v>
      </c>
      <c r="M424" s="480">
        <f>MAX(0,53%-calcR2LOB1Disc2TotalVisitsPerc)</f>
        <v>6.1944967960799124E-2</v>
      </c>
      <c r="N424" s="131" t="s">
        <v>6221</v>
      </c>
    </row>
    <row r="425" spans="1:14" ht="12.75" customHeight="1">
      <c r="A425" s="461"/>
      <c r="B425" s="459"/>
      <c r="C425" s="131" t="s">
        <v>1618</v>
      </c>
    </row>
    <row r="426" spans="1:14" ht="12.75" customHeight="1">
      <c r="A426" s="461"/>
      <c r="B426" s="459"/>
      <c r="C426" s="170">
        <v>1</v>
      </c>
      <c r="D426" s="131" t="s">
        <v>550</v>
      </c>
      <c r="E426" s="453">
        <f>MAX(0,calcLOB1Clinician1Disc1Emp1GrossProd-30)</f>
        <v>0</v>
      </c>
      <c r="F426" s="453">
        <f>MAX(0,calcLOB1Clinician1Disc1Emp1GrossProd-30)</f>
        <v>0</v>
      </c>
      <c r="G426" s="453">
        <f>MAX(0,calcLOB1Clinician1Disc1Emp1GrossProd-30)</f>
        <v>0</v>
      </c>
      <c r="H426" s="131" t="s">
        <v>1746</v>
      </c>
      <c r="J426" s="131" t="s">
        <v>550</v>
      </c>
      <c r="K426" s="453">
        <f>MAX(0,calcR2LOB1Clinician1Disc1Emp1GrossProd-30)</f>
        <v>0</v>
      </c>
      <c r="L426" s="453">
        <f>MAX(0,calcR2LOB1Clinician1Disc1Emp1GrossProd-30)</f>
        <v>0</v>
      </c>
      <c r="M426" s="453">
        <f>MAX(0,calcR2LOB1Clinician1Disc1Emp1GrossProd-30)</f>
        <v>0</v>
      </c>
      <c r="N426" s="131" t="s">
        <v>6222</v>
      </c>
    </row>
    <row r="427" spans="1:14" ht="12.75" customHeight="1">
      <c r="A427" s="461"/>
      <c r="B427" s="459"/>
      <c r="C427" s="170">
        <v>2</v>
      </c>
      <c r="D427" s="131" t="s">
        <v>550</v>
      </c>
      <c r="E427" s="453">
        <f>MAX(0,calcLOB1Clinician2Disc1Emp1GrossProd-30)</f>
        <v>0</v>
      </c>
      <c r="F427" s="453">
        <f>MAX(0,calcLOB1Clinician2Disc1Emp1GrossProd-30)</f>
        <v>0</v>
      </c>
      <c r="G427" s="453">
        <f>MAX(0,calcLOB1Clinician2Disc1Emp1GrossProd-30)</f>
        <v>0</v>
      </c>
      <c r="H427" s="131" t="s">
        <v>1747</v>
      </c>
      <c r="J427" s="131" t="s">
        <v>550</v>
      </c>
      <c r="K427" s="453">
        <f>MAX(0,calcR2LOB1Clinician2Disc1Emp1GrossProd-30)</f>
        <v>0</v>
      </c>
      <c r="L427" s="453">
        <f>MAX(0,calcR2LOB1Clinician2Disc1Emp1GrossProd-30)</f>
        <v>0</v>
      </c>
      <c r="M427" s="453">
        <f>MAX(0,calcR2LOB1Clinician2Disc1Emp1GrossProd-30)</f>
        <v>0</v>
      </c>
      <c r="N427" s="131" t="s">
        <v>6223</v>
      </c>
    </row>
    <row r="428" spans="1:14" ht="12.75" customHeight="1">
      <c r="A428" s="461"/>
      <c r="B428" s="459"/>
      <c r="C428" s="170">
        <v>3</v>
      </c>
      <c r="D428" s="131" t="s">
        <v>550</v>
      </c>
      <c r="E428" s="724">
        <f>MAX(0,calcLOB1Clinician3Disc1Emp1GrossProd-20)</f>
        <v>0</v>
      </c>
      <c r="F428" s="724">
        <f>MAX(0,calcLOB1Clinician3Disc1Emp1GrossProd-20)</f>
        <v>0</v>
      </c>
      <c r="G428" s="724">
        <f>MAX(0,calcLOB1Clinician3Disc1Emp1GrossProd-20)</f>
        <v>0</v>
      </c>
      <c r="H428" s="131" t="s">
        <v>1748</v>
      </c>
      <c r="J428" s="131" t="s">
        <v>550</v>
      </c>
      <c r="K428" s="724">
        <f>MAX(0,calcR2LOB1Clinician3Disc1Emp1GrossProd-20)</f>
        <v>0</v>
      </c>
      <c r="L428" s="724">
        <f>MAX(0,calcR2LOB1Clinician3Disc1Emp1GrossProd-20)</f>
        <v>0</v>
      </c>
      <c r="M428" s="724">
        <f>MAX(0,calcR2LOB1Clinician3Disc1Emp1GrossProd-20)</f>
        <v>0</v>
      </c>
      <c r="N428" s="131" t="s">
        <v>6224</v>
      </c>
    </row>
    <row r="429" spans="1:14" ht="12.75" customHeight="1">
      <c r="A429" s="461"/>
      <c r="B429" s="459"/>
      <c r="C429" s="170">
        <v>4</v>
      </c>
      <c r="D429" s="131" t="s">
        <v>550</v>
      </c>
      <c r="E429" s="453">
        <f>MAX(0,calcLOB1Clinician4Disc1Emp1GrossProd-30)</f>
        <v>0</v>
      </c>
      <c r="F429" s="453">
        <f>MAX(0,calcLOB1Clinician4Disc1Emp1GrossProd-30)</f>
        <v>0</v>
      </c>
      <c r="G429" s="453">
        <f>MAX(0,calcLOB1Clinician4Disc1Emp1GrossProd-30)</f>
        <v>0</v>
      </c>
      <c r="H429" s="131" t="s">
        <v>1749</v>
      </c>
      <c r="J429" s="131" t="s">
        <v>550</v>
      </c>
      <c r="K429" s="453">
        <f>MAX(0,calcR2LOB1Clinician4Disc1Emp1GrossProd-30)</f>
        <v>0</v>
      </c>
      <c r="L429" s="453">
        <f>MAX(0,calcR2LOB1Clinician4Disc1Emp1GrossProd-30)</f>
        <v>0</v>
      </c>
      <c r="M429" s="453">
        <f>MAX(0,calcR2LOB1Clinician4Disc1Emp1GrossProd-30)</f>
        <v>0</v>
      </c>
      <c r="N429" s="131" t="s">
        <v>6225</v>
      </c>
    </row>
    <row r="430" spans="1:14" ht="12.75" customHeight="1">
      <c r="A430" s="461"/>
      <c r="B430" s="459"/>
      <c r="C430" s="170">
        <v>5</v>
      </c>
      <c r="D430" s="131" t="s">
        <v>550</v>
      </c>
      <c r="E430" s="453">
        <f>MAX(0,calcLOB1Clinician5Disc1Emp1GrossProd-30)</f>
        <v>0</v>
      </c>
      <c r="F430" s="453">
        <f>MAX(0,calcLOB1Clinician5Disc1Emp1GrossProd-30)</f>
        <v>0</v>
      </c>
      <c r="G430" s="453">
        <f>MAX(0,calcLOB1Clinician5Disc1Emp1GrossProd-30)</f>
        <v>0</v>
      </c>
      <c r="H430" s="131" t="s">
        <v>1750</v>
      </c>
      <c r="J430" s="131" t="s">
        <v>550</v>
      </c>
      <c r="K430" s="453">
        <f>MAX(0,calcR2LOB1Clinician5Disc1Emp1GrossProd-30)</f>
        <v>0</v>
      </c>
      <c r="L430" s="453">
        <f>MAX(0,calcR2LOB1Clinician5Disc1Emp1GrossProd-30)</f>
        <v>0</v>
      </c>
      <c r="M430" s="453">
        <f>MAX(0,calcR2LOB1Clinician5Disc1Emp1GrossProd-30)</f>
        <v>0</v>
      </c>
      <c r="N430" s="131" t="s">
        <v>6226</v>
      </c>
    </row>
    <row r="431" spans="1:14" ht="12.75" customHeight="1">
      <c r="A431" s="461"/>
      <c r="B431" s="459"/>
      <c r="C431" s="170">
        <v>6</v>
      </c>
      <c r="D431" s="131" t="s">
        <v>550</v>
      </c>
      <c r="E431" s="453">
        <f>MAX(0,calcLOB1Clinician6Disc1Emp1GrossProd-30)</f>
        <v>0</v>
      </c>
      <c r="F431" s="453">
        <f>MAX(0,calcLOB1Clinician6Disc1Emp1GrossProd-30)</f>
        <v>0</v>
      </c>
      <c r="G431" s="453">
        <f>MAX(0,calcLOB1Clinician6Disc1Emp1GrossProd-30)</f>
        <v>0</v>
      </c>
      <c r="H431" s="131" t="s">
        <v>1751</v>
      </c>
      <c r="J431" s="131" t="s">
        <v>550</v>
      </c>
      <c r="K431" s="453">
        <f>MAX(0,calcR2LOB1Clinician6Disc1Emp1GrossProd-30)</f>
        <v>0</v>
      </c>
      <c r="L431" s="453">
        <f>MAX(0,calcR2LOB1Clinician6Disc1Emp1GrossProd-30)</f>
        <v>0</v>
      </c>
      <c r="M431" s="453">
        <f>MAX(0,calcR2LOB1Clinician6Disc1Emp1GrossProd-30)</f>
        <v>0</v>
      </c>
      <c r="N431" s="131" t="s">
        <v>6227</v>
      </c>
    </row>
    <row r="432" spans="1:14" ht="12.75" customHeight="1">
      <c r="A432" s="461"/>
      <c r="B432" s="459"/>
      <c r="C432" s="170">
        <v>7</v>
      </c>
      <c r="D432" s="131" t="s">
        <v>550</v>
      </c>
      <c r="E432" s="453">
        <f>MAX(0,calcLOB1Clinician7Disc1Emp1GrossProd-30)</f>
        <v>0</v>
      </c>
      <c r="F432" s="453">
        <f>MAX(0,calcLOB1Clinician7Disc1Emp1GrossProd-30)</f>
        <v>0</v>
      </c>
      <c r="G432" s="453">
        <f>MAX(0,calcLOB1Clinician7Disc1Emp1GrossProd-30)</f>
        <v>0</v>
      </c>
      <c r="H432" s="131" t="s">
        <v>1752</v>
      </c>
      <c r="J432" s="131" t="s">
        <v>550</v>
      </c>
      <c r="K432" s="453">
        <f>MAX(0,calcR2LOB1Clinician7Disc1Emp1GrossProd-30)</f>
        <v>0</v>
      </c>
      <c r="L432" s="453">
        <f>MAX(0,calcR2LOB1Clinician7Disc1Emp1GrossProd-30)</f>
        <v>0</v>
      </c>
      <c r="M432" s="453">
        <f>MAX(0,calcR2LOB1Clinician7Disc1Emp1GrossProd-30)</f>
        <v>0</v>
      </c>
      <c r="N432" s="131" t="s">
        <v>6228</v>
      </c>
    </row>
    <row r="433" spans="1:14" ht="12.75" customHeight="1">
      <c r="A433" s="461"/>
      <c r="B433" s="459"/>
      <c r="C433" s="170">
        <v>8</v>
      </c>
      <c r="D433" s="131" t="s">
        <v>550</v>
      </c>
      <c r="E433" s="453">
        <f>MAX(0,calcLOB1Clinician8Disc1Emp1GrossProd-30)</f>
        <v>0</v>
      </c>
      <c r="F433" s="453">
        <f>MAX(0,calcLOB1Clinician8Disc1Emp1GrossProd-30)</f>
        <v>0</v>
      </c>
      <c r="G433" s="453">
        <f>MAX(0,calcLOB1Clinician8Disc1Emp1GrossProd-30)</f>
        <v>0</v>
      </c>
      <c r="H433" s="131" t="s">
        <v>1753</v>
      </c>
      <c r="J433" s="131" t="s">
        <v>550</v>
      </c>
      <c r="K433" s="453">
        <f>MAX(0,calcR2LOB1Clinician8Disc1Emp1GrossProd-30)</f>
        <v>0</v>
      </c>
      <c r="L433" s="453">
        <f>MAX(0,calcR2LOB1Clinician8Disc1Emp1GrossProd-30)</f>
        <v>0</v>
      </c>
      <c r="M433" s="453">
        <f>MAX(0,calcR2LOB1Clinician8Disc1Emp1GrossProd-30)</f>
        <v>0</v>
      </c>
      <c r="N433" s="131" t="s">
        <v>6229</v>
      </c>
    </row>
    <row r="434" spans="1:14" ht="12.75" customHeight="1">
      <c r="A434" s="461"/>
      <c r="B434" s="459"/>
      <c r="C434" s="170">
        <v>9</v>
      </c>
      <c r="D434" s="131" t="s">
        <v>550</v>
      </c>
      <c r="E434" s="453">
        <f>MAX(0,calcLOB1Clinician9Disc1Emp1GrossProd-30)</f>
        <v>0</v>
      </c>
      <c r="F434" s="453">
        <f>MAX(0,calcLOB1Clinician9Disc1Emp1GrossProd-30)</f>
        <v>0</v>
      </c>
      <c r="G434" s="453">
        <f>MAX(0,calcLOB1Clinician9Disc1Emp1GrossProd-30)</f>
        <v>0</v>
      </c>
      <c r="H434" s="131" t="s">
        <v>1754</v>
      </c>
      <c r="J434" s="131" t="s">
        <v>550</v>
      </c>
      <c r="K434" s="453">
        <f>MAX(0,calcR2LOB1Clinician9Disc1Emp1GrossProd-30)</f>
        <v>0</v>
      </c>
      <c r="L434" s="453">
        <f>MAX(0,calcR2LOB1Clinician9Disc1Emp1GrossProd-30)</f>
        <v>0</v>
      </c>
      <c r="M434" s="453">
        <f>MAX(0,calcR2LOB1Clinician9Disc1Emp1GrossProd-30)</f>
        <v>0</v>
      </c>
      <c r="N434" s="131" t="s">
        <v>6230</v>
      </c>
    </row>
    <row r="435" spans="1:14" ht="12.75" customHeight="1">
      <c r="A435" s="461"/>
      <c r="B435" s="459"/>
      <c r="C435" s="170">
        <v>10</v>
      </c>
      <c r="D435" s="131" t="s">
        <v>550</v>
      </c>
      <c r="E435" s="453">
        <f>MAX(0,calcLOB1Clinician10Disc1Emp1GrossProd-30)</f>
        <v>0</v>
      </c>
      <c r="F435" s="453">
        <f>MAX(0,calcLOB1Clinician10Disc1Emp1GrossProd-30)</f>
        <v>0</v>
      </c>
      <c r="G435" s="453">
        <f>MAX(0,calcLOB1Clinician10Disc1Emp1GrossProd-30)</f>
        <v>0</v>
      </c>
      <c r="H435" s="131" t="s">
        <v>1755</v>
      </c>
      <c r="J435" s="131" t="s">
        <v>550</v>
      </c>
      <c r="K435" s="453">
        <f>MAX(0,calcR2LOB1Clinician10Disc1Emp1GrossProd-30)</f>
        <v>0</v>
      </c>
      <c r="L435" s="453">
        <f>MAX(0,calcR2LOB1Clinician10Disc1Emp1GrossProd-30)</f>
        <v>0</v>
      </c>
      <c r="M435" s="453">
        <f>MAX(0,calcR2LOB1Clinician10Disc1Emp1GrossProd-30)</f>
        <v>0</v>
      </c>
      <c r="N435" s="131" t="s">
        <v>6231</v>
      </c>
    </row>
    <row r="436" spans="1:14" ht="12.75" customHeight="1">
      <c r="A436" s="461"/>
      <c r="B436" s="459"/>
      <c r="C436" s="170">
        <v>11</v>
      </c>
      <c r="D436" s="131" t="s">
        <v>550</v>
      </c>
      <c r="E436" s="453">
        <f>MAX(0,calcLOB1Clinician11Disc1Emp1GrossProd-30)</f>
        <v>0</v>
      </c>
      <c r="F436" s="453">
        <f>MAX(0,calcLOB1Clinician11Disc1Emp1GrossProd-30)</f>
        <v>0</v>
      </c>
      <c r="G436" s="453">
        <f>MAX(0,calcLOB1Clinician11Disc1Emp1GrossProd-30)</f>
        <v>0</v>
      </c>
      <c r="H436" s="131" t="s">
        <v>1756</v>
      </c>
      <c r="J436" s="131" t="s">
        <v>550</v>
      </c>
      <c r="K436" s="453">
        <f>MAX(0,calcR2LOB1Clinician11Disc1Emp1GrossProd-30)</f>
        <v>0</v>
      </c>
      <c r="L436" s="453">
        <f>MAX(0,calcR2LOB1Clinician11Disc1Emp1GrossProd-30)</f>
        <v>0</v>
      </c>
      <c r="M436" s="453">
        <f>MAX(0,calcR2LOB1Clinician11Disc1Emp1GrossProd-30)</f>
        <v>0</v>
      </c>
      <c r="N436" s="131" t="s">
        <v>6232</v>
      </c>
    </row>
    <row r="437" spans="1:14" ht="12.75" customHeight="1">
      <c r="A437" s="461"/>
      <c r="B437" s="459"/>
      <c r="C437" s="170">
        <v>12</v>
      </c>
      <c r="D437" s="131" t="s">
        <v>550</v>
      </c>
      <c r="E437" s="453">
        <f>MAX(0,calcLOB1Clinician12Disc1Emp1GrossProd-30)</f>
        <v>0</v>
      </c>
      <c r="F437" s="453">
        <f>MAX(0,calcLOB1Clinician12Disc1Emp1GrossProd-30)</f>
        <v>0</v>
      </c>
      <c r="G437" s="453">
        <f>MAX(0,calcLOB1Clinician12Disc1Emp1GrossProd-30)</f>
        <v>0</v>
      </c>
      <c r="H437" s="131" t="s">
        <v>1757</v>
      </c>
      <c r="J437" s="131" t="s">
        <v>550</v>
      </c>
      <c r="K437" s="453">
        <f>MAX(0,calcR2LOB1Clinician12Disc1Emp1GrossProd-30)</f>
        <v>0</v>
      </c>
      <c r="L437" s="453">
        <f>MAX(0,calcR2LOB1Clinician12Disc1Emp1GrossProd-30)</f>
        <v>0</v>
      </c>
      <c r="M437" s="453">
        <f>MAX(0,calcR2LOB1Clinician12Disc1Emp1GrossProd-30)</f>
        <v>0</v>
      </c>
      <c r="N437" s="131" t="s">
        <v>6233</v>
      </c>
    </row>
    <row r="438" spans="1:14" ht="12.75" customHeight="1">
      <c r="A438" s="461"/>
      <c r="B438" s="459"/>
      <c r="C438" s="170">
        <v>1</v>
      </c>
      <c r="D438" s="131" t="s">
        <v>554</v>
      </c>
      <c r="E438" s="453">
        <f>MAX(0,calcLOB1Clinician1Disc2Emp1GrossProd-34)</f>
        <v>0</v>
      </c>
      <c r="F438" s="453">
        <f>MAX(0,calcLOB1Clinician1Disc2Emp1GrossProd-34)</f>
        <v>0</v>
      </c>
      <c r="G438" s="453">
        <f>MAX(0,calcLOB1Clinician1Disc2Emp1GrossProd-34)</f>
        <v>0</v>
      </c>
      <c r="H438" s="131" t="s">
        <v>1758</v>
      </c>
      <c r="J438" s="131" t="s">
        <v>554</v>
      </c>
      <c r="K438" s="453">
        <f>MAX(0,calcR2LOB1Clinician1Disc2Emp1GrossProd-34)</f>
        <v>0</v>
      </c>
      <c r="L438" s="453">
        <f>MAX(0,calcR2LOB1Clinician1Disc2Emp1GrossProd-34)</f>
        <v>0</v>
      </c>
      <c r="M438" s="453">
        <f>MAX(0,calcR2LOB1Clinician1Disc2Emp1GrossProd-34)</f>
        <v>0</v>
      </c>
      <c r="N438" s="131" t="s">
        <v>6234</v>
      </c>
    </row>
    <row r="439" spans="1:14" ht="12.75" customHeight="1">
      <c r="A439" s="461"/>
      <c r="B439" s="459"/>
      <c r="C439" s="170">
        <v>2</v>
      </c>
      <c r="D439" s="131" t="s">
        <v>554</v>
      </c>
      <c r="E439" s="453">
        <f>MAX(0,calcLOB1Clinician2Disc2Emp1GrossProd-34)</f>
        <v>0</v>
      </c>
      <c r="F439" s="453">
        <f>MAX(0,calcLOB1Clinician2Disc2Emp1GrossProd-34)</f>
        <v>0</v>
      </c>
      <c r="G439" s="453">
        <f>MAX(0,calcLOB1Clinician2Disc2Emp1GrossProd-34)</f>
        <v>0</v>
      </c>
      <c r="H439" s="131" t="s">
        <v>1759</v>
      </c>
      <c r="J439" s="131" t="s">
        <v>554</v>
      </c>
      <c r="K439" s="453">
        <f>MAX(0,calcR2LOB1Clinician2Disc2Emp1GrossProd-34)</f>
        <v>0</v>
      </c>
      <c r="L439" s="453">
        <f>MAX(0,calcR2LOB1Clinician2Disc2Emp1GrossProd-34)</f>
        <v>0</v>
      </c>
      <c r="M439" s="453">
        <f>MAX(0,calcR2LOB1Clinician2Disc2Emp1GrossProd-34)</f>
        <v>0</v>
      </c>
      <c r="N439" s="131" t="s">
        <v>6235</v>
      </c>
    </row>
    <row r="440" spans="1:14" ht="12.75" customHeight="1">
      <c r="A440" s="461"/>
      <c r="B440" s="459"/>
      <c r="C440" s="170">
        <v>3</v>
      </c>
      <c r="D440" s="131" t="s">
        <v>554</v>
      </c>
      <c r="E440" s="453">
        <f>MAX(0,calcLOB1Clinician3Disc2Emp1GrossProd-34)</f>
        <v>0</v>
      </c>
      <c r="F440" s="453">
        <f>MAX(0,calcLOB1Clinician3Disc2Emp1GrossProd-34)</f>
        <v>0</v>
      </c>
      <c r="G440" s="453">
        <f>MAX(0,calcLOB1Clinician3Disc2Emp1GrossProd-34)</f>
        <v>0</v>
      </c>
      <c r="H440" s="131" t="s">
        <v>1760</v>
      </c>
      <c r="J440" s="131" t="s">
        <v>554</v>
      </c>
      <c r="K440" s="453">
        <f>MAX(0,calcR2LOB1Clinician3Disc2Emp1GrossProd-34)</f>
        <v>0</v>
      </c>
      <c r="L440" s="453">
        <f>MAX(0,calcR2LOB1Clinician3Disc2Emp1GrossProd-34)</f>
        <v>0</v>
      </c>
      <c r="M440" s="453">
        <f>MAX(0,calcR2LOB1Clinician3Disc2Emp1GrossProd-34)</f>
        <v>0</v>
      </c>
      <c r="N440" s="131" t="s">
        <v>6236</v>
      </c>
    </row>
    <row r="441" spans="1:14" ht="12.75" customHeight="1">
      <c r="A441" s="461"/>
      <c r="B441" s="459"/>
      <c r="C441" s="170">
        <v>4</v>
      </c>
      <c r="D441" s="131" t="s">
        <v>554</v>
      </c>
      <c r="E441" s="453">
        <f>MAX(0,calcLOB1Clinician4Disc2Emp1GrossProd-34)</f>
        <v>0</v>
      </c>
      <c r="F441" s="453">
        <f>MAX(0,calcLOB1Clinician4Disc2Emp1GrossProd-34)</f>
        <v>0</v>
      </c>
      <c r="G441" s="453">
        <f>MAX(0,calcLOB1Clinician4Disc2Emp1GrossProd-34)</f>
        <v>0</v>
      </c>
      <c r="H441" s="131" t="s">
        <v>1761</v>
      </c>
      <c r="J441" s="131" t="s">
        <v>554</v>
      </c>
      <c r="K441" s="453">
        <f>MAX(0,calcR2LOB1Clinician4Disc2Emp1GrossProd-34)</f>
        <v>0</v>
      </c>
      <c r="L441" s="453">
        <f>MAX(0,calcR2LOB1Clinician4Disc2Emp1GrossProd-34)</f>
        <v>0</v>
      </c>
      <c r="M441" s="453">
        <f>MAX(0,calcR2LOB1Clinician4Disc2Emp1GrossProd-34)</f>
        <v>0</v>
      </c>
      <c r="N441" s="131" t="s">
        <v>6237</v>
      </c>
    </row>
    <row r="442" spans="1:14" ht="12.75" customHeight="1">
      <c r="A442" s="461"/>
      <c r="B442" s="459"/>
      <c r="C442" s="170">
        <v>5</v>
      </c>
      <c r="D442" s="131" t="s">
        <v>554</v>
      </c>
      <c r="E442" s="453">
        <f>MAX(0,calcLOB1Clinician5Disc2Emp1GrossProd-34)</f>
        <v>0</v>
      </c>
      <c r="F442" s="453">
        <f>MAX(0,calcLOB1Clinician5Disc2Emp1GrossProd-34)</f>
        <v>0</v>
      </c>
      <c r="G442" s="453">
        <f>MAX(0,calcLOB1Clinician5Disc2Emp1GrossProd-34)</f>
        <v>0</v>
      </c>
      <c r="H442" s="131" t="s">
        <v>1762</v>
      </c>
      <c r="J442" s="131" t="s">
        <v>554</v>
      </c>
      <c r="K442" s="453">
        <f>MAX(0,calcR2LOB1Clinician5Disc2Emp1GrossProd-34)</f>
        <v>0</v>
      </c>
      <c r="L442" s="453">
        <f>MAX(0,calcR2LOB1Clinician5Disc2Emp1GrossProd-34)</f>
        <v>0</v>
      </c>
      <c r="M442" s="453">
        <f>MAX(0,calcR2LOB1Clinician5Disc2Emp1GrossProd-34)</f>
        <v>0</v>
      </c>
      <c r="N442" s="131" t="s">
        <v>6238</v>
      </c>
    </row>
    <row r="443" spans="1:14" ht="12.75" customHeight="1">
      <c r="A443" s="461"/>
      <c r="B443" s="459"/>
      <c r="C443" s="170">
        <v>6</v>
      </c>
      <c r="D443" s="131" t="s">
        <v>554</v>
      </c>
      <c r="E443" s="453">
        <f>MAX(0,calcLOB1Clinician6Disc2Emp1GrossProd-34)</f>
        <v>0</v>
      </c>
      <c r="F443" s="453">
        <f>MAX(0,calcLOB1Clinician6Disc2Emp1GrossProd-34)</f>
        <v>0</v>
      </c>
      <c r="G443" s="453">
        <f>MAX(0,calcLOB1Clinician6Disc2Emp1GrossProd-34)</f>
        <v>0</v>
      </c>
      <c r="H443" s="131" t="s">
        <v>1763</v>
      </c>
      <c r="J443" s="131" t="s">
        <v>554</v>
      </c>
      <c r="K443" s="453">
        <f>MAX(0,calcR2LOB1Clinician6Disc2Emp1GrossProd-34)</f>
        <v>0</v>
      </c>
      <c r="L443" s="453">
        <f>MAX(0,calcR2LOB1Clinician6Disc2Emp1GrossProd-34)</f>
        <v>0</v>
      </c>
      <c r="M443" s="453">
        <f>MAX(0,calcR2LOB1Clinician6Disc2Emp1GrossProd-34)</f>
        <v>0</v>
      </c>
      <c r="N443" s="131" t="s">
        <v>6239</v>
      </c>
    </row>
    <row r="444" spans="1:14" ht="12.75" customHeight="1">
      <c r="A444" s="461"/>
      <c r="B444" s="459"/>
      <c r="C444" s="170">
        <v>7</v>
      </c>
      <c r="D444" s="131" t="s">
        <v>554</v>
      </c>
      <c r="E444" s="453">
        <f>MAX(0,calcLOB1Clinician7Disc2Emp1GrossProd-34)</f>
        <v>0</v>
      </c>
      <c r="F444" s="453">
        <f>MAX(0,calcLOB1Clinician7Disc2Emp1GrossProd-34)</f>
        <v>0</v>
      </c>
      <c r="G444" s="453">
        <f>MAX(0,calcLOB1Clinician7Disc2Emp1GrossProd-34)</f>
        <v>0</v>
      </c>
      <c r="H444" s="131" t="s">
        <v>1764</v>
      </c>
      <c r="J444" s="131" t="s">
        <v>554</v>
      </c>
      <c r="K444" s="453">
        <f>MAX(0,calcR2LOB1Clinician7Disc2Emp1GrossProd-34)</f>
        <v>0</v>
      </c>
      <c r="L444" s="453">
        <f>MAX(0,calcR2LOB1Clinician7Disc2Emp1GrossProd-34)</f>
        <v>0</v>
      </c>
      <c r="M444" s="453">
        <f>MAX(0,calcR2LOB1Clinician7Disc2Emp1GrossProd-34)</f>
        <v>0</v>
      </c>
      <c r="N444" s="131" t="s">
        <v>6240</v>
      </c>
    </row>
    <row r="445" spans="1:14" ht="12.75" customHeight="1">
      <c r="A445" s="461"/>
      <c r="B445" s="459"/>
      <c r="C445" s="170">
        <v>8</v>
      </c>
      <c r="D445" s="131" t="s">
        <v>554</v>
      </c>
      <c r="E445" s="453">
        <f>MAX(0,calcLOB1Clinician8Disc2Emp1GrossProd-34)</f>
        <v>0</v>
      </c>
      <c r="F445" s="453">
        <f>MAX(0,calcLOB1Clinician8Disc2Emp1GrossProd-34)</f>
        <v>0</v>
      </c>
      <c r="G445" s="453">
        <f>MAX(0,calcLOB1Clinician8Disc2Emp1GrossProd-34)</f>
        <v>0</v>
      </c>
      <c r="H445" s="131" t="s">
        <v>1765</v>
      </c>
      <c r="J445" s="131" t="s">
        <v>554</v>
      </c>
      <c r="K445" s="453">
        <f>MAX(0,calcR2LOB1Clinician8Disc2Emp1GrossProd-34)</f>
        <v>0</v>
      </c>
      <c r="L445" s="453">
        <f>MAX(0,calcR2LOB1Clinician8Disc2Emp1GrossProd-34)</f>
        <v>0</v>
      </c>
      <c r="M445" s="453">
        <f>MAX(0,calcR2LOB1Clinician8Disc2Emp1GrossProd-34)</f>
        <v>0</v>
      </c>
      <c r="N445" s="131" t="s">
        <v>6241</v>
      </c>
    </row>
    <row r="446" spans="1:14" ht="12.75" customHeight="1">
      <c r="A446" s="461"/>
      <c r="B446" s="459"/>
      <c r="C446" s="170">
        <v>9</v>
      </c>
      <c r="D446" s="131" t="s">
        <v>554</v>
      </c>
      <c r="E446" s="453">
        <f>MAX(0,calcLOB1Clinician9Disc2Emp1GrossProd-34)</f>
        <v>0</v>
      </c>
      <c r="F446" s="453">
        <f>MAX(0,calcLOB1Clinician9Disc2Emp1GrossProd-34)</f>
        <v>0</v>
      </c>
      <c r="G446" s="453">
        <f>MAX(0,calcLOB1Clinician9Disc2Emp1GrossProd-34)</f>
        <v>0</v>
      </c>
      <c r="H446" s="131" t="s">
        <v>1766</v>
      </c>
      <c r="J446" s="131" t="s">
        <v>554</v>
      </c>
      <c r="K446" s="453">
        <f>MAX(0,calcR2LOB1Clinician9Disc2Emp1GrossProd-34)</f>
        <v>0</v>
      </c>
      <c r="L446" s="453">
        <f>MAX(0,calcR2LOB1Clinician9Disc2Emp1GrossProd-34)</f>
        <v>0</v>
      </c>
      <c r="M446" s="453">
        <f>MAX(0,calcR2LOB1Clinician9Disc2Emp1GrossProd-34)</f>
        <v>0</v>
      </c>
      <c r="N446" s="131" t="s">
        <v>6242</v>
      </c>
    </row>
    <row r="447" spans="1:14" ht="12.75" customHeight="1">
      <c r="A447" s="461"/>
      <c r="B447" s="459"/>
      <c r="C447" s="170">
        <v>10</v>
      </c>
      <c r="D447" s="131" t="s">
        <v>554</v>
      </c>
      <c r="E447" s="453">
        <f>MAX(0,calcLOB1Clinician10Disc2Emp1GrossProd-34)</f>
        <v>0</v>
      </c>
      <c r="F447" s="453">
        <f>MAX(0,calcLOB1Clinician10Disc2Emp1GrossProd-34)</f>
        <v>0</v>
      </c>
      <c r="G447" s="453">
        <f>MAX(0,calcLOB1Clinician10Disc2Emp1GrossProd-34)</f>
        <v>0</v>
      </c>
      <c r="H447" s="131" t="s">
        <v>1767</v>
      </c>
      <c r="J447" s="131" t="s">
        <v>554</v>
      </c>
      <c r="K447" s="453">
        <f>MAX(0,calcR2LOB1Clinician10Disc2Emp1GrossProd-34)</f>
        <v>0</v>
      </c>
      <c r="L447" s="453">
        <f>MAX(0,calcR2LOB1Clinician10Disc2Emp1GrossProd-34)</f>
        <v>0</v>
      </c>
      <c r="M447" s="453">
        <f>MAX(0,calcR2LOB1Clinician10Disc2Emp1GrossProd-34)</f>
        <v>0</v>
      </c>
      <c r="N447" s="131" t="s">
        <v>6243</v>
      </c>
    </row>
    <row r="448" spans="1:14" ht="12.75" customHeight="1">
      <c r="A448" s="461"/>
      <c r="B448" s="459"/>
      <c r="C448" s="170">
        <v>11</v>
      </c>
      <c r="D448" s="131" t="s">
        <v>554</v>
      </c>
      <c r="E448" s="453">
        <f>MAX(0,calcLOB1Clinician11Disc2Emp1GrossProd-34)</f>
        <v>0</v>
      </c>
      <c r="F448" s="453">
        <f>MAX(0,calcLOB1Clinician11Disc2Emp1GrossProd-34)</f>
        <v>0</v>
      </c>
      <c r="G448" s="453">
        <f>MAX(0,calcLOB1Clinician11Disc2Emp1GrossProd-34)</f>
        <v>0</v>
      </c>
      <c r="H448" s="131" t="s">
        <v>1768</v>
      </c>
      <c r="J448" s="131" t="s">
        <v>554</v>
      </c>
      <c r="K448" s="453">
        <f>MAX(0,calcR2LOB1Clinician11Disc2Emp1GrossProd-34)</f>
        <v>0</v>
      </c>
      <c r="L448" s="453">
        <f>MAX(0,calcR2LOB1Clinician11Disc2Emp1GrossProd-34)</f>
        <v>0</v>
      </c>
      <c r="M448" s="453">
        <f>MAX(0,calcR2LOB1Clinician11Disc2Emp1GrossProd-34)</f>
        <v>0</v>
      </c>
      <c r="N448" s="131" t="s">
        <v>6244</v>
      </c>
    </row>
    <row r="449" spans="1:14" ht="12.75" customHeight="1">
      <c r="A449" s="461"/>
      <c r="B449" s="459"/>
      <c r="C449" s="170">
        <v>12</v>
      </c>
      <c r="D449" s="131" t="s">
        <v>554</v>
      </c>
      <c r="E449" s="453">
        <f>MAX(0,calcLOB1Clinician12Disc2Emp1GrossProd-34)</f>
        <v>0</v>
      </c>
      <c r="F449" s="453">
        <f>MAX(0,calcLOB1Clinician12Disc2Emp1GrossProd-34)</f>
        <v>0</v>
      </c>
      <c r="G449" s="453">
        <f>MAX(0,calcLOB1Clinician12Disc2Emp1GrossProd-34)</f>
        <v>0</v>
      </c>
      <c r="H449" s="131" t="s">
        <v>1769</v>
      </c>
      <c r="J449" s="131" t="s">
        <v>554</v>
      </c>
      <c r="K449" s="453">
        <f>MAX(0,calcR2LOB1Clinician12Disc2Emp1GrossProd-34)</f>
        <v>0</v>
      </c>
      <c r="L449" s="453">
        <f>MAX(0,calcR2LOB1Clinician12Disc2Emp1GrossProd-34)</f>
        <v>0</v>
      </c>
      <c r="M449" s="453">
        <f>MAX(0,calcR2LOB1Clinician12Disc2Emp1GrossProd-34)</f>
        <v>0</v>
      </c>
      <c r="N449" s="131" t="s">
        <v>6245</v>
      </c>
    </row>
    <row r="450" spans="1:14" ht="12.75" customHeight="1">
      <c r="A450" s="461"/>
      <c r="B450" s="459"/>
      <c r="D450" s="131"/>
      <c r="E450" s="453"/>
      <c r="F450" s="453"/>
      <c r="G450" s="453"/>
      <c r="J450" s="131"/>
      <c r="K450" s="453"/>
      <c r="L450" s="453"/>
      <c r="M450" s="453"/>
    </row>
    <row r="451" spans="1:14" ht="12.75" customHeight="1">
      <c r="A451" s="461"/>
      <c r="B451" s="458"/>
      <c r="C451" s="131" t="s">
        <v>1586</v>
      </c>
    </row>
    <row r="452" spans="1:14" ht="12.75" customHeight="1">
      <c r="A452" s="461"/>
      <c r="B452" s="458"/>
      <c r="C452" s="170">
        <v>1</v>
      </c>
      <c r="D452" s="131" t="s">
        <v>555</v>
      </c>
      <c r="E452" s="559">
        <f>IF(VLOOKUP($C452,obal!$D$71:$G$82,E$3,FALSE)=$D452,obalLOB1AvgProdClinician1,0)</f>
        <v>0</v>
      </c>
      <c r="F452" s="559">
        <f>IF(VLOOKUP($C452,obal!$D$71:$G$82,F$3,FALSE)=$D452,obalLOB1AvgProdClinician1,0)</f>
        <v>0</v>
      </c>
      <c r="G452" s="559">
        <f>IF(VLOOKUP($C452,obal!$D$71:$G$82,G$3,FALSE)=$D452,obalLOB1AvgProdClinician1,0)</f>
        <v>0</v>
      </c>
      <c r="H452" s="131" t="s">
        <v>1770</v>
      </c>
      <c r="J452" s="131" t="s">
        <v>555</v>
      </c>
      <c r="K452" s="560">
        <f>IF(VLOOKUP($C452,obal!$J$71:$M$86,K$3,FALSE)=$D452,obalR2LOB1AvgProdClinician1,0)</f>
        <v>0</v>
      </c>
      <c r="L452" s="560">
        <f>IF(VLOOKUP($C452,obal!$J$71:$M$86,L$3,FALSE)=$D452,obalR2LOB1AvgProdClinician1,0)</f>
        <v>0</v>
      </c>
      <c r="M452" s="560">
        <f>IF(VLOOKUP($C452,obal!$J$71:$M$86,M$3,FALSE)=$D452,obalR2LOB1AvgProdClinician1,0)</f>
        <v>0</v>
      </c>
      <c r="N452" s="131" t="s">
        <v>6246</v>
      </c>
    </row>
    <row r="453" spans="1:14" ht="12.75" customHeight="1">
      <c r="A453" s="461"/>
      <c r="B453" s="458"/>
      <c r="C453" s="170">
        <v>2</v>
      </c>
      <c r="D453" s="131" t="s">
        <v>555</v>
      </c>
      <c r="E453" s="559">
        <f>IF(VLOOKUP($C453,obal!$D$71:$G$82,E$3,FALSE)=$D453,obalLOB1AvgProdClinician2,0)</f>
        <v>0</v>
      </c>
      <c r="F453" s="559">
        <f>IF(VLOOKUP($C453,obal!$D$71:$G$82,F$3,FALSE)=$D453,obalLOB1AvgProdClinician2,0)</f>
        <v>0</v>
      </c>
      <c r="G453" s="559">
        <f>IF(VLOOKUP($C453,obal!$D$71:$G$82,G$3,FALSE)=$D453,obalLOB1AvgProdClinician2,0)</f>
        <v>0</v>
      </c>
      <c r="H453" s="131" t="s">
        <v>1771</v>
      </c>
      <c r="J453" s="131" t="s">
        <v>555</v>
      </c>
      <c r="K453" s="560">
        <f>IF(VLOOKUP($C453,obal!$J$71:$M$86,K$3,FALSE)=$D453,obalR2LOB1AvgProdClinician2,0)</f>
        <v>0</v>
      </c>
      <c r="L453" s="560">
        <f>IF(VLOOKUP($C453,obal!$J$71:$M$86,L$3,FALSE)=$D453,obalR2LOB1AvgProdClinician2,0)</f>
        <v>0</v>
      </c>
      <c r="M453" s="560">
        <f>IF(VLOOKUP($C453,obal!$J$71:$M$86,M$3,FALSE)=$D453,obalR2LOB1AvgProdClinician2,0)</f>
        <v>0</v>
      </c>
      <c r="N453" s="131" t="s">
        <v>6247</v>
      </c>
    </row>
    <row r="454" spans="1:14" ht="12.75" customHeight="1">
      <c r="A454" s="461"/>
      <c r="B454" s="458"/>
      <c r="C454" s="170">
        <v>3</v>
      </c>
      <c r="D454" s="131" t="s">
        <v>555</v>
      </c>
      <c r="E454" s="559">
        <f>IF(VLOOKUP($C454,obal!$D$71:$G$82,E$3,FALSE)=$D454,obalLOB1AvgProdClinician3,0)</f>
        <v>0</v>
      </c>
      <c r="F454" s="559">
        <f>IF(VLOOKUP($C454,obal!$D$71:$G$82,F$3,FALSE)=$D454,obalLOB1AvgProdClinician3,0)</f>
        <v>0</v>
      </c>
      <c r="G454" s="559">
        <f>IF(VLOOKUP($C454,obal!$D$71:$G$82,G$3,FALSE)=$D454,obalLOB1AvgProdClinician3,0)</f>
        <v>0</v>
      </c>
      <c r="H454" s="131" t="s">
        <v>1772</v>
      </c>
      <c r="J454" s="131" t="s">
        <v>555</v>
      </c>
      <c r="K454" s="560">
        <f>IF(VLOOKUP($C454,obal!$J$71:$M$86,K$3,FALSE)=$D454,obalR2LOB1AvgProdClinician3,0)</f>
        <v>0</v>
      </c>
      <c r="L454" s="560">
        <f>IF(VLOOKUP($C454,obal!$J$71:$M$86,L$3,FALSE)=$D454,obalR2LOB1AvgProdClinician3,0)</f>
        <v>0</v>
      </c>
      <c r="M454" s="560">
        <f>IF(VLOOKUP($C454,obal!$J$71:$M$86,M$3,FALSE)=$D454,obalR2LOB1AvgProdClinician3,0)</f>
        <v>0</v>
      </c>
      <c r="N454" s="131" t="s">
        <v>6248</v>
      </c>
    </row>
    <row r="455" spans="1:14" ht="12.75" customHeight="1">
      <c r="A455" s="461"/>
      <c r="B455" s="458"/>
      <c r="C455" s="170">
        <v>4</v>
      </c>
      <c r="D455" s="131" t="s">
        <v>555</v>
      </c>
      <c r="E455" s="559">
        <f>IF(VLOOKUP($C455,obal!$D$71:$G$82,E$3,FALSE)=$D455,obalLOB1AvgProdClinician4,0)</f>
        <v>0</v>
      </c>
      <c r="F455" s="559">
        <f>IF(VLOOKUP($C455,obal!$D$71:$G$82,F$3,FALSE)=$D455,obalLOB1AvgProdClinician4,0)</f>
        <v>0</v>
      </c>
      <c r="G455" s="559">
        <f>IF(VLOOKUP($C455,obal!$D$71:$G$82,G$3,FALSE)=$D455,obalLOB1AvgProdClinician4,0)</f>
        <v>0</v>
      </c>
      <c r="H455" s="131" t="s">
        <v>1773</v>
      </c>
      <c r="J455" s="131" t="s">
        <v>555</v>
      </c>
      <c r="K455" s="560">
        <f>IF(VLOOKUP($C455,obal!$J$71:$M$86,K$3,FALSE)=$D455,obalR2LOB1AvgProdClinician4,0)</f>
        <v>0</v>
      </c>
      <c r="L455" s="560">
        <f>IF(VLOOKUP($C455,obal!$J$71:$M$86,L$3,FALSE)=$D455,obalR2LOB1AvgProdClinician4,0)</f>
        <v>0</v>
      </c>
      <c r="M455" s="560">
        <f>IF(VLOOKUP($C455,obal!$J$71:$M$86,M$3,FALSE)=$D455,obalR2LOB1AvgProdClinician4,0)</f>
        <v>0</v>
      </c>
      <c r="N455" s="131" t="s">
        <v>6249</v>
      </c>
    </row>
    <row r="456" spans="1:14" ht="12.75" customHeight="1">
      <c r="A456" s="461"/>
      <c r="B456" s="458"/>
      <c r="C456" s="170">
        <v>5</v>
      </c>
      <c r="D456" s="131" t="s">
        <v>555</v>
      </c>
      <c r="E456" s="559">
        <f>IF(VLOOKUP($C456,obal!$D$71:$G$82,E$3,FALSE)=$D456,obalLOB1AvgProdClinician5,0)</f>
        <v>0</v>
      </c>
      <c r="F456" s="559">
        <f>IF(VLOOKUP($C456,obal!$D$71:$G$82,F$3,FALSE)=$D456,obalLOB1AvgProdClinician5,0)</f>
        <v>0</v>
      </c>
      <c r="G456" s="559">
        <f>IF(VLOOKUP($C456,obal!$D$71:$G$82,G$3,FALSE)=$D456,obalLOB1AvgProdClinician5,0)</f>
        <v>0</v>
      </c>
      <c r="H456" s="131" t="s">
        <v>1774</v>
      </c>
      <c r="J456" s="131" t="s">
        <v>555</v>
      </c>
      <c r="K456" s="560">
        <f>IF(VLOOKUP($C456,obal!$J$71:$M$86,K$3,FALSE)=$D456,obalR2LOB1AvgProdClinician5,0)</f>
        <v>0</v>
      </c>
      <c r="L456" s="560">
        <f>IF(VLOOKUP($C456,obal!$J$71:$M$86,L$3,FALSE)=$D456,obalR2LOB1AvgProdClinician5,0)</f>
        <v>0</v>
      </c>
      <c r="M456" s="560">
        <f>IF(VLOOKUP($C456,obal!$J$71:$M$86,M$3,FALSE)=$D456,obalR2LOB1AvgProdClinician5,0)</f>
        <v>0</v>
      </c>
      <c r="N456" s="131" t="s">
        <v>6250</v>
      </c>
    </row>
    <row r="457" spans="1:14" ht="12.75" customHeight="1">
      <c r="A457" s="461"/>
      <c r="B457" s="458"/>
      <c r="C457" s="170">
        <v>6</v>
      </c>
      <c r="D457" s="131" t="s">
        <v>555</v>
      </c>
      <c r="E457" s="559">
        <f>IF(VLOOKUP($C457,obal!$D$71:$G$82,E$3,FALSE)=$D457,obalLOB1AvgProdClinician6,0)</f>
        <v>0</v>
      </c>
      <c r="F457" s="559">
        <f>IF(VLOOKUP($C457,obal!$D$71:$G$82,F$3,FALSE)=$D457,obalLOB1AvgProdClinician6,0)</f>
        <v>0</v>
      </c>
      <c r="G457" s="559">
        <f>IF(VLOOKUP($C457,obal!$D$71:$G$82,G$3,FALSE)=$D457,obalLOB1AvgProdClinician6,0)</f>
        <v>0</v>
      </c>
      <c r="H457" s="131" t="s">
        <v>1775</v>
      </c>
      <c r="J457" s="131" t="s">
        <v>555</v>
      </c>
      <c r="K457" s="560">
        <f>IF(VLOOKUP($C457,obal!$J$71:$M$86,K$3,FALSE)=$D457,obalR2LOB1AvgProdClinician6,0)</f>
        <v>0</v>
      </c>
      <c r="L457" s="560">
        <f>IF(VLOOKUP($C457,obal!$J$71:$M$86,L$3,FALSE)=$D457,obalR2LOB1AvgProdClinician6,0)</f>
        <v>0</v>
      </c>
      <c r="M457" s="560">
        <f>IF(VLOOKUP($C457,obal!$J$71:$M$86,M$3,FALSE)=$D457,obalR2LOB1AvgProdClinician6,0)</f>
        <v>0</v>
      </c>
      <c r="N457" s="131" t="s">
        <v>6251</v>
      </c>
    </row>
    <row r="458" spans="1:14" ht="12.75" customHeight="1">
      <c r="A458" s="461"/>
      <c r="B458" s="458"/>
      <c r="C458" s="170">
        <v>7</v>
      </c>
      <c r="D458" s="131" t="s">
        <v>555</v>
      </c>
      <c r="E458" s="559">
        <f>IF(VLOOKUP($C458,obal!$D$71:$G$82,E$3,FALSE)=$D458,obalLOB1AvgProdClinician7,0)</f>
        <v>0</v>
      </c>
      <c r="F458" s="559">
        <f>IF(VLOOKUP($C458,obal!$D$71:$G$82,F$3,FALSE)=$D458,obalLOB1AvgProdClinician7,0)</f>
        <v>0</v>
      </c>
      <c r="G458" s="559">
        <f>IF(VLOOKUP($C458,obal!$D$71:$G$82,G$3,FALSE)=$D458,obalLOB1AvgProdClinician7,0)</f>
        <v>0</v>
      </c>
      <c r="H458" s="131" t="s">
        <v>1776</v>
      </c>
      <c r="J458" s="131" t="s">
        <v>555</v>
      </c>
      <c r="K458" s="560">
        <f>IF(VLOOKUP($C458,obal!$J$71:$M$86,K$3,FALSE)=$D458,obalR2LOB1AvgProdClinician7,0)</f>
        <v>0</v>
      </c>
      <c r="L458" s="560">
        <f>IF(VLOOKUP($C458,obal!$J$71:$M$86,L$3,FALSE)=$D458,obalR2LOB1AvgProdClinician7,0)</f>
        <v>0</v>
      </c>
      <c r="M458" s="560">
        <f>IF(VLOOKUP($C458,obal!$J$71:$M$86,M$3,FALSE)=$D458,obalR2LOB1AvgProdClinician7,0)</f>
        <v>0</v>
      </c>
      <c r="N458" s="131" t="s">
        <v>6252</v>
      </c>
    </row>
    <row r="459" spans="1:14" ht="12.75" customHeight="1">
      <c r="A459" s="461"/>
      <c r="B459" s="458"/>
      <c r="C459" s="170">
        <v>8</v>
      </c>
      <c r="D459" s="131" t="s">
        <v>555</v>
      </c>
      <c r="E459" s="559">
        <f>IF(VLOOKUP($C459,obal!$D$71:$G$82,E$3,FALSE)=$D459,obalLOB1AvgProdClinician8,0)</f>
        <v>0</v>
      </c>
      <c r="F459" s="559">
        <f>IF(VLOOKUP($C459,obal!$D$71:$G$82,F$3,FALSE)=$D459,obalLOB1AvgProdClinician8,0)</f>
        <v>0</v>
      </c>
      <c r="G459" s="559">
        <f>IF(VLOOKUP($C459,obal!$D$71:$G$82,G$3,FALSE)=$D459,obalLOB1AvgProdClinician8,0)</f>
        <v>0</v>
      </c>
      <c r="H459" s="131" t="s">
        <v>1777</v>
      </c>
      <c r="J459" s="131" t="s">
        <v>555</v>
      </c>
      <c r="K459" s="560">
        <f>IF(VLOOKUP($C459,obal!$J$71:$M$86,K$3,FALSE)=$D459,obalR2LOB1AvgProdClinician8,0)</f>
        <v>0</v>
      </c>
      <c r="L459" s="560">
        <f>IF(VLOOKUP($C459,obal!$J$71:$M$86,L$3,FALSE)=$D459,obalR2LOB1AvgProdClinician8,0)</f>
        <v>0</v>
      </c>
      <c r="M459" s="560">
        <f>IF(VLOOKUP($C459,obal!$J$71:$M$86,M$3,FALSE)=$D459,obalR2LOB1AvgProdClinician8,0)</f>
        <v>0</v>
      </c>
      <c r="N459" s="131" t="s">
        <v>6253</v>
      </c>
    </row>
    <row r="460" spans="1:14" ht="12.75" customHeight="1">
      <c r="A460" s="461"/>
      <c r="B460" s="458"/>
      <c r="C460" s="170">
        <v>9</v>
      </c>
      <c r="D460" s="131" t="s">
        <v>555</v>
      </c>
      <c r="E460" s="559">
        <f>IF(VLOOKUP($C460,obal!$D$71:$G$82,E$3,FALSE)=$D460,obalLOB1AvgProdClinician9,0)</f>
        <v>0</v>
      </c>
      <c r="F460" s="559">
        <f>IF(VLOOKUP($C460,obal!$D$71:$G$82,F$3,FALSE)=$D460,obalLOB1AvgProdClinician9,0)</f>
        <v>0</v>
      </c>
      <c r="G460" s="559">
        <f>IF(VLOOKUP($C460,obal!$D$71:$G$82,G$3,FALSE)=$D460,obalLOB1AvgProdClinician9,0)</f>
        <v>0</v>
      </c>
      <c r="H460" s="131" t="s">
        <v>1778</v>
      </c>
      <c r="J460" s="131" t="s">
        <v>555</v>
      </c>
      <c r="K460" s="560">
        <f>IF(VLOOKUP($C460,obal!$J$71:$M$86,K$3,FALSE)=$D460,obalR2LOB1AvgProdClinician9,0)</f>
        <v>0</v>
      </c>
      <c r="L460" s="560">
        <f>IF(VLOOKUP($C460,obal!$J$71:$M$86,L$3,FALSE)=$D460,obalR2LOB1AvgProdClinician9,0)</f>
        <v>0</v>
      </c>
      <c r="M460" s="560">
        <f>IF(VLOOKUP($C460,obal!$J$71:$M$86,M$3,FALSE)=$D460,obalR2LOB1AvgProdClinician9,0)</f>
        <v>0</v>
      </c>
      <c r="N460" s="131" t="s">
        <v>6254</v>
      </c>
    </row>
    <row r="461" spans="1:14" ht="12.75" customHeight="1" thickBot="1">
      <c r="A461" s="461"/>
      <c r="B461" s="458"/>
      <c r="C461" s="170">
        <v>10</v>
      </c>
      <c r="D461" s="131" t="s">
        <v>555</v>
      </c>
      <c r="E461" s="559">
        <f>IF(VLOOKUP($C461,obal!$D$71:$G$82,E$3,FALSE)=$D461,obalLOB1AvgProdClinician10,0)</f>
        <v>25.05263157894737</v>
      </c>
      <c r="F461" s="559">
        <f>IF(VLOOKUP($C461,obal!$D$71:$G$82,F$3,FALSE)=$D461,obalLOB1AvgProdClinician10,0)</f>
        <v>25.05263157894737</v>
      </c>
      <c r="G461" s="559">
        <f>IF(VLOOKUP($C461,obal!$D$71:$G$82,G$3,FALSE)=$D461,obalLOB1AvgProdClinician10,0)</f>
        <v>25.05263157894737</v>
      </c>
      <c r="H461" s="131" t="s">
        <v>1779</v>
      </c>
      <c r="J461" s="131" t="s">
        <v>555</v>
      </c>
      <c r="K461" s="560">
        <f>IF(VLOOKUP($C461,obal!$J$71:$M$86,K$3,FALSE)=$D461,obalR2LOB1AvgProdClinician10,0)</f>
        <v>25.05263157894737</v>
      </c>
      <c r="L461" s="560">
        <f>IF(VLOOKUP($C461,obal!$J$71:$M$86,L$3,FALSE)=$D461,obalR2LOB1AvgProdClinician10,0)</f>
        <v>25.05263157894737</v>
      </c>
      <c r="M461" s="560">
        <f>IF(VLOOKUP($C461,obal!$J$71:$M$86,M$3,FALSE)=$D461,obalR2LOB1AvgProdClinician10,0)</f>
        <v>25.05263157894737</v>
      </c>
      <c r="N461" s="131" t="s">
        <v>6255</v>
      </c>
    </row>
    <row r="462" spans="1:14" ht="12.75" customHeight="1">
      <c r="A462" s="461"/>
      <c r="B462" s="791" t="s">
        <v>8486</v>
      </c>
      <c r="C462" s="170">
        <v>11</v>
      </c>
      <c r="D462" s="131" t="s">
        <v>555</v>
      </c>
      <c r="E462" s="559">
        <f>IF(VLOOKUP($C462,cbal!$D$71:$G$86,E$3,FALSE)=$D462,cbalLOB1AvgBaseProdClinician11,IF(VLOOKUP($C462,cbal!$D$71:$G$86,E$3,FALSE)=$B462,cbalLOB1AvgBaseProdClinician11,0))</f>
        <v>0</v>
      </c>
      <c r="F462" s="559">
        <f>IF(VLOOKUP($C462,cbal!$D$71:$G$86,F$3,FALSE)=$D462,cbalLOB1AvgBaseProdClinician11,IF(VLOOKUP($C462,cbal!$D$71:$G$86,F$3,FALSE)=$B462,cbalLOB1AvgBaseProdClinician11,0))</f>
        <v>0</v>
      </c>
      <c r="G462" s="559">
        <f>IF(VLOOKUP($C462,cbal!$D$71:$G$86,G$3,FALSE)=$D462,cbalLOB1AvgBaseProdClinician11,IF(VLOOKUP($C462,cbal!$D$71:$G$86,G$3,FALSE)=$B462,cbalLOB1AvgBaseProdClinician11,0))</f>
        <v>0</v>
      </c>
      <c r="H462" s="131" t="s">
        <v>1780</v>
      </c>
      <c r="J462" s="131" t="s">
        <v>555</v>
      </c>
      <c r="K462" s="560">
        <f>IF(VLOOKUP($C462,cbal!$J$71:$M$86,K$3,FALSE)=$D462,cbalR2LOB1AvgBaseProdClinician11,IF(VLOOKUP($C462,cbal!$J$71:$M$86,K$3,FALSE)=$B462,cbalR2LOB1AvgBaseProdClinician11,0))</f>
        <v>0</v>
      </c>
      <c r="L462" s="560">
        <f>IF(VLOOKUP($C462,cbal!$J$71:$M$86,L$3,FALSE)=$D462,cbalR2LOB1AvgBaseProdClinician11,IF(VLOOKUP($C462,cbal!$J$71:$M$86,L$3,FALSE)=$B462,cbalR2LOB1AvgBaseProdClinician11,0))</f>
        <v>0</v>
      </c>
      <c r="M462" s="560">
        <f>IF(VLOOKUP($C462,cbal!$J$71:$M$86,M$3,FALSE)=$D462,cbalR2LOB1AvgBaseProdClinician11,IF(VLOOKUP($C462,cbal!$J$71:$M$86,M$3,FALSE)=$B462,cbalR2LOB1AvgBaseProdClinician11,0))</f>
        <v>0</v>
      </c>
      <c r="N462" s="131" t="s">
        <v>6256</v>
      </c>
    </row>
    <row r="463" spans="1:14" ht="12.75" customHeight="1" thickBot="1">
      <c r="A463" s="461"/>
      <c r="B463" s="792" t="s">
        <v>8486</v>
      </c>
      <c r="C463" s="170">
        <v>12</v>
      </c>
      <c r="D463" s="131" t="s">
        <v>555</v>
      </c>
      <c r="E463" s="559">
        <f>IF(VLOOKUP($C463,cbal!$D$71:$G$86,E$3,FALSE)=$D463,cbalLOB1AvgBaseProdClinician12,IF(VLOOKUP($C463,cbal!$D$71:$G$86,E$3,FALSE)=$B463,cbalLOB1AvgBaseProdClinician12,0))</f>
        <v>0</v>
      </c>
      <c r="F463" s="559">
        <f>IF(VLOOKUP($C463,cbal!$D$71:$G$86,F$3,FALSE)=$D463,cbalLOB1AvgBaseProdClinician12,IF(VLOOKUP($C463,cbal!$D$71:$G$86,F$3,FALSE)=$B463,cbalLOB1AvgBaseProdClinician12,0))</f>
        <v>0</v>
      </c>
      <c r="G463" s="559">
        <f>IF(VLOOKUP($C463,cbal!$D$71:$G$86,G$3,FALSE)=$D463,cbalLOB1AvgBaseProdClinician12,IF(VLOOKUP($C463,cbal!$D$71:$G$86,G$3,FALSE)=$B463,cbalLOB1AvgBaseProdClinician12,0))</f>
        <v>0</v>
      </c>
      <c r="H463" s="131" t="s">
        <v>1781</v>
      </c>
      <c r="J463" s="131" t="s">
        <v>555</v>
      </c>
      <c r="K463" s="560">
        <f>IF(VLOOKUP($C463,cbal!$J$71:$M$86,K$3,FALSE)=$D463,cbalR2LOB1AvgBaseProdClinician12,IF(VLOOKUP($C463,cbal!$J$71:$M$86,K$3,FALSE)=$B463,cbalR2LOB1AvgBaseProdClinician12,0))</f>
        <v>0</v>
      </c>
      <c r="L463" s="560">
        <f>IF(VLOOKUP($C463,cbal!$J$71:$M$86,L$3,FALSE)=$D463,cbalR2LOB1AvgBaseProdClinician12,IF(VLOOKUP($C463,cbal!$J$71:$M$86,L$3,FALSE)=$B463,cbalR2LOB1AvgBaseProdClinician12,0))</f>
        <v>0</v>
      </c>
      <c r="M463" s="560">
        <f>IF(VLOOKUP($C463,cbal!$J$71:$M$86,M$3,FALSE)=$D463,cbalR2LOB1AvgBaseProdClinician12,IF(VLOOKUP($C463,cbal!$J$71:$M$86,M$3,FALSE)=$B463,cbalR2LOB1AvgBaseProdClinician12,0))</f>
        <v>0</v>
      </c>
      <c r="N463" s="131" t="s">
        <v>6257</v>
      </c>
    </row>
    <row r="464" spans="1:14" ht="12.75" customHeight="1">
      <c r="A464" s="461"/>
      <c r="B464" s="458"/>
      <c r="C464" s="170">
        <v>22</v>
      </c>
      <c r="D464" s="131" t="s">
        <v>555</v>
      </c>
      <c r="E464" s="750">
        <f>obalLOB1AvgProdClinician16</f>
        <v>87</v>
      </c>
      <c r="F464" s="750">
        <f>obalLOB1AvgProdClinician16</f>
        <v>150</v>
      </c>
      <c r="G464" s="750">
        <f>obalLOB1AvgProdClinician16</f>
        <v>90</v>
      </c>
      <c r="H464" s="131" t="s">
        <v>4048</v>
      </c>
      <c r="J464" s="131" t="s">
        <v>555</v>
      </c>
      <c r="K464" s="750">
        <f>obalR2LOB1AvgProdClinician16</f>
        <v>74.385000000000005</v>
      </c>
      <c r="L464" s="750">
        <f>obalR2LOB1AvgProdClinician16</f>
        <v>146.13374999999999</v>
      </c>
      <c r="M464" s="750">
        <f>obalR2LOB1AvgProdClinician16</f>
        <v>84.944249999999997</v>
      </c>
      <c r="N464" s="131" t="s">
        <v>6258</v>
      </c>
    </row>
    <row r="465" spans="1:14" ht="1.5" customHeight="1">
      <c r="A465" s="461"/>
      <c r="B465" s="458"/>
      <c r="D465" s="449"/>
      <c r="E465" s="749"/>
      <c r="F465" s="749"/>
      <c r="G465" s="749"/>
      <c r="H465" s="131"/>
      <c r="J465" s="449"/>
      <c r="K465" s="450"/>
      <c r="L465" s="450"/>
      <c r="M465" s="450"/>
      <c r="N465" s="131"/>
    </row>
    <row r="466" spans="1:14" ht="12.75" customHeight="1">
      <c r="A466" s="461"/>
      <c r="B466" s="458"/>
      <c r="D466" s="131" t="s">
        <v>1587</v>
      </c>
      <c r="E466" s="448">
        <f>SUM(E452:E465)</f>
        <v>112.05263157894737</v>
      </c>
      <c r="F466" s="448">
        <f>SUM(F452:F465)</f>
        <v>175.05263157894737</v>
      </c>
      <c r="G466" s="448">
        <f>SUM(G452:G465)</f>
        <v>115.05263157894737</v>
      </c>
      <c r="H466" s="131" t="s">
        <v>1782</v>
      </c>
      <c r="J466" s="131" t="s">
        <v>1587</v>
      </c>
      <c r="K466" s="448">
        <f>SUM(K452:K465)</f>
        <v>99.437631578947375</v>
      </c>
      <c r="L466" s="448">
        <f>SUM(L452:L465)</f>
        <v>171.18638157894736</v>
      </c>
      <c r="M466" s="448">
        <f>SUM(M452:M465)</f>
        <v>109.99688157894737</v>
      </c>
      <c r="N466" s="131" t="s">
        <v>6259</v>
      </c>
    </row>
    <row r="467" spans="1:14" ht="12.75" customHeight="1">
      <c r="A467" s="461"/>
      <c r="B467" s="458"/>
    </row>
    <row r="468" spans="1:14" ht="12.75" customHeight="1">
      <c r="A468" s="461"/>
      <c r="B468" s="458"/>
      <c r="C468" s="131" t="s">
        <v>1616</v>
      </c>
    </row>
    <row r="469" spans="1:14" ht="12.75" customHeight="1">
      <c r="A469" s="461"/>
      <c r="B469" s="458"/>
      <c r="C469" s="170">
        <v>1</v>
      </c>
      <c r="D469" s="131" t="s">
        <v>555</v>
      </c>
      <c r="E469" s="452">
        <f>calcLOB1Clinician1Emp2BaseProd/calcLOB1Emp2BaseProdCapacity</f>
        <v>0</v>
      </c>
      <c r="F469" s="452">
        <f>calcLOB1Clinician1Emp2BaseProd/calcLOB1Emp2BaseProdCapacity</f>
        <v>0</v>
      </c>
      <c r="G469" s="452">
        <f>calcLOB1Clinician1Emp2BaseProd/calcLOB1Emp2BaseProdCapacity</f>
        <v>0</v>
      </c>
      <c r="H469" s="131" t="s">
        <v>1783</v>
      </c>
      <c r="J469" s="131" t="s">
        <v>555</v>
      </c>
      <c r="K469" s="452">
        <f>calcR2LOB1Clinician1Emp2BaseProd/calcR2LOB1Emp2BaseProdCapacity</f>
        <v>0</v>
      </c>
      <c r="L469" s="452">
        <f>calcR2LOB1Clinician1Emp2BaseProd/calcR2LOB1Emp2BaseProdCapacity</f>
        <v>0</v>
      </c>
      <c r="M469" s="452">
        <f>calcR2LOB1Clinician1Emp2BaseProd/calcR2LOB1Emp2BaseProdCapacity</f>
        <v>0</v>
      </c>
      <c r="N469" s="131" t="s">
        <v>6260</v>
      </c>
    </row>
    <row r="470" spans="1:14" ht="12.75" customHeight="1">
      <c r="A470" s="461"/>
      <c r="B470" s="458"/>
      <c r="C470" s="170">
        <v>2</v>
      </c>
      <c r="D470" s="131" t="s">
        <v>555</v>
      </c>
      <c r="E470" s="452">
        <f>calcLOB1Clinician2Emp2BaseProd/calcLOB1Emp2BaseProdCapacity</f>
        <v>0</v>
      </c>
      <c r="F470" s="452">
        <f>calcLOB1Clinician2Emp2BaseProd/calcLOB1Emp2BaseProdCapacity</f>
        <v>0</v>
      </c>
      <c r="G470" s="452">
        <f>calcLOB1Clinician2Emp2BaseProd/calcLOB1Emp2BaseProdCapacity</f>
        <v>0</v>
      </c>
      <c r="H470" s="131" t="s">
        <v>1784</v>
      </c>
      <c r="J470" s="131" t="s">
        <v>555</v>
      </c>
      <c r="K470" s="452">
        <f>calcR2LOB1Clinician2Emp2BaseProd/calcR2LOB1Emp2BaseProdCapacity</f>
        <v>0</v>
      </c>
      <c r="L470" s="452">
        <f>calcR2LOB1Clinician2Emp2BaseProd/calcR2LOB1Emp2BaseProdCapacity</f>
        <v>0</v>
      </c>
      <c r="M470" s="452">
        <f>calcR2LOB1Clinician2Emp2BaseProd/calcR2LOB1Emp2BaseProdCapacity</f>
        <v>0</v>
      </c>
      <c r="N470" s="131" t="s">
        <v>6261</v>
      </c>
    </row>
    <row r="471" spans="1:14" ht="12.75" customHeight="1">
      <c r="A471" s="461"/>
      <c r="B471" s="458"/>
      <c r="C471" s="170">
        <v>3</v>
      </c>
      <c r="D471" s="131" t="s">
        <v>555</v>
      </c>
      <c r="E471" s="452">
        <f>calcLOB1Clinician3Emp2BaseProd/calcLOB1Emp2BaseProdCapacity</f>
        <v>0</v>
      </c>
      <c r="F471" s="452">
        <f>calcLOB1Clinician3Emp2BaseProd/calcLOB1Emp2BaseProdCapacity</f>
        <v>0</v>
      </c>
      <c r="G471" s="452">
        <f>calcLOB1Clinician3Emp2BaseProd/calcLOB1Emp2BaseProdCapacity</f>
        <v>0</v>
      </c>
      <c r="H471" s="131" t="s">
        <v>1785</v>
      </c>
      <c r="J471" s="131" t="s">
        <v>555</v>
      </c>
      <c r="K471" s="452">
        <f>calcR2LOB1Clinician3Emp2BaseProd/calcR2LOB1Emp2BaseProdCapacity</f>
        <v>0</v>
      </c>
      <c r="L471" s="452">
        <f>calcR2LOB1Clinician3Emp2BaseProd/calcR2LOB1Emp2BaseProdCapacity</f>
        <v>0</v>
      </c>
      <c r="M471" s="452">
        <f>calcR2LOB1Clinician3Emp2BaseProd/calcR2LOB1Emp2BaseProdCapacity</f>
        <v>0</v>
      </c>
      <c r="N471" s="131" t="s">
        <v>6262</v>
      </c>
    </row>
    <row r="472" spans="1:14" ht="12.75" customHeight="1">
      <c r="A472" s="461"/>
      <c r="B472" s="458"/>
      <c r="C472" s="170">
        <v>4</v>
      </c>
      <c r="D472" s="131" t="s">
        <v>555</v>
      </c>
      <c r="E472" s="452">
        <f>calcLOB1Clinician4Emp2BaseProd/calcLOB1Emp2BaseProdCapacity</f>
        <v>0</v>
      </c>
      <c r="F472" s="452">
        <f>calcLOB1Clinician4Emp2BaseProd/calcLOB1Emp2BaseProdCapacity</f>
        <v>0</v>
      </c>
      <c r="G472" s="452">
        <f>calcLOB1Clinician4Emp2BaseProd/calcLOB1Emp2BaseProdCapacity</f>
        <v>0</v>
      </c>
      <c r="H472" s="131" t="s">
        <v>1786</v>
      </c>
      <c r="J472" s="131" t="s">
        <v>555</v>
      </c>
      <c r="K472" s="452">
        <f>calcR2LOB1Clinician4Emp2BaseProd/calcR2LOB1Emp2BaseProdCapacity</f>
        <v>0</v>
      </c>
      <c r="L472" s="452">
        <f>calcR2LOB1Clinician4Emp2BaseProd/calcR2LOB1Emp2BaseProdCapacity</f>
        <v>0</v>
      </c>
      <c r="M472" s="452">
        <f>calcR2LOB1Clinician4Emp2BaseProd/calcR2LOB1Emp2BaseProdCapacity</f>
        <v>0</v>
      </c>
      <c r="N472" s="131" t="s">
        <v>6263</v>
      </c>
    </row>
    <row r="473" spans="1:14" ht="12.75" customHeight="1">
      <c r="A473" s="461"/>
      <c r="B473" s="458"/>
      <c r="C473" s="170">
        <v>5</v>
      </c>
      <c r="D473" s="131" t="s">
        <v>555</v>
      </c>
      <c r="E473" s="452">
        <f>calcLOB1Clinician5Emp2BaseProd/calcLOB1Emp2BaseProdCapacity</f>
        <v>0</v>
      </c>
      <c r="F473" s="452">
        <f>calcLOB1Clinician5Emp2BaseProd/calcLOB1Emp2BaseProdCapacity</f>
        <v>0</v>
      </c>
      <c r="G473" s="452">
        <f>calcLOB1Clinician5Emp2BaseProd/calcLOB1Emp2BaseProdCapacity</f>
        <v>0</v>
      </c>
      <c r="H473" s="131" t="s">
        <v>1787</v>
      </c>
      <c r="J473" s="131" t="s">
        <v>555</v>
      </c>
      <c r="K473" s="452">
        <f>calcR2LOB1Clinician5Emp2BaseProd/calcR2LOB1Emp2BaseProdCapacity</f>
        <v>0</v>
      </c>
      <c r="L473" s="452">
        <f>calcR2LOB1Clinician5Emp2BaseProd/calcR2LOB1Emp2BaseProdCapacity</f>
        <v>0</v>
      </c>
      <c r="M473" s="452">
        <f>calcR2LOB1Clinician5Emp2BaseProd/calcR2LOB1Emp2BaseProdCapacity</f>
        <v>0</v>
      </c>
      <c r="N473" s="131" t="s">
        <v>6264</v>
      </c>
    </row>
    <row r="474" spans="1:14" ht="12.75" customHeight="1">
      <c r="A474" s="461"/>
      <c r="B474" s="458"/>
      <c r="C474" s="170">
        <v>6</v>
      </c>
      <c r="D474" s="131" t="s">
        <v>555</v>
      </c>
      <c r="E474" s="452">
        <f>calcLOB1Clinician6Emp2BaseProd/calcLOB1Emp2BaseProdCapacity</f>
        <v>0</v>
      </c>
      <c r="F474" s="452">
        <f>calcLOB1Clinician6Emp2BaseProd/calcLOB1Emp2BaseProdCapacity</f>
        <v>0</v>
      </c>
      <c r="G474" s="452">
        <f>calcLOB1Clinician6Emp2BaseProd/calcLOB1Emp2BaseProdCapacity</f>
        <v>0</v>
      </c>
      <c r="H474" s="131" t="s">
        <v>1788</v>
      </c>
      <c r="J474" s="131" t="s">
        <v>555</v>
      </c>
      <c r="K474" s="452">
        <f>calcR2LOB1Clinician6Emp2BaseProd/calcR2LOB1Emp2BaseProdCapacity</f>
        <v>0</v>
      </c>
      <c r="L474" s="452">
        <f>calcR2LOB1Clinician6Emp2BaseProd/calcR2LOB1Emp2BaseProdCapacity</f>
        <v>0</v>
      </c>
      <c r="M474" s="452">
        <f>calcR2LOB1Clinician6Emp2BaseProd/calcR2LOB1Emp2BaseProdCapacity</f>
        <v>0</v>
      </c>
      <c r="N474" s="131" t="s">
        <v>6265</v>
      </c>
    </row>
    <row r="475" spans="1:14" ht="12.75" customHeight="1">
      <c r="A475" s="461"/>
      <c r="B475" s="458"/>
      <c r="C475" s="170">
        <v>7</v>
      </c>
      <c r="D475" s="131" t="s">
        <v>555</v>
      </c>
      <c r="E475" s="452">
        <f>calcLOB1Clinician7Emp2BaseProd/calcLOB1Emp2BaseProdCapacity</f>
        <v>0</v>
      </c>
      <c r="F475" s="452">
        <f>calcLOB1Clinician7Emp2BaseProd/calcLOB1Emp2BaseProdCapacity</f>
        <v>0</v>
      </c>
      <c r="G475" s="452">
        <f>calcLOB1Clinician7Emp2BaseProd/calcLOB1Emp2BaseProdCapacity</f>
        <v>0</v>
      </c>
      <c r="H475" s="131" t="s">
        <v>1789</v>
      </c>
      <c r="J475" s="131" t="s">
        <v>555</v>
      </c>
      <c r="K475" s="452">
        <f>calcR2LOB1Clinician7Emp2BaseProd/calcR2LOB1Emp2BaseProdCapacity</f>
        <v>0</v>
      </c>
      <c r="L475" s="452">
        <f>calcR2LOB1Clinician7Emp2BaseProd/calcR2LOB1Emp2BaseProdCapacity</f>
        <v>0</v>
      </c>
      <c r="M475" s="452">
        <f>calcR2LOB1Clinician7Emp2BaseProd/calcR2LOB1Emp2BaseProdCapacity</f>
        <v>0</v>
      </c>
      <c r="N475" s="131" t="s">
        <v>6266</v>
      </c>
    </row>
    <row r="476" spans="1:14" ht="12.75" customHeight="1">
      <c r="A476" s="461"/>
      <c r="B476" s="458"/>
      <c r="C476" s="170">
        <v>8</v>
      </c>
      <c r="D476" s="131" t="s">
        <v>555</v>
      </c>
      <c r="E476" s="452">
        <f>calcLOB1Clinician8Emp2BaseProd/calcLOB1Emp2BaseProdCapacity</f>
        <v>0</v>
      </c>
      <c r="F476" s="452">
        <f>calcLOB1Clinician8Emp2BaseProd/calcLOB1Emp2BaseProdCapacity</f>
        <v>0</v>
      </c>
      <c r="G476" s="452">
        <f>calcLOB1Clinician8Emp2BaseProd/calcLOB1Emp2BaseProdCapacity</f>
        <v>0</v>
      </c>
      <c r="H476" s="131" t="s">
        <v>1790</v>
      </c>
      <c r="J476" s="131" t="s">
        <v>555</v>
      </c>
      <c r="K476" s="452">
        <f>calcR2LOB1Clinician8Emp2BaseProd/calcR2LOB1Emp2BaseProdCapacity</f>
        <v>0</v>
      </c>
      <c r="L476" s="452">
        <f>calcR2LOB1Clinician8Emp2BaseProd/calcR2LOB1Emp2BaseProdCapacity</f>
        <v>0</v>
      </c>
      <c r="M476" s="452">
        <f>calcR2LOB1Clinician8Emp2BaseProd/calcR2LOB1Emp2BaseProdCapacity</f>
        <v>0</v>
      </c>
      <c r="N476" s="131" t="s">
        <v>6267</v>
      </c>
    </row>
    <row r="477" spans="1:14" ht="12.75" customHeight="1">
      <c r="A477" s="461"/>
      <c r="B477" s="458"/>
      <c r="C477" s="170">
        <v>9</v>
      </c>
      <c r="D477" s="131" t="s">
        <v>555</v>
      </c>
      <c r="E477" s="452">
        <f>calcLOB1Clinician9Emp2BaseProd/calcLOB1Emp2BaseProdCapacity</f>
        <v>0</v>
      </c>
      <c r="F477" s="452">
        <f>calcLOB1Clinician9Emp2BaseProd/calcLOB1Emp2BaseProdCapacity</f>
        <v>0</v>
      </c>
      <c r="G477" s="452">
        <f>calcLOB1Clinician9Emp2BaseProd/calcLOB1Emp2BaseProdCapacity</f>
        <v>0</v>
      </c>
      <c r="H477" s="131" t="s">
        <v>1791</v>
      </c>
      <c r="J477" s="131" t="s">
        <v>555</v>
      </c>
      <c r="K477" s="452">
        <f>calcR2LOB1Clinician9Emp2BaseProd/calcR2LOB1Emp2BaseProdCapacity</f>
        <v>0</v>
      </c>
      <c r="L477" s="452">
        <f>calcR2LOB1Clinician9Emp2BaseProd/calcR2LOB1Emp2BaseProdCapacity</f>
        <v>0</v>
      </c>
      <c r="M477" s="452">
        <f>calcR2LOB1Clinician9Emp2BaseProd/calcR2LOB1Emp2BaseProdCapacity</f>
        <v>0</v>
      </c>
      <c r="N477" s="131" t="s">
        <v>6268</v>
      </c>
    </row>
    <row r="478" spans="1:14" ht="12.75" customHeight="1">
      <c r="A478" s="461"/>
      <c r="B478" s="458"/>
      <c r="C478" s="170">
        <v>10</v>
      </c>
      <c r="D478" s="131" t="s">
        <v>555</v>
      </c>
      <c r="E478" s="452">
        <f>calcLOB1Clinician10Emp2BaseProd/calcLOB1Emp2BaseProdCapacity</f>
        <v>0.22357914513856272</v>
      </c>
      <c r="F478" s="452">
        <f>calcLOB1Clinician10Emp2BaseProd/calcLOB1Emp2BaseProdCapacity</f>
        <v>0.14311485267588697</v>
      </c>
      <c r="G478" s="452">
        <f>calcLOB1Clinician10Emp2BaseProd/calcLOB1Emp2BaseProdCapacity</f>
        <v>0.21774931381518756</v>
      </c>
      <c r="H478" s="131" t="s">
        <v>1792</v>
      </c>
      <c r="J478" s="131" t="s">
        <v>555</v>
      </c>
      <c r="K478" s="452">
        <f>calcR2LOB1Clinician10Emp2BaseProd/calcR2LOB1Emp2BaseProdCapacity</f>
        <v>0.2519431645861066</v>
      </c>
      <c r="L478" s="452">
        <f>calcR2LOB1Clinician10Emp2BaseProd/calcR2LOB1Emp2BaseProdCapacity</f>
        <v>0.14634710628189573</v>
      </c>
      <c r="M478" s="452">
        <f>calcR2LOB1Clinician10Emp2BaseProd/calcR2LOB1Emp2BaseProdCapacity</f>
        <v>0.22775765293824718</v>
      </c>
      <c r="N478" s="131" t="s">
        <v>6269</v>
      </c>
    </row>
    <row r="479" spans="1:14" ht="12.75" customHeight="1">
      <c r="A479" s="461"/>
      <c r="B479" s="458"/>
      <c r="C479" s="170">
        <v>11</v>
      </c>
      <c r="D479" s="131" t="s">
        <v>555</v>
      </c>
      <c r="E479" s="452">
        <f>calcLOB1Clinician11Emp2BaseProd/calcLOB1Emp2BaseProdCapacity</f>
        <v>0</v>
      </c>
      <c r="F479" s="452">
        <f>calcLOB1Clinician11Emp2BaseProd/calcLOB1Emp2BaseProdCapacity</f>
        <v>0</v>
      </c>
      <c r="G479" s="452">
        <f>calcLOB1Clinician11Emp2BaseProd/calcLOB1Emp2BaseProdCapacity</f>
        <v>0</v>
      </c>
      <c r="H479" s="131" t="s">
        <v>1793</v>
      </c>
      <c r="J479" s="131" t="s">
        <v>555</v>
      </c>
      <c r="K479" s="452">
        <f>calcR2LOB1Clinician11Emp2BaseProd/calcR2LOB1Emp2BaseProdCapacity</f>
        <v>0</v>
      </c>
      <c r="L479" s="452">
        <f>calcR2LOB1Clinician11Emp2BaseProd/calcR2LOB1Emp2BaseProdCapacity</f>
        <v>0</v>
      </c>
      <c r="M479" s="452">
        <f>calcR2LOB1Clinician11Emp2BaseProd/calcR2LOB1Emp2BaseProdCapacity</f>
        <v>0</v>
      </c>
      <c r="N479" s="131" t="s">
        <v>6270</v>
      </c>
    </row>
    <row r="480" spans="1:14" ht="12.75" customHeight="1">
      <c r="A480" s="461"/>
      <c r="B480" s="458"/>
      <c r="C480" s="170">
        <v>12</v>
      </c>
      <c r="D480" s="131" t="s">
        <v>555</v>
      </c>
      <c r="E480" s="452">
        <f>calcLOB1Clinician12Emp2BaseProd/calcLOB1Emp2BaseProdCapacity</f>
        <v>0</v>
      </c>
      <c r="F480" s="452">
        <f>calcLOB1Clinician12Emp2BaseProd/calcLOB1Emp2BaseProdCapacity</f>
        <v>0</v>
      </c>
      <c r="G480" s="452">
        <f>calcLOB1Clinician12Emp2BaseProd/calcLOB1Emp2BaseProdCapacity</f>
        <v>0</v>
      </c>
      <c r="H480" s="131" t="s">
        <v>1794</v>
      </c>
      <c r="J480" s="131" t="s">
        <v>555</v>
      </c>
      <c r="K480" s="452">
        <f>calcR2LOB1Clinician12Emp2BaseProd/calcR2LOB1Emp2BaseProdCapacity</f>
        <v>0</v>
      </c>
      <c r="L480" s="452">
        <f>calcR2LOB1Clinician12Emp2BaseProd/calcR2LOB1Emp2BaseProdCapacity</f>
        <v>0</v>
      </c>
      <c r="M480" s="452">
        <f>calcR2LOB1Clinician12Emp2BaseProd/calcR2LOB1Emp2BaseProdCapacity</f>
        <v>0</v>
      </c>
      <c r="N480" s="131" t="s">
        <v>6271</v>
      </c>
    </row>
    <row r="481" spans="1:14" ht="12.75" customHeight="1">
      <c r="A481" s="461"/>
      <c r="B481" s="458"/>
      <c r="D481" s="131" t="s">
        <v>555</v>
      </c>
      <c r="E481" s="452">
        <f>calcLOB1Clinician16Emp2BaseProd/calcLOB1Emp2BaseProdCapacity</f>
        <v>0.7764208548614373</v>
      </c>
      <c r="F481" s="452">
        <f>calcLOB1Clinician16Emp2BaseProd/calcLOB1Emp2BaseProdCapacity</f>
        <v>0.85688514732411303</v>
      </c>
      <c r="G481" s="452">
        <f>calcLOB1Clinician16Emp2BaseProd/calcLOB1Emp2BaseProdCapacity</f>
        <v>0.78225068618481242</v>
      </c>
      <c r="H481" s="131" t="s">
        <v>4049</v>
      </c>
      <c r="J481" s="131" t="s">
        <v>555</v>
      </c>
      <c r="K481" s="452">
        <f>calcR2LOB1Clinician16Emp2BaseProd/calcR2LOB1Emp2BaseProdCapacity</f>
        <v>0.74805683541389345</v>
      </c>
      <c r="L481" s="452">
        <f>calcR2LOB1Clinician16Emp2BaseProd/calcR2LOB1Emp2BaseProdCapacity</f>
        <v>0.85365289371810427</v>
      </c>
      <c r="M481" s="452">
        <f>calcR2LOB1Clinician16Emp2BaseProd/calcR2LOB1Emp2BaseProdCapacity</f>
        <v>0.77224234706175277</v>
      </c>
      <c r="N481" s="131" t="s">
        <v>6272</v>
      </c>
    </row>
    <row r="482" spans="1:14" ht="12.75" customHeight="1">
      <c r="A482" s="461"/>
      <c r="B482" s="458"/>
    </row>
    <row r="483" spans="1:14" ht="12.75" customHeight="1">
      <c r="A483" s="461"/>
      <c r="B483" s="458"/>
      <c r="C483" s="131" t="s">
        <v>3589</v>
      </c>
    </row>
    <row r="484" spans="1:14" ht="12.75" customHeight="1">
      <c r="A484" s="461"/>
      <c r="B484" s="458"/>
      <c r="C484" s="170">
        <v>1</v>
      </c>
      <c r="D484" s="131" t="s">
        <v>555</v>
      </c>
      <c r="E484" s="453">
        <f>calcLOB1Emp2Visits/paramWorkWeeksPYear*calcLOB1Clinician1Emp2AllowPerc</f>
        <v>0</v>
      </c>
      <c r="F484" s="453">
        <f>calcLOB1Emp2Visits/paramWorkWeeksPYear*calcLOB1Clinician1Emp2AllowPerc</f>
        <v>0</v>
      </c>
      <c r="G484" s="453">
        <f>calcLOB1Emp2Visits/paramWorkWeeksPYear*calcLOB1Clinician1Emp2AllowPerc</f>
        <v>0</v>
      </c>
      <c r="H484" s="131" t="s">
        <v>3736</v>
      </c>
      <c r="J484" s="131" t="s">
        <v>555</v>
      </c>
      <c r="K484" s="453">
        <f>calcR2LOB1Emp2Visits/paramR2WorkWeeksPYear*calcR2LOB1Clinician1Emp2AllowPerc</f>
        <v>0</v>
      </c>
      <c r="L484" s="453">
        <f>calcR2LOB1Emp2Visits/paramR2WorkWeeksPYear*calcR2LOB1Clinician1Emp2AllowPerc</f>
        <v>0</v>
      </c>
      <c r="M484" s="453">
        <f>calcR2LOB1Emp2Visits/paramR2WorkWeeksPYear*calcR2LOB1Clinician1Emp2AllowPerc</f>
        <v>0</v>
      </c>
      <c r="N484" s="131" t="s">
        <v>6273</v>
      </c>
    </row>
    <row r="485" spans="1:14" ht="12.75" customHeight="1">
      <c r="A485" s="461"/>
      <c r="B485" s="458"/>
      <c r="C485" s="170">
        <v>2</v>
      </c>
      <c r="D485" s="131" t="s">
        <v>555</v>
      </c>
      <c r="E485" s="453">
        <f>calcLOB1Emp2Visits/paramWorkWeeksPYear*calcLOB1Clinician2Emp2AllowPerc</f>
        <v>0</v>
      </c>
      <c r="F485" s="453">
        <f>calcLOB1Emp2Visits/paramWorkWeeksPYear*calcLOB1Clinician2Emp2AllowPerc</f>
        <v>0</v>
      </c>
      <c r="G485" s="453">
        <f>calcLOB1Emp2Visits/paramWorkWeeksPYear*calcLOB1Clinician2Emp2AllowPerc</f>
        <v>0</v>
      </c>
      <c r="H485" s="131" t="s">
        <v>3737</v>
      </c>
      <c r="J485" s="131" t="s">
        <v>555</v>
      </c>
      <c r="K485" s="453">
        <f>calcR2LOB1Emp2Visits/paramR2WorkWeeksPYear*calcR2LOB1Clinician2Emp2AllowPerc</f>
        <v>0</v>
      </c>
      <c r="L485" s="453">
        <f>calcR2LOB1Emp2Visits/paramR2WorkWeeksPYear*calcR2LOB1Clinician2Emp2AllowPerc</f>
        <v>0</v>
      </c>
      <c r="M485" s="453">
        <f>calcR2LOB1Emp2Visits/paramR2WorkWeeksPYear*calcR2LOB1Clinician2Emp2AllowPerc</f>
        <v>0</v>
      </c>
      <c r="N485" s="131" t="s">
        <v>6274</v>
      </c>
    </row>
    <row r="486" spans="1:14" ht="12.75" customHeight="1">
      <c r="A486" s="461"/>
      <c r="B486" s="458"/>
      <c r="C486" s="170">
        <v>3</v>
      </c>
      <c r="D486" s="131" t="s">
        <v>555</v>
      </c>
      <c r="E486" s="453">
        <f>calcLOB1Emp2Visits/paramWorkWeeksPYear*calcLOB1Clinician3Emp2AllowPerc</f>
        <v>0</v>
      </c>
      <c r="F486" s="453">
        <f>calcLOB1Emp2Visits/paramWorkWeeksPYear*calcLOB1Clinician3Emp2AllowPerc</f>
        <v>0</v>
      </c>
      <c r="G486" s="453">
        <f>calcLOB1Emp2Visits/paramWorkWeeksPYear*calcLOB1Clinician3Emp2AllowPerc</f>
        <v>0</v>
      </c>
      <c r="H486" s="131" t="s">
        <v>3738</v>
      </c>
      <c r="J486" s="131" t="s">
        <v>555</v>
      </c>
      <c r="K486" s="453">
        <f>calcR2LOB1Emp2Visits/paramR2WorkWeeksPYear*calcR2LOB1Clinician3Emp2AllowPerc</f>
        <v>0</v>
      </c>
      <c r="L486" s="453">
        <f>calcR2LOB1Emp2Visits/paramR2WorkWeeksPYear*calcR2LOB1Clinician3Emp2AllowPerc</f>
        <v>0</v>
      </c>
      <c r="M486" s="453">
        <f>calcR2LOB1Emp2Visits/paramR2WorkWeeksPYear*calcR2LOB1Clinician3Emp2AllowPerc</f>
        <v>0</v>
      </c>
      <c r="N486" s="131" t="s">
        <v>6275</v>
      </c>
    </row>
    <row r="487" spans="1:14" ht="12.75" customHeight="1">
      <c r="A487" s="461"/>
      <c r="B487" s="458"/>
      <c r="C487" s="170">
        <v>4</v>
      </c>
      <c r="D487" s="131" t="s">
        <v>555</v>
      </c>
      <c r="E487" s="453">
        <f>calcLOB1Emp2Visits/paramWorkWeeksPYear*calcLOB1Clinician4Emp2AllowPerc</f>
        <v>0</v>
      </c>
      <c r="F487" s="453">
        <f>calcLOB1Emp2Visits/paramWorkWeeksPYear*calcLOB1Clinician4Emp2AllowPerc</f>
        <v>0</v>
      </c>
      <c r="G487" s="453">
        <f>calcLOB1Emp2Visits/paramWorkWeeksPYear*calcLOB1Clinician4Emp2AllowPerc</f>
        <v>0</v>
      </c>
      <c r="H487" s="131" t="s">
        <v>3739</v>
      </c>
      <c r="J487" s="131" t="s">
        <v>555</v>
      </c>
      <c r="K487" s="453">
        <f>calcR2LOB1Emp2Visits/paramR2WorkWeeksPYear*calcR2LOB1Clinician4Emp2AllowPerc</f>
        <v>0</v>
      </c>
      <c r="L487" s="453">
        <f>calcR2LOB1Emp2Visits/paramR2WorkWeeksPYear*calcR2LOB1Clinician4Emp2AllowPerc</f>
        <v>0</v>
      </c>
      <c r="M487" s="453">
        <f>calcR2LOB1Emp2Visits/paramR2WorkWeeksPYear*calcR2LOB1Clinician4Emp2AllowPerc</f>
        <v>0</v>
      </c>
      <c r="N487" s="131" t="s">
        <v>6276</v>
      </c>
    </row>
    <row r="488" spans="1:14" ht="12.75" customHeight="1">
      <c r="A488" s="461"/>
      <c r="B488" s="458"/>
      <c r="C488" s="170">
        <v>5</v>
      </c>
      <c r="D488" s="131" t="s">
        <v>555</v>
      </c>
      <c r="E488" s="453">
        <f>calcLOB1Emp2Visits/paramWorkWeeksPYear*calcLOB1Clinician5Emp2AllowPerc</f>
        <v>0</v>
      </c>
      <c r="F488" s="453">
        <f>calcLOB1Emp2Visits/paramWorkWeeksPYear*calcLOB1Clinician5Emp2AllowPerc</f>
        <v>0</v>
      </c>
      <c r="G488" s="453">
        <f>calcLOB1Emp2Visits/paramWorkWeeksPYear*calcLOB1Clinician5Emp2AllowPerc</f>
        <v>0</v>
      </c>
      <c r="H488" s="131" t="s">
        <v>3740</v>
      </c>
      <c r="J488" s="131" t="s">
        <v>555</v>
      </c>
      <c r="K488" s="453">
        <f>calcR2LOB1Emp2Visits/paramR2WorkWeeksPYear*calcR2LOB1Clinician5Emp2AllowPerc</f>
        <v>0</v>
      </c>
      <c r="L488" s="453">
        <f>calcR2LOB1Emp2Visits/paramR2WorkWeeksPYear*calcR2LOB1Clinician5Emp2AllowPerc</f>
        <v>0</v>
      </c>
      <c r="M488" s="453">
        <f>calcR2LOB1Emp2Visits/paramR2WorkWeeksPYear*calcR2LOB1Clinician5Emp2AllowPerc</f>
        <v>0</v>
      </c>
      <c r="N488" s="131" t="s">
        <v>6277</v>
      </c>
    </row>
    <row r="489" spans="1:14" ht="12.75" customHeight="1">
      <c r="A489" s="461"/>
      <c r="B489" s="458"/>
      <c r="C489" s="170">
        <v>6</v>
      </c>
      <c r="D489" s="131" t="s">
        <v>555</v>
      </c>
      <c r="E489" s="453">
        <f>calcLOB1Emp2Visits/paramWorkWeeksPYear*calcLOB1Clinician6Emp2AllowPerc</f>
        <v>0</v>
      </c>
      <c r="F489" s="453">
        <f>calcLOB1Emp2Visits/paramWorkWeeksPYear*calcLOB1Clinician6Emp2AllowPerc</f>
        <v>0</v>
      </c>
      <c r="G489" s="453">
        <f>calcLOB1Emp2Visits/paramWorkWeeksPYear*calcLOB1Clinician6Emp2AllowPerc</f>
        <v>0</v>
      </c>
      <c r="H489" s="131" t="s">
        <v>3741</v>
      </c>
      <c r="J489" s="131" t="s">
        <v>555</v>
      </c>
      <c r="K489" s="453">
        <f>calcR2LOB1Emp2Visits/paramR2WorkWeeksPYear*calcR2LOB1Clinician6Emp2AllowPerc</f>
        <v>0</v>
      </c>
      <c r="L489" s="453">
        <f>calcR2LOB1Emp2Visits/paramR2WorkWeeksPYear*calcR2LOB1Clinician6Emp2AllowPerc</f>
        <v>0</v>
      </c>
      <c r="M489" s="453">
        <f>calcR2LOB1Emp2Visits/paramR2WorkWeeksPYear*calcR2LOB1Clinician6Emp2AllowPerc</f>
        <v>0</v>
      </c>
      <c r="N489" s="131" t="s">
        <v>6278</v>
      </c>
    </row>
    <row r="490" spans="1:14" ht="12.75" customHeight="1">
      <c r="A490" s="461"/>
      <c r="B490" s="458"/>
      <c r="C490" s="170">
        <v>7</v>
      </c>
      <c r="D490" s="131" t="s">
        <v>555</v>
      </c>
      <c r="E490" s="453">
        <f>calcLOB1Emp2Visits/paramWorkWeeksPYear*calcLOB1Clinician7Emp2AllowPerc</f>
        <v>0</v>
      </c>
      <c r="F490" s="453">
        <f>calcLOB1Emp2Visits/paramWorkWeeksPYear*calcLOB1Clinician7Emp2AllowPerc</f>
        <v>0</v>
      </c>
      <c r="G490" s="453">
        <f>calcLOB1Emp2Visits/paramWorkWeeksPYear*calcLOB1Clinician7Emp2AllowPerc</f>
        <v>0</v>
      </c>
      <c r="H490" s="131" t="s">
        <v>3742</v>
      </c>
      <c r="J490" s="131" t="s">
        <v>555</v>
      </c>
      <c r="K490" s="453">
        <f>calcR2LOB1Emp2Visits/paramR2WorkWeeksPYear*calcR2LOB1Clinician7Emp2AllowPerc</f>
        <v>0</v>
      </c>
      <c r="L490" s="453">
        <f>calcR2LOB1Emp2Visits/paramR2WorkWeeksPYear*calcR2LOB1Clinician7Emp2AllowPerc</f>
        <v>0</v>
      </c>
      <c r="M490" s="453">
        <f>calcR2LOB1Emp2Visits/paramR2WorkWeeksPYear*calcR2LOB1Clinician7Emp2AllowPerc</f>
        <v>0</v>
      </c>
      <c r="N490" s="131" t="s">
        <v>6279</v>
      </c>
    </row>
    <row r="491" spans="1:14" ht="12.75" customHeight="1">
      <c r="A491" s="461"/>
      <c r="B491" s="458"/>
      <c r="C491" s="170">
        <v>8</v>
      </c>
      <c r="D491" s="131" t="s">
        <v>555</v>
      </c>
      <c r="E491" s="453">
        <f>calcLOB1Emp2Visits/paramWorkWeeksPYear*calcLOB1Clinician8Emp2AllowPerc</f>
        <v>0</v>
      </c>
      <c r="F491" s="453">
        <f>calcLOB1Emp2Visits/paramWorkWeeksPYear*calcLOB1Clinician8Emp2AllowPerc</f>
        <v>0</v>
      </c>
      <c r="G491" s="453">
        <f>calcLOB1Emp2Visits/paramWorkWeeksPYear*calcLOB1Clinician8Emp2AllowPerc</f>
        <v>0</v>
      </c>
      <c r="H491" s="131" t="s">
        <v>3743</v>
      </c>
      <c r="J491" s="131" t="s">
        <v>555</v>
      </c>
      <c r="K491" s="453">
        <f>calcR2LOB1Emp2Visits/paramR2WorkWeeksPYear*calcR2LOB1Clinician8Emp2AllowPerc</f>
        <v>0</v>
      </c>
      <c r="L491" s="453">
        <f>calcR2LOB1Emp2Visits/paramR2WorkWeeksPYear*calcR2LOB1Clinician8Emp2AllowPerc</f>
        <v>0</v>
      </c>
      <c r="M491" s="453">
        <f>calcR2LOB1Emp2Visits/paramR2WorkWeeksPYear*calcR2LOB1Clinician8Emp2AllowPerc</f>
        <v>0</v>
      </c>
      <c r="N491" s="131" t="s">
        <v>6280</v>
      </c>
    </row>
    <row r="492" spans="1:14" ht="12.75" customHeight="1">
      <c r="A492" s="461"/>
      <c r="B492" s="458"/>
      <c r="C492" s="170">
        <v>9</v>
      </c>
      <c r="D492" s="131" t="s">
        <v>555</v>
      </c>
      <c r="E492" s="453">
        <f>calcLOB1Emp2Visits/paramWorkWeeksPYear*calcLOB1Clinician9Emp2AllowPerc</f>
        <v>0</v>
      </c>
      <c r="F492" s="453">
        <f>calcLOB1Emp2Visits/paramWorkWeeksPYear*calcLOB1Clinician9Emp2AllowPerc</f>
        <v>0</v>
      </c>
      <c r="G492" s="453">
        <f>calcLOB1Emp2Visits/paramWorkWeeksPYear*calcLOB1Clinician9Emp2AllowPerc</f>
        <v>0</v>
      </c>
      <c r="H492" s="131" t="s">
        <v>3744</v>
      </c>
      <c r="J492" s="131" t="s">
        <v>555</v>
      </c>
      <c r="K492" s="453">
        <f>calcR2LOB1Emp2Visits/paramR2WorkWeeksPYear*calcR2LOB1Clinician9Emp2AllowPerc</f>
        <v>0</v>
      </c>
      <c r="L492" s="453">
        <f>calcR2LOB1Emp2Visits/paramR2WorkWeeksPYear*calcR2LOB1Clinician9Emp2AllowPerc</f>
        <v>0</v>
      </c>
      <c r="M492" s="453">
        <f>calcR2LOB1Emp2Visits/paramR2WorkWeeksPYear*calcR2LOB1Clinician9Emp2AllowPerc</f>
        <v>0</v>
      </c>
      <c r="N492" s="131" t="s">
        <v>6281</v>
      </c>
    </row>
    <row r="493" spans="1:14" ht="12.75" customHeight="1">
      <c r="A493" s="461"/>
      <c r="B493" s="458"/>
      <c r="C493" s="170">
        <v>10</v>
      </c>
      <c r="D493" s="131" t="s">
        <v>555</v>
      </c>
      <c r="E493" s="453">
        <f>calcLOB1Emp2Visits/paramWorkWeeksPYear*calcLOB1Clinician10Emp2AllowPerc</f>
        <v>25.529943635509632</v>
      </c>
      <c r="F493" s="453">
        <f>calcLOB1Emp2Visits/paramWorkWeeksPYear*calcLOB1Clinician10Emp2AllowPerc</f>
        <v>22.352751052315096</v>
      </c>
      <c r="G493" s="453">
        <f>calcLOB1Emp2Visits/paramWorkWeeksPYear*calcLOB1Clinician10Emp2AllowPerc</f>
        <v>18.290942360475754</v>
      </c>
      <c r="H493" s="131" t="s">
        <v>3745</v>
      </c>
      <c r="J493" s="131" t="s">
        <v>555</v>
      </c>
      <c r="K493" s="453">
        <f>calcR2LOB1Emp2Visits/paramR2WorkWeeksPYear*calcR2LOB1Clinician10Emp2AllowPerc</f>
        <v>29.209660644201733</v>
      </c>
      <c r="L493" s="453">
        <f>calcR2LOB1Emp2Visits/paramR2WorkWeeksPYear*calcR2LOB1Clinician10Emp2AllowPerc</f>
        <v>22.85758866240359</v>
      </c>
      <c r="M493" s="453">
        <f>calcR2LOB1Emp2Visits/paramR2WorkWeeksPYear*calcR2LOB1Clinician10Emp2AllowPerc</f>
        <v>19.131642846812763</v>
      </c>
      <c r="N493" s="131" t="s">
        <v>6282</v>
      </c>
    </row>
    <row r="494" spans="1:14" ht="12.75" customHeight="1">
      <c r="A494" s="461"/>
      <c r="B494" s="458"/>
      <c r="C494" s="170">
        <v>11</v>
      </c>
      <c r="D494" s="131" t="s">
        <v>555</v>
      </c>
      <c r="E494" s="453">
        <f>calcLOB1Emp2Visits/paramWorkWeeksPYear*calcLOB1Clinician11Emp2AllowPerc</f>
        <v>0</v>
      </c>
      <c r="F494" s="453">
        <f>calcLOB1Emp2Visits/paramWorkWeeksPYear*calcLOB1Clinician11Emp2AllowPerc</f>
        <v>0</v>
      </c>
      <c r="G494" s="453">
        <f>calcLOB1Emp2Visits/paramWorkWeeksPYear*calcLOB1Clinician11Emp2AllowPerc</f>
        <v>0</v>
      </c>
      <c r="H494" s="131" t="s">
        <v>3746</v>
      </c>
      <c r="J494" s="131" t="s">
        <v>555</v>
      </c>
      <c r="K494" s="453">
        <f>calcR2LOB1Emp2Visits/paramR2WorkWeeksPYear*calcR2LOB1Clinician11Emp2AllowPerc</f>
        <v>0</v>
      </c>
      <c r="L494" s="453">
        <f>calcR2LOB1Emp2Visits/paramR2WorkWeeksPYear*calcR2LOB1Clinician11Emp2AllowPerc</f>
        <v>0</v>
      </c>
      <c r="M494" s="453">
        <f>calcR2LOB1Emp2Visits/paramR2WorkWeeksPYear*calcR2LOB1Clinician11Emp2AllowPerc</f>
        <v>0</v>
      </c>
      <c r="N494" s="131" t="s">
        <v>6283</v>
      </c>
    </row>
    <row r="495" spans="1:14" ht="12.75" customHeight="1">
      <c r="A495" s="461"/>
      <c r="B495" s="458"/>
      <c r="C495" s="170">
        <v>12</v>
      </c>
      <c r="D495" s="131" t="s">
        <v>555</v>
      </c>
      <c r="E495" s="453">
        <f>calcLOB1Emp2Visits/paramWorkWeeksPYear*calcLOB1Clinician12Emp2AllowPerc</f>
        <v>0</v>
      </c>
      <c r="F495" s="453">
        <f>calcLOB1Emp2Visits/paramWorkWeeksPYear*calcLOB1Clinician12Emp2AllowPerc</f>
        <v>0</v>
      </c>
      <c r="G495" s="453">
        <f>calcLOB1Emp2Visits/paramWorkWeeksPYear*calcLOB1Clinician12Emp2AllowPerc</f>
        <v>0</v>
      </c>
      <c r="H495" s="131" t="s">
        <v>3747</v>
      </c>
      <c r="J495" s="131" t="s">
        <v>555</v>
      </c>
      <c r="K495" s="453">
        <f>calcR2LOB1Emp2Visits/paramR2WorkWeeksPYear*calcR2LOB1Clinician12Emp2AllowPerc</f>
        <v>0</v>
      </c>
      <c r="L495" s="453">
        <f>calcR2LOB1Emp2Visits/paramR2WorkWeeksPYear*calcR2LOB1Clinician12Emp2AllowPerc</f>
        <v>0</v>
      </c>
      <c r="M495" s="453">
        <f>calcR2LOB1Emp2Visits/paramR2WorkWeeksPYear*calcR2LOB1Clinician12Emp2AllowPerc</f>
        <v>0</v>
      </c>
      <c r="N495" s="131" t="s">
        <v>6284</v>
      </c>
    </row>
    <row r="496" spans="1:14" ht="12.75" customHeight="1">
      <c r="A496" s="461"/>
      <c r="B496" s="458"/>
      <c r="D496" s="131" t="s">
        <v>555</v>
      </c>
      <c r="E496" s="453">
        <f>calcLOB1Emp2Visits/paramWorkWeeksPYear*calcLOB1Clinician16Emp2AllowPerc</f>
        <v>88.657556364490375</v>
      </c>
      <c r="F496" s="453">
        <f>calcLOB1Emp2Visits/paramWorkWeeksPYear*calcLOB1Clinician16Emp2AllowPerc</f>
        <v>133.83474894768491</v>
      </c>
      <c r="G496" s="453">
        <f>calcLOB1Emp2Visits/paramWorkWeeksPYear*calcLOB1Clinician16Emp2AllowPerc</f>
        <v>65.709057639524246</v>
      </c>
      <c r="H496" s="131" t="s">
        <v>4050</v>
      </c>
      <c r="J496" s="131" t="s">
        <v>555</v>
      </c>
      <c r="K496" s="453">
        <f>calcR2LOB1Emp2Visits/paramR2WorkWeeksPYear*calcR2LOB1Clinician16Emp2AllowPerc</f>
        <v>86.727839355798267</v>
      </c>
      <c r="L496" s="453">
        <f>calcR2LOB1Emp2Visits/paramR2WorkWeeksPYear*calcR2LOB1Clinician16Emp2AllowPerc</f>
        <v>133.3299113375964</v>
      </c>
      <c r="M496" s="453">
        <f>calcR2LOB1Emp2Visits/paramR2WorkWeeksPYear*calcR2LOB1Clinician16Emp2AllowPerc</f>
        <v>64.868357153187233</v>
      </c>
      <c r="N496" s="131" t="s">
        <v>6285</v>
      </c>
    </row>
    <row r="497" spans="1:14" ht="1.5" customHeight="1">
      <c r="A497" s="461"/>
      <c r="B497" s="458"/>
      <c r="D497" s="449"/>
      <c r="E497" s="751"/>
      <c r="F497" s="751"/>
      <c r="G497" s="751"/>
      <c r="H497" s="131"/>
      <c r="J497" s="449"/>
      <c r="K497" s="450"/>
      <c r="L497" s="450"/>
      <c r="M497" s="450"/>
      <c r="N497" s="131"/>
    </row>
    <row r="498" spans="1:14" ht="12.75" customHeight="1">
      <c r="A498" s="461"/>
      <c r="B498" s="458"/>
      <c r="D498" s="131" t="s">
        <v>13</v>
      </c>
      <c r="E498" s="453">
        <f>SUM(E484:E497)</f>
        <v>114.1875</v>
      </c>
      <c r="F498" s="453">
        <f t="shared" ref="F498:G498" si="65">SUM(F484:F497)</f>
        <v>156.1875</v>
      </c>
      <c r="G498" s="453">
        <f t="shared" si="65"/>
        <v>84</v>
      </c>
      <c r="H498" s="131" t="s">
        <v>8341</v>
      </c>
      <c r="J498" s="131"/>
      <c r="K498" s="453">
        <f>SUM(K484:K497)</f>
        <v>115.9375</v>
      </c>
      <c r="L498" s="453">
        <f t="shared" ref="L498" si="66">SUM(L484:L497)</f>
        <v>156.1875</v>
      </c>
      <c r="M498" s="453">
        <f t="shared" ref="M498" si="67">SUM(M484:M497)</f>
        <v>84</v>
      </c>
      <c r="N498" s="131" t="s">
        <v>8342</v>
      </c>
    </row>
    <row r="499" spans="1:14" ht="12.75" customHeight="1">
      <c r="A499" s="461"/>
      <c r="B499" s="458"/>
    </row>
    <row r="500" spans="1:14" ht="12.75" customHeight="1">
      <c r="A500" s="461"/>
      <c r="B500" s="458"/>
      <c r="C500" s="131" t="s">
        <v>3687</v>
      </c>
    </row>
    <row r="501" spans="1:14" ht="12.75" customHeight="1">
      <c r="A501" s="461"/>
      <c r="B501" s="458"/>
      <c r="C501" s="170">
        <v>1</v>
      </c>
      <c r="D501" s="131" t="s">
        <v>555</v>
      </c>
      <c r="E501" s="453">
        <f>decLOB1Cln1WeekProdMod_R1</f>
        <v>0</v>
      </c>
      <c r="F501" s="453">
        <f>decLOB1Cln1WeekProdMod_R1</f>
        <v>0</v>
      </c>
      <c r="G501" s="453">
        <f>decLOB1Cln1WeekProdMod_R1</f>
        <v>0</v>
      </c>
      <c r="H501" s="131" t="s">
        <v>3748</v>
      </c>
      <c r="J501" s="131" t="s">
        <v>555</v>
      </c>
      <c r="K501" s="453">
        <f>decLOB1Cln1WeekProdMod_R2</f>
        <v>0</v>
      </c>
      <c r="L501" s="453">
        <f>decLOB1Cln1WeekProdMod_R2</f>
        <v>0</v>
      </c>
      <c r="M501" s="453">
        <f>decLOB1Cln1WeekProdMod_R2</f>
        <v>0</v>
      </c>
      <c r="N501" s="131" t="s">
        <v>6286</v>
      </c>
    </row>
    <row r="502" spans="1:14" ht="12.75" customHeight="1">
      <c r="A502" s="461"/>
      <c r="B502" s="458"/>
      <c r="C502" s="170">
        <v>2</v>
      </c>
      <c r="D502" s="131" t="s">
        <v>555</v>
      </c>
      <c r="E502" s="453">
        <f>decLOB1Cln2WeekProdMod_R1</f>
        <v>0</v>
      </c>
      <c r="F502" s="453">
        <f>decLOB1Cln2WeekProdMod_R1</f>
        <v>0</v>
      </c>
      <c r="G502" s="453">
        <f>decLOB1Cln2WeekProdMod_R1</f>
        <v>0</v>
      </c>
      <c r="H502" s="131" t="s">
        <v>3749</v>
      </c>
      <c r="J502" s="131" t="s">
        <v>555</v>
      </c>
      <c r="K502" s="453">
        <f>decLOB1Cln2WeekProdMod_R2</f>
        <v>0</v>
      </c>
      <c r="L502" s="453">
        <f>decLOB1Cln2WeekProdMod_R2</f>
        <v>0</v>
      </c>
      <c r="M502" s="453">
        <f>decLOB1Cln2WeekProdMod_R2</f>
        <v>0</v>
      </c>
      <c r="N502" s="131" t="s">
        <v>6287</v>
      </c>
    </row>
    <row r="503" spans="1:14" ht="12.75" customHeight="1">
      <c r="A503" s="461"/>
      <c r="B503" s="458"/>
      <c r="C503" s="170">
        <v>3</v>
      </c>
      <c r="D503" s="131" t="s">
        <v>555</v>
      </c>
      <c r="E503" s="453">
        <f>decLOB1Cln3WeekProdMod_R1</f>
        <v>0</v>
      </c>
      <c r="F503" s="453">
        <f>decLOB1Cln3WeekProdMod_R1</f>
        <v>0</v>
      </c>
      <c r="G503" s="453">
        <f>decLOB1Cln3WeekProdMod_R1</f>
        <v>0</v>
      </c>
      <c r="H503" s="131" t="s">
        <v>3750</v>
      </c>
      <c r="J503" s="131" t="s">
        <v>555</v>
      </c>
      <c r="K503" s="453">
        <f>decLOB1Cln3WeekProdMod_R2</f>
        <v>0</v>
      </c>
      <c r="L503" s="453">
        <f>decLOB1Cln3WeekProdMod_R2</f>
        <v>0</v>
      </c>
      <c r="M503" s="453">
        <f>decLOB1Cln3WeekProdMod_R2</f>
        <v>0</v>
      </c>
      <c r="N503" s="131" t="s">
        <v>6288</v>
      </c>
    </row>
    <row r="504" spans="1:14" ht="12.75" customHeight="1">
      <c r="A504" s="461"/>
      <c r="B504" s="458"/>
      <c r="C504" s="170">
        <v>4</v>
      </c>
      <c r="D504" s="131" t="s">
        <v>555</v>
      </c>
      <c r="E504" s="453">
        <f>decLOB1Cln4WeekProdMod_R1</f>
        <v>0</v>
      </c>
      <c r="F504" s="453">
        <f>decLOB1Cln4WeekProdMod_R1</f>
        <v>0</v>
      </c>
      <c r="G504" s="453">
        <f>decLOB1Cln4WeekProdMod_R1</f>
        <v>0</v>
      </c>
      <c r="H504" s="131" t="s">
        <v>3751</v>
      </c>
      <c r="J504" s="131" t="s">
        <v>555</v>
      </c>
      <c r="K504" s="453">
        <f>decLOB1Cln4WeekProdMod_R2</f>
        <v>0</v>
      </c>
      <c r="L504" s="453">
        <f>decLOB1Cln4WeekProdMod_R2</f>
        <v>0</v>
      </c>
      <c r="M504" s="453">
        <f>decLOB1Cln4WeekProdMod_R2</f>
        <v>0</v>
      </c>
      <c r="N504" s="131" t="s">
        <v>6289</v>
      </c>
    </row>
    <row r="505" spans="1:14" ht="12.75" customHeight="1">
      <c r="A505" s="461"/>
      <c r="B505" s="458"/>
      <c r="C505" s="170">
        <v>5</v>
      </c>
      <c r="D505" s="131" t="s">
        <v>555</v>
      </c>
      <c r="E505" s="453">
        <f>decLOB1Cln5WeekProdMod_R1</f>
        <v>0</v>
      </c>
      <c r="F505" s="453">
        <f>decLOB1Cln5WeekProdMod_R1</f>
        <v>0</v>
      </c>
      <c r="G505" s="453">
        <f>decLOB1Cln5WeekProdMod_R1</f>
        <v>0</v>
      </c>
      <c r="H505" s="131" t="s">
        <v>3752</v>
      </c>
      <c r="J505" s="131" t="s">
        <v>555</v>
      </c>
      <c r="K505" s="453">
        <f>decLOB1Cln5WeekProdMod_R2</f>
        <v>0</v>
      </c>
      <c r="L505" s="453">
        <f>decLOB1Cln5WeekProdMod_R2</f>
        <v>0</v>
      </c>
      <c r="M505" s="453">
        <f>decLOB1Cln5WeekProdMod_R2</f>
        <v>0</v>
      </c>
      <c r="N505" s="131" t="s">
        <v>6290</v>
      </c>
    </row>
    <row r="506" spans="1:14" ht="12.75" customHeight="1">
      <c r="A506" s="461"/>
      <c r="B506" s="458"/>
      <c r="C506" s="170">
        <v>6</v>
      </c>
      <c r="D506" s="131" t="s">
        <v>555</v>
      </c>
      <c r="E506" s="453">
        <f>decLOB1Cln6WeekProdMod_R1</f>
        <v>0</v>
      </c>
      <c r="F506" s="453">
        <f>decLOB1Cln6WeekProdMod_R1</f>
        <v>0</v>
      </c>
      <c r="G506" s="453">
        <f>decLOB1Cln6WeekProdMod_R1</f>
        <v>0</v>
      </c>
      <c r="H506" s="131" t="s">
        <v>3753</v>
      </c>
      <c r="J506" s="131" t="s">
        <v>555</v>
      </c>
      <c r="K506" s="453">
        <f>decLOB1Cln6WeekProdMod_R2</f>
        <v>0</v>
      </c>
      <c r="L506" s="453">
        <f>decLOB1Cln6WeekProdMod_R2</f>
        <v>0</v>
      </c>
      <c r="M506" s="453">
        <f>decLOB1Cln6WeekProdMod_R2</f>
        <v>0</v>
      </c>
      <c r="N506" s="131" t="s">
        <v>6291</v>
      </c>
    </row>
    <row r="507" spans="1:14" ht="12.75" customHeight="1">
      <c r="A507" s="461"/>
      <c r="B507" s="458"/>
      <c r="C507" s="170">
        <v>7</v>
      </c>
      <c r="D507" s="131" t="s">
        <v>555</v>
      </c>
      <c r="E507" s="453">
        <f>decLOB1Cln7WeekProdMod_R1</f>
        <v>0</v>
      </c>
      <c r="F507" s="453">
        <f>decLOB1Cln7WeekProdMod_R1</f>
        <v>0</v>
      </c>
      <c r="G507" s="453">
        <f>decLOB1Cln7WeekProdMod_R1</f>
        <v>0</v>
      </c>
      <c r="H507" s="131" t="s">
        <v>3754</v>
      </c>
      <c r="J507" s="131" t="s">
        <v>555</v>
      </c>
      <c r="K507" s="453">
        <f>decLOB1Cln7WeekProdMod_R2</f>
        <v>0</v>
      </c>
      <c r="L507" s="453">
        <f>decLOB1Cln7WeekProdMod_R2</f>
        <v>0</v>
      </c>
      <c r="M507" s="453">
        <f>decLOB1Cln7WeekProdMod_R2</f>
        <v>0</v>
      </c>
      <c r="N507" s="131" t="s">
        <v>6292</v>
      </c>
    </row>
    <row r="508" spans="1:14" ht="12.75" customHeight="1">
      <c r="A508" s="461"/>
      <c r="B508" s="458"/>
      <c r="C508" s="170">
        <v>8</v>
      </c>
      <c r="D508" s="131" t="s">
        <v>555</v>
      </c>
      <c r="E508" s="453">
        <f>decLOB1Cln8WeekProdMod_R1</f>
        <v>0</v>
      </c>
      <c r="F508" s="453">
        <f>decLOB1Cln8WeekProdMod_R1</f>
        <v>0</v>
      </c>
      <c r="G508" s="453">
        <f>decLOB1Cln8WeekProdMod_R1</f>
        <v>0</v>
      </c>
      <c r="H508" s="131" t="s">
        <v>3755</v>
      </c>
      <c r="J508" s="131" t="s">
        <v>555</v>
      </c>
      <c r="K508" s="453">
        <f>decLOB1Cln8WeekProdMod_R2</f>
        <v>0</v>
      </c>
      <c r="L508" s="453">
        <f>decLOB1Cln8WeekProdMod_R2</f>
        <v>0</v>
      </c>
      <c r="M508" s="453">
        <f>decLOB1Cln8WeekProdMod_R2</f>
        <v>0</v>
      </c>
      <c r="N508" s="131" t="s">
        <v>6293</v>
      </c>
    </row>
    <row r="509" spans="1:14" ht="12.75" customHeight="1">
      <c r="A509" s="461"/>
      <c r="B509" s="458"/>
      <c r="C509" s="170">
        <v>9</v>
      </c>
      <c r="D509" s="131" t="s">
        <v>555</v>
      </c>
      <c r="E509" s="453">
        <f>decLOB1Cln9WeekProdMod_R1</f>
        <v>0</v>
      </c>
      <c r="F509" s="453">
        <f>decLOB1Cln9WeekProdMod_R1</f>
        <v>0</v>
      </c>
      <c r="G509" s="453">
        <f>decLOB1Cln9WeekProdMod_R1</f>
        <v>0</v>
      </c>
      <c r="H509" s="131" t="s">
        <v>3756</v>
      </c>
      <c r="J509" s="131" t="s">
        <v>555</v>
      </c>
      <c r="K509" s="453">
        <f>decLOB1Cln9WeekProdMod_R2</f>
        <v>0</v>
      </c>
      <c r="L509" s="453">
        <f>decLOB1Cln9WeekProdMod_R2</f>
        <v>0</v>
      </c>
      <c r="M509" s="453">
        <f>decLOB1Cln9WeekProdMod_R2</f>
        <v>0</v>
      </c>
      <c r="N509" s="131" t="s">
        <v>6294</v>
      </c>
    </row>
    <row r="510" spans="1:14" ht="12.75" customHeight="1">
      <c r="A510" s="461"/>
      <c r="B510" s="458"/>
      <c r="C510" s="170">
        <v>10</v>
      </c>
      <c r="D510" s="131" t="s">
        <v>555</v>
      </c>
      <c r="E510" s="453">
        <f>decLOB1Cln10WeekProdMod_R1</f>
        <v>0</v>
      </c>
      <c r="F510" s="453">
        <f>decLOB1Cln10WeekProdMod_R1</f>
        <v>0</v>
      </c>
      <c r="G510" s="453">
        <f>decLOB1Cln10WeekProdMod_R1</f>
        <v>0</v>
      </c>
      <c r="H510" s="131" t="s">
        <v>3757</v>
      </c>
      <c r="J510" s="131" t="s">
        <v>555</v>
      </c>
      <c r="K510" s="453">
        <f>decLOB1Cln10WeekProdMod_R2</f>
        <v>0</v>
      </c>
      <c r="L510" s="453">
        <f>decLOB1Cln10WeekProdMod_R2</f>
        <v>0</v>
      </c>
      <c r="M510" s="453">
        <f>decLOB1Cln10WeekProdMod_R2</f>
        <v>0</v>
      </c>
      <c r="N510" s="131" t="s">
        <v>6295</v>
      </c>
    </row>
    <row r="511" spans="1:14" ht="12.75" customHeight="1">
      <c r="A511" s="461"/>
      <c r="B511" s="458"/>
      <c r="C511" s="170">
        <v>11</v>
      </c>
      <c r="D511" s="131" t="s">
        <v>555</v>
      </c>
      <c r="E511" s="453">
        <f>decLOB1Cln11WeekProdMod_R1</f>
        <v>0</v>
      </c>
      <c r="F511" s="453">
        <f>decLOB1Cln11WeekProdMod_R1</f>
        <v>0</v>
      </c>
      <c r="G511" s="453">
        <f>decLOB1Cln11WeekProdMod_R1</f>
        <v>0</v>
      </c>
      <c r="H511" s="131" t="s">
        <v>3758</v>
      </c>
      <c r="J511" s="131" t="s">
        <v>555</v>
      </c>
      <c r="K511" s="453">
        <f>decLOB1Cln11WeekProdMod_R2</f>
        <v>0</v>
      </c>
      <c r="L511" s="453">
        <f>decLOB1Cln11WeekProdMod_R2</f>
        <v>0</v>
      </c>
      <c r="M511" s="453">
        <f>decLOB1Cln11WeekProdMod_R2</f>
        <v>0</v>
      </c>
      <c r="N511" s="131" t="s">
        <v>6296</v>
      </c>
    </row>
    <row r="512" spans="1:14" ht="12.75" customHeight="1">
      <c r="A512" s="461"/>
      <c r="B512" s="458"/>
      <c r="C512" s="170">
        <v>12</v>
      </c>
      <c r="D512" s="131" t="s">
        <v>555</v>
      </c>
      <c r="E512" s="453">
        <f>decLOB1Cln12WeekProdMod_R1</f>
        <v>0</v>
      </c>
      <c r="F512" s="453">
        <f>decLOB1Cln12WeekProdMod_R1</f>
        <v>0</v>
      </c>
      <c r="G512" s="453">
        <f>decLOB1Cln12WeekProdMod_R1</f>
        <v>0</v>
      </c>
      <c r="H512" s="131" t="s">
        <v>3759</v>
      </c>
      <c r="J512" s="131" t="s">
        <v>555</v>
      </c>
      <c r="K512" s="453">
        <f>decLOB1Cln12WeekProdMod_R2</f>
        <v>0</v>
      </c>
      <c r="L512" s="453">
        <f>decLOB1Cln12WeekProdMod_R2</f>
        <v>0</v>
      </c>
      <c r="M512" s="453">
        <f>decLOB1Cln12WeekProdMod_R2</f>
        <v>0</v>
      </c>
      <c r="N512" s="131" t="s">
        <v>6297</v>
      </c>
    </row>
    <row r="513" spans="1:14" ht="12.75" customHeight="1">
      <c r="A513" s="461"/>
      <c r="B513" s="458"/>
    </row>
    <row r="514" spans="1:14" ht="12.75" customHeight="1">
      <c r="A514" s="461"/>
      <c r="B514" s="458"/>
      <c r="C514" s="131" t="s">
        <v>1588</v>
      </c>
    </row>
    <row r="515" spans="1:14" ht="12.75" customHeight="1">
      <c r="A515" s="461"/>
      <c r="B515" s="635"/>
      <c r="C515" s="170">
        <v>1</v>
      </c>
      <c r="D515" s="131" t="s">
        <v>555</v>
      </c>
      <c r="E515" s="453">
        <f>IF(calcLOB1Clinician1Emp2BaseProd=0,0,IF(calcLOB1Clinician1Emp2ModifiedProd=0,calcLOB1Clinician1Emp2BaseProd*paramLOB1Disc3Meetings*paramLOB1Meetings*paramLOB1Clinician1Meetings,calcLOB1Clinician1Emp2ModifiedProd))</f>
        <v>0</v>
      </c>
      <c r="F515" s="453">
        <f>IF(calcLOB1Clinician1Emp2BaseProd=0,0,IF(calcLOB1Clinician1Emp2ModifiedProd=0,calcLOB1Clinician1Emp2BaseProd*paramLOB1Disc3Meetings*paramLOB1Meetings*paramLOB1Clinician1Meetings,calcLOB1Clinician1Emp2ModifiedProd))</f>
        <v>0</v>
      </c>
      <c r="G515" s="453">
        <f>IF(calcLOB1Clinician1Emp2BaseProd=0,0,IF(calcLOB1Clinician1Emp2ModifiedProd=0,calcLOB1Clinician1Emp2BaseProd*paramLOB1Disc3Meetings*paramLOB1Meetings*paramLOB1Clinician1Meetings,calcLOB1Clinician1Emp2ModifiedProd))</f>
        <v>0</v>
      </c>
      <c r="H515" s="131" t="s">
        <v>1795</v>
      </c>
      <c r="J515" s="131" t="s">
        <v>555</v>
      </c>
      <c r="K515" s="453">
        <f>IF(calcR2LOB1Clinician1Emp2BaseProd=0,0,IF(calcR2LOB1Clinician1Emp2ModifiedProd=0,calcR2LOB1Clinician1Emp2BaseProd*paramR2LOB1Disc3Meetings*paramR2LOB1Meetings*paramR2LOB1Clinician1Meetings,calcR2LOB1Clinician1Emp2ModifiedProd))</f>
        <v>0</v>
      </c>
      <c r="L515" s="453">
        <f>IF(calcR2LOB1Clinician1Emp2BaseProd=0,0,IF(calcR2LOB1Clinician1Emp2ModifiedProd=0,calcR2LOB1Clinician1Emp2BaseProd*paramR2LOB1Disc3Meetings*paramR2LOB1Meetings*paramR2LOB1Clinician1Meetings,calcR2LOB1Clinician1Emp2ModifiedProd))</f>
        <v>0</v>
      </c>
      <c r="M515" s="453">
        <f>IF(calcR2LOB1Clinician1Emp2BaseProd=0,0,IF(calcR2LOB1Clinician1Emp2ModifiedProd=0,calcR2LOB1Clinician1Emp2BaseProd*paramR2LOB1Disc3Meetings*paramR2LOB1Meetings*paramR2LOB1Clinician1Meetings,calcR2LOB1Clinician1Emp2ModifiedProd))</f>
        <v>0</v>
      </c>
      <c r="N515" s="131" t="s">
        <v>6298</v>
      </c>
    </row>
    <row r="516" spans="1:14" ht="12.75" customHeight="1">
      <c r="A516" s="461"/>
      <c r="B516" s="635"/>
      <c r="C516" s="170">
        <v>2</v>
      </c>
      <c r="D516" s="131" t="s">
        <v>555</v>
      </c>
      <c r="E516" s="453">
        <f>IF(calcLOB1Clinician2Emp2BaseProd=0,0,IF(calcLOB1Clinician2Emp2ModifiedProd=0,calcLOB1Clinician2Emp2BaseProd*paramLOB1Disc3Meetings*paramLOB1Meetings*paramLOB1Clinician2Meetings,calcLOB1Clinician2Emp2ModifiedProd))</f>
        <v>0</v>
      </c>
      <c r="F516" s="453">
        <f>IF(calcLOB1Clinician2Emp2BaseProd=0,0,IF(calcLOB1Clinician2Emp2ModifiedProd=0,calcLOB1Clinician2Emp2BaseProd*paramLOB1Disc3Meetings*paramLOB1Meetings*paramLOB1Clinician2Meetings,calcLOB1Clinician2Emp2ModifiedProd))</f>
        <v>0</v>
      </c>
      <c r="G516" s="453">
        <f>IF(calcLOB1Clinician2Emp2BaseProd=0,0,IF(calcLOB1Clinician2Emp2ModifiedProd=0,calcLOB1Clinician2Emp2BaseProd*paramLOB1Disc3Meetings*paramLOB1Meetings*paramLOB1Clinician2Meetings,calcLOB1Clinician2Emp2ModifiedProd))</f>
        <v>0</v>
      </c>
      <c r="H516" s="131" t="s">
        <v>1796</v>
      </c>
      <c r="J516" s="131" t="s">
        <v>555</v>
      </c>
      <c r="K516" s="453">
        <f>IF(calcR2LOB1Clinician2Emp2BaseProd=0,0,IF(calcR2LOB1Clinician2Emp2ModifiedProd=0,calcR2LOB1Clinician2Emp2BaseProd*paramR2LOB1Disc3Meetings*paramR2LOB1Meetings*paramR2LOB1Clinician2Meetings,calcR2LOB1Clinician2Emp2ModifiedProd))</f>
        <v>0</v>
      </c>
      <c r="L516" s="453">
        <f>IF(calcR2LOB1Clinician2Emp2BaseProd=0,0,IF(calcR2LOB1Clinician2Emp2ModifiedProd=0,calcR2LOB1Clinician2Emp2BaseProd*paramR2LOB1Disc3Meetings*paramR2LOB1Meetings*paramR2LOB1Clinician2Meetings,calcR2LOB1Clinician2Emp2ModifiedProd))</f>
        <v>0</v>
      </c>
      <c r="M516" s="453">
        <f>IF(calcR2LOB1Clinician2Emp2BaseProd=0,0,IF(calcR2LOB1Clinician2Emp2ModifiedProd=0,calcR2LOB1Clinician2Emp2BaseProd*paramR2LOB1Disc3Meetings*paramR2LOB1Meetings*paramR2LOB1Clinician2Meetings,calcR2LOB1Clinician2Emp2ModifiedProd))</f>
        <v>0</v>
      </c>
      <c r="N516" s="131" t="s">
        <v>6299</v>
      </c>
    </row>
    <row r="517" spans="1:14" ht="12.75" customHeight="1">
      <c r="A517" s="461"/>
      <c r="B517" s="635"/>
      <c r="C517" s="170">
        <v>3</v>
      </c>
      <c r="D517" s="131" t="s">
        <v>555</v>
      </c>
      <c r="E517" s="453">
        <f>IF(calcLOB1Clinician3Emp2BaseProd=0,0,IF(calcLOB1Clinician3Emp2ModifiedProd=0,calcLOB1Clinician3Emp2BaseProd*paramLOB1Disc3Meetings*paramLOB1Meetings*paramLOB1Clinician3Meetings,calcLOB1Clinician3Emp2ModifiedProd))</f>
        <v>0</v>
      </c>
      <c r="F517" s="453">
        <f>IF(calcLOB1Clinician3Emp2BaseProd=0,0,IF(calcLOB1Clinician3Emp2ModifiedProd=0,calcLOB1Clinician3Emp2BaseProd*paramLOB1Disc3Meetings*paramLOB1Meetings*paramLOB1Clinician3Meetings,calcLOB1Clinician3Emp2ModifiedProd))</f>
        <v>0</v>
      </c>
      <c r="G517" s="453">
        <f>IF(calcLOB1Clinician3Emp2BaseProd=0,0,IF(calcLOB1Clinician3Emp2ModifiedProd=0,calcLOB1Clinician3Emp2BaseProd*paramLOB1Disc3Meetings*paramLOB1Meetings*paramLOB1Clinician3Meetings,calcLOB1Clinician3Emp2ModifiedProd))</f>
        <v>0</v>
      </c>
      <c r="H517" s="131" t="s">
        <v>1797</v>
      </c>
      <c r="J517" s="131" t="s">
        <v>555</v>
      </c>
      <c r="K517" s="453">
        <f>IF(calcR2LOB1Clinician3Emp2BaseProd=0,0,IF(calcR2LOB1Clinician3Emp2ModifiedProd=0,calcR2LOB1Clinician3Emp2BaseProd*paramR2LOB1Disc3Meetings*paramR2LOB1Meetings*paramR2LOB1Clinician3Meetings,calcR2LOB1Clinician3Emp2ModifiedProd))</f>
        <v>0</v>
      </c>
      <c r="L517" s="453">
        <f>IF(calcR2LOB1Clinician3Emp2BaseProd=0,0,IF(calcR2LOB1Clinician3Emp2ModifiedProd=0,calcR2LOB1Clinician3Emp2BaseProd*paramR2LOB1Disc3Meetings*paramR2LOB1Meetings*paramR2LOB1Clinician3Meetings,calcR2LOB1Clinician3Emp2ModifiedProd))</f>
        <v>0</v>
      </c>
      <c r="M517" s="453">
        <f>IF(calcR2LOB1Clinician3Emp2BaseProd=0,0,IF(calcR2LOB1Clinician3Emp2ModifiedProd=0,calcR2LOB1Clinician3Emp2BaseProd*paramR2LOB1Disc3Meetings*paramR2LOB1Meetings*paramR2LOB1Clinician3Meetings,calcR2LOB1Clinician3Emp2ModifiedProd))</f>
        <v>0</v>
      </c>
      <c r="N517" s="131" t="s">
        <v>6300</v>
      </c>
    </row>
    <row r="518" spans="1:14" ht="12.75" customHeight="1">
      <c r="A518" s="461"/>
      <c r="B518" s="635"/>
      <c r="C518" s="170">
        <v>4</v>
      </c>
      <c r="D518" s="131" t="s">
        <v>555</v>
      </c>
      <c r="E518" s="453">
        <f>IF(calcLOB1Clinician4Emp2BaseProd=0,0,IF(calcLOB1Clinician4Emp2ModifiedProd=0,calcLOB1Clinician4Emp2BaseProd*paramLOB1Disc3Meetings*paramLOB1Meetings*paramLOB1Clinician4Meetings,calcLOB1Clinician4Emp2ModifiedProd))</f>
        <v>0</v>
      </c>
      <c r="F518" s="453">
        <f>IF(calcLOB1Clinician4Emp2BaseProd=0,0,IF(calcLOB1Clinician4Emp2ModifiedProd=0,calcLOB1Clinician4Emp2BaseProd*paramLOB1Disc3Meetings*paramLOB1Meetings*paramLOB1Clinician4Meetings,calcLOB1Clinician4Emp2ModifiedProd))</f>
        <v>0</v>
      </c>
      <c r="G518" s="453">
        <f>IF(calcLOB1Clinician4Emp2BaseProd=0,0,IF(calcLOB1Clinician4Emp2ModifiedProd=0,calcLOB1Clinician4Emp2BaseProd*paramLOB1Disc3Meetings*paramLOB1Meetings*paramLOB1Clinician4Meetings,calcLOB1Clinician4Emp2ModifiedProd))</f>
        <v>0</v>
      </c>
      <c r="H518" s="131" t="s">
        <v>1798</v>
      </c>
      <c r="J518" s="131" t="s">
        <v>555</v>
      </c>
      <c r="K518" s="453">
        <f>IF(calcR2LOB1Clinician4Emp2BaseProd=0,0,IF(calcR2LOB1Clinician4Emp2ModifiedProd=0,calcR2LOB1Clinician4Emp2BaseProd*paramR2LOB1Disc3Meetings*paramR2LOB1Meetings*paramR2LOB1Clinician4Meetings,calcR2LOB1Clinician4Emp2ModifiedProd))</f>
        <v>0</v>
      </c>
      <c r="L518" s="453">
        <f>IF(calcR2LOB1Clinician4Emp2BaseProd=0,0,IF(calcR2LOB1Clinician4Emp2ModifiedProd=0,calcR2LOB1Clinician4Emp2BaseProd*paramR2LOB1Disc3Meetings*paramR2LOB1Meetings*paramR2LOB1Clinician4Meetings,calcR2LOB1Clinician4Emp2ModifiedProd))</f>
        <v>0</v>
      </c>
      <c r="M518" s="453">
        <f>IF(calcR2LOB1Clinician4Emp2BaseProd=0,0,IF(calcR2LOB1Clinician4Emp2ModifiedProd=0,calcR2LOB1Clinician4Emp2BaseProd*paramR2LOB1Disc3Meetings*paramR2LOB1Meetings*paramR2LOB1Clinician4Meetings,calcR2LOB1Clinician4Emp2ModifiedProd))</f>
        <v>0</v>
      </c>
      <c r="N518" s="131" t="s">
        <v>6301</v>
      </c>
    </row>
    <row r="519" spans="1:14" ht="12.75" customHeight="1">
      <c r="A519" s="461"/>
      <c r="B519" s="635"/>
      <c r="C519" s="170">
        <v>5</v>
      </c>
      <c r="D519" s="131" t="s">
        <v>555</v>
      </c>
      <c r="E519" s="453">
        <f>IF(calcLOB1Clinician5Emp2BaseProd=0,0,IF(calcLOB1Clinician5Emp2ModifiedProd=0,calcLOB1Clinician5Emp2BaseProd*paramLOB1Disc3Meetings*paramLOB1Meetings*paramLOB1Clinician5Meetings,calcLOB1Clinician5Emp2ModifiedProd))</f>
        <v>0</v>
      </c>
      <c r="F519" s="453">
        <f>IF(calcLOB1Clinician5Emp2BaseProd=0,0,IF(calcLOB1Clinician5Emp2ModifiedProd=0,calcLOB1Clinician5Emp2BaseProd*paramLOB1Disc3Meetings*paramLOB1Meetings*paramLOB1Clinician5Meetings,calcLOB1Clinician5Emp2ModifiedProd))</f>
        <v>0</v>
      </c>
      <c r="G519" s="453">
        <f>IF(calcLOB1Clinician5Emp2BaseProd=0,0,IF(calcLOB1Clinician5Emp2ModifiedProd=0,calcLOB1Clinician5Emp2BaseProd*paramLOB1Disc3Meetings*paramLOB1Meetings*paramLOB1Clinician5Meetings,calcLOB1Clinician5Emp2ModifiedProd))</f>
        <v>0</v>
      </c>
      <c r="H519" s="131" t="s">
        <v>1799</v>
      </c>
      <c r="J519" s="131" t="s">
        <v>555</v>
      </c>
      <c r="K519" s="453">
        <f>IF(calcR2LOB1Clinician5Emp2BaseProd=0,0,IF(calcR2LOB1Clinician5Emp2ModifiedProd=0,calcR2LOB1Clinician5Emp2BaseProd*paramR2LOB1Disc3Meetings*paramR2LOB1Meetings*paramR2LOB1Clinician5Meetings,calcR2LOB1Clinician5Emp2ModifiedProd))</f>
        <v>0</v>
      </c>
      <c r="L519" s="453">
        <f>IF(calcR2LOB1Clinician5Emp2BaseProd=0,0,IF(calcR2LOB1Clinician5Emp2ModifiedProd=0,calcR2LOB1Clinician5Emp2BaseProd*paramR2LOB1Disc3Meetings*paramR2LOB1Meetings*paramR2LOB1Clinician5Meetings,calcR2LOB1Clinician5Emp2ModifiedProd))</f>
        <v>0</v>
      </c>
      <c r="M519" s="453">
        <f>IF(calcR2LOB1Clinician5Emp2BaseProd=0,0,IF(calcR2LOB1Clinician5Emp2ModifiedProd=0,calcR2LOB1Clinician5Emp2BaseProd*paramR2LOB1Disc3Meetings*paramR2LOB1Meetings*paramR2LOB1Clinician5Meetings,calcR2LOB1Clinician5Emp2ModifiedProd))</f>
        <v>0</v>
      </c>
      <c r="N519" s="131" t="s">
        <v>6302</v>
      </c>
    </row>
    <row r="520" spans="1:14" ht="12.75" customHeight="1">
      <c r="A520" s="461"/>
      <c r="B520" s="635"/>
      <c r="C520" s="170">
        <v>6</v>
      </c>
      <c r="D520" s="131" t="s">
        <v>555</v>
      </c>
      <c r="E520" s="453">
        <f>IF(calcLOB1Clinician6Emp2BaseProd=0,0,IF(calcLOB1Clinician6Emp2ModifiedProd=0,calcLOB1Clinician6Emp2BaseProd*paramLOB1Disc3Meetings*paramLOB1Meetings*paramLOB1Clinician6Meetings,calcLOB1Clinician6Emp2ModifiedProd))</f>
        <v>0</v>
      </c>
      <c r="F520" s="453">
        <f>IF(calcLOB1Clinician6Emp2BaseProd=0,0,IF(calcLOB1Clinician6Emp2ModifiedProd=0,calcLOB1Clinician6Emp2BaseProd*paramLOB1Disc3Meetings*paramLOB1Meetings*paramLOB1Clinician6Meetings,calcLOB1Clinician6Emp2ModifiedProd))</f>
        <v>0</v>
      </c>
      <c r="G520" s="453">
        <f>IF(calcLOB1Clinician6Emp2BaseProd=0,0,IF(calcLOB1Clinician6Emp2ModifiedProd=0,calcLOB1Clinician6Emp2BaseProd*paramLOB1Disc3Meetings*paramLOB1Meetings*paramLOB1Clinician6Meetings,calcLOB1Clinician6Emp2ModifiedProd))</f>
        <v>0</v>
      </c>
      <c r="H520" s="131" t="s">
        <v>1800</v>
      </c>
      <c r="J520" s="131" t="s">
        <v>555</v>
      </c>
      <c r="K520" s="453">
        <f>IF(calcR2LOB1Clinician6Emp2BaseProd=0,0,IF(calcR2LOB1Clinician6Emp2ModifiedProd=0,calcR2LOB1Clinician6Emp2BaseProd*paramR2LOB1Disc3Meetings*paramR2LOB1Meetings*paramR2LOB1Clinician6Meetings,calcR2LOB1Clinician6Emp2ModifiedProd))</f>
        <v>0</v>
      </c>
      <c r="L520" s="453">
        <f>IF(calcR2LOB1Clinician6Emp2BaseProd=0,0,IF(calcR2LOB1Clinician6Emp2ModifiedProd=0,calcR2LOB1Clinician6Emp2BaseProd*paramR2LOB1Disc3Meetings*paramR2LOB1Meetings*paramR2LOB1Clinician6Meetings,calcR2LOB1Clinician6Emp2ModifiedProd))</f>
        <v>0</v>
      </c>
      <c r="M520" s="453">
        <f>IF(calcR2LOB1Clinician6Emp2BaseProd=0,0,IF(calcR2LOB1Clinician6Emp2ModifiedProd=0,calcR2LOB1Clinician6Emp2BaseProd*paramR2LOB1Disc3Meetings*paramR2LOB1Meetings*paramR2LOB1Clinician6Meetings,calcR2LOB1Clinician6Emp2ModifiedProd))</f>
        <v>0</v>
      </c>
      <c r="N520" s="131" t="s">
        <v>6303</v>
      </c>
    </row>
    <row r="521" spans="1:14" ht="12.75" customHeight="1">
      <c r="A521" s="461"/>
      <c r="B521" s="635"/>
      <c r="C521" s="170">
        <v>7</v>
      </c>
      <c r="D521" s="131" t="s">
        <v>555</v>
      </c>
      <c r="E521" s="453">
        <f>IF(calcLOB1Clinician7Emp2BaseProd=0,0,IF(calcLOB1Clinician7Emp2ModifiedProd=0,calcLOB1Clinician7Emp2BaseProd*paramLOB1Disc3Meetings*paramLOB1Meetings*paramLOB1Clinician7Meetings,calcLOB1Clinician7Emp2ModifiedProd))</f>
        <v>0</v>
      </c>
      <c r="F521" s="453">
        <f>IF(calcLOB1Clinician7Emp2BaseProd=0,0,IF(calcLOB1Clinician7Emp2ModifiedProd=0,calcLOB1Clinician7Emp2BaseProd*paramLOB1Disc3Meetings*paramLOB1Meetings*paramLOB1Clinician7Meetings,calcLOB1Clinician7Emp2ModifiedProd))</f>
        <v>0</v>
      </c>
      <c r="G521" s="453">
        <f>IF(calcLOB1Clinician7Emp2BaseProd=0,0,IF(calcLOB1Clinician7Emp2ModifiedProd=0,calcLOB1Clinician7Emp2BaseProd*paramLOB1Disc3Meetings*paramLOB1Meetings*paramLOB1Clinician7Meetings,calcLOB1Clinician7Emp2ModifiedProd))</f>
        <v>0</v>
      </c>
      <c r="H521" s="131" t="s">
        <v>1801</v>
      </c>
      <c r="J521" s="131" t="s">
        <v>555</v>
      </c>
      <c r="K521" s="453">
        <f>IF(calcR2LOB1Clinician7Emp2BaseProd=0,0,IF(calcR2LOB1Clinician7Emp2ModifiedProd=0,calcR2LOB1Clinician7Emp2BaseProd*paramR2LOB1Disc3Meetings*paramR2LOB1Meetings*paramR2LOB1Clinician7Meetings,calcR2LOB1Clinician7Emp2ModifiedProd))</f>
        <v>0</v>
      </c>
      <c r="L521" s="453">
        <f>IF(calcR2LOB1Clinician7Emp2BaseProd=0,0,IF(calcR2LOB1Clinician7Emp2ModifiedProd=0,calcR2LOB1Clinician7Emp2BaseProd*paramR2LOB1Disc3Meetings*paramR2LOB1Meetings*paramR2LOB1Clinician7Meetings,calcR2LOB1Clinician7Emp2ModifiedProd))</f>
        <v>0</v>
      </c>
      <c r="M521" s="453">
        <f>IF(calcR2LOB1Clinician7Emp2BaseProd=0,0,IF(calcR2LOB1Clinician7Emp2ModifiedProd=0,calcR2LOB1Clinician7Emp2BaseProd*paramR2LOB1Disc3Meetings*paramR2LOB1Meetings*paramR2LOB1Clinician7Meetings,calcR2LOB1Clinician7Emp2ModifiedProd))</f>
        <v>0</v>
      </c>
      <c r="N521" s="131" t="s">
        <v>6304</v>
      </c>
    </row>
    <row r="522" spans="1:14" ht="12.75" customHeight="1">
      <c r="A522" s="461"/>
      <c r="B522" s="635"/>
      <c r="C522" s="170">
        <v>8</v>
      </c>
      <c r="D522" s="131" t="s">
        <v>555</v>
      </c>
      <c r="E522" s="453">
        <f>IF(calcLOB1Clinician8Emp2BaseProd=0,0,IF(calcLOB1Clinician8Emp2ModifiedProd=0,calcLOB1Clinician8Emp2BaseProd*paramLOB1Disc3Meetings*paramLOB1Meetings*paramLOB1Clinician8Meetings,calcLOB1Clinician8Emp2ModifiedProd))</f>
        <v>0</v>
      </c>
      <c r="F522" s="453">
        <f>IF(calcLOB1Clinician8Emp2BaseProd=0,0,IF(calcLOB1Clinician8Emp2ModifiedProd=0,calcLOB1Clinician8Emp2BaseProd*paramLOB1Disc3Meetings*paramLOB1Meetings*paramLOB1Clinician8Meetings,calcLOB1Clinician8Emp2ModifiedProd))</f>
        <v>0</v>
      </c>
      <c r="G522" s="453">
        <f>IF(calcLOB1Clinician8Emp2BaseProd=0,0,IF(calcLOB1Clinician8Emp2ModifiedProd=0,calcLOB1Clinician8Emp2BaseProd*paramLOB1Disc3Meetings*paramLOB1Meetings*paramLOB1Clinician8Meetings,calcLOB1Clinician8Emp2ModifiedProd))</f>
        <v>0</v>
      </c>
      <c r="H522" s="131" t="s">
        <v>1802</v>
      </c>
      <c r="J522" s="131" t="s">
        <v>555</v>
      </c>
      <c r="K522" s="453">
        <f>IF(calcR2LOB1Clinician8Emp2BaseProd=0,0,IF(calcR2LOB1Clinician8Emp2ModifiedProd=0,calcR2LOB1Clinician8Emp2BaseProd*paramR2LOB1Disc3Meetings*paramR2LOB1Meetings*paramR2LOB1Clinician8Meetings,calcR2LOB1Clinician8Emp2ModifiedProd))</f>
        <v>0</v>
      </c>
      <c r="L522" s="453">
        <f>IF(calcR2LOB1Clinician8Emp2BaseProd=0,0,IF(calcR2LOB1Clinician8Emp2ModifiedProd=0,calcR2LOB1Clinician8Emp2BaseProd*paramR2LOB1Disc3Meetings*paramR2LOB1Meetings*paramR2LOB1Clinician8Meetings,calcR2LOB1Clinician8Emp2ModifiedProd))</f>
        <v>0</v>
      </c>
      <c r="M522" s="453">
        <f>IF(calcR2LOB1Clinician8Emp2BaseProd=0,0,IF(calcR2LOB1Clinician8Emp2ModifiedProd=0,calcR2LOB1Clinician8Emp2BaseProd*paramR2LOB1Disc3Meetings*paramR2LOB1Meetings*paramR2LOB1Clinician8Meetings,calcR2LOB1Clinician8Emp2ModifiedProd))</f>
        <v>0</v>
      </c>
      <c r="N522" s="131" t="s">
        <v>6305</v>
      </c>
    </row>
    <row r="523" spans="1:14" ht="12.75" customHeight="1">
      <c r="A523" s="461"/>
      <c r="B523" s="635"/>
      <c r="C523" s="170">
        <v>9</v>
      </c>
      <c r="D523" s="131" t="s">
        <v>555</v>
      </c>
      <c r="E523" s="453">
        <f>IF(calcLOB1Clinician9Emp2BaseProd=0,0,IF(calcLOB1Clinician9Emp2ModifiedProd=0,calcLOB1Clinician9Emp2BaseProd*paramLOB1Disc3Meetings*paramLOB1Meetings*paramLOB1Clinician9Meetings,calcLOB1Clinician9Emp2ModifiedProd))</f>
        <v>0</v>
      </c>
      <c r="F523" s="453">
        <f>IF(calcLOB1Clinician9Emp2BaseProd=0,0,IF(calcLOB1Clinician9Emp2ModifiedProd=0,calcLOB1Clinician9Emp2BaseProd*paramLOB1Disc3Meetings*paramLOB1Meetings*paramLOB1Clinician9Meetings,calcLOB1Clinician9Emp2ModifiedProd))</f>
        <v>0</v>
      </c>
      <c r="G523" s="453">
        <f>IF(calcLOB1Clinician9Emp2BaseProd=0,0,IF(calcLOB1Clinician9Emp2ModifiedProd=0,calcLOB1Clinician9Emp2BaseProd*paramLOB1Disc3Meetings*paramLOB1Meetings*paramLOB1Clinician9Meetings,calcLOB1Clinician9Emp2ModifiedProd))</f>
        <v>0</v>
      </c>
      <c r="H523" s="131" t="s">
        <v>1803</v>
      </c>
      <c r="J523" s="131" t="s">
        <v>555</v>
      </c>
      <c r="K523" s="453">
        <f>IF(calcR2LOB1Clinician9Emp2BaseProd=0,0,IF(calcR2LOB1Clinician9Emp2ModifiedProd=0,calcR2LOB1Clinician9Emp2BaseProd*paramR2LOB1Disc3Meetings*paramR2LOB1Meetings*paramR2LOB1Clinician9Meetings,calcR2LOB1Clinician9Emp2ModifiedProd))</f>
        <v>0</v>
      </c>
      <c r="L523" s="453">
        <f>IF(calcR2LOB1Clinician9Emp2BaseProd=0,0,IF(calcR2LOB1Clinician9Emp2ModifiedProd=0,calcR2LOB1Clinician9Emp2BaseProd*paramR2LOB1Disc3Meetings*paramR2LOB1Meetings*paramR2LOB1Clinician9Meetings,calcR2LOB1Clinician9Emp2ModifiedProd))</f>
        <v>0</v>
      </c>
      <c r="M523" s="453">
        <f>IF(calcR2LOB1Clinician9Emp2BaseProd=0,0,IF(calcR2LOB1Clinician9Emp2ModifiedProd=0,calcR2LOB1Clinician9Emp2BaseProd*paramR2LOB1Disc3Meetings*paramR2LOB1Meetings*paramR2LOB1Clinician9Meetings,calcR2LOB1Clinician9Emp2ModifiedProd))</f>
        <v>0</v>
      </c>
      <c r="N523" s="131" t="s">
        <v>6306</v>
      </c>
    </row>
    <row r="524" spans="1:14" ht="12.75" customHeight="1">
      <c r="A524" s="461"/>
      <c r="B524" s="635"/>
      <c r="C524" s="170">
        <v>10</v>
      </c>
      <c r="D524" s="131" t="s">
        <v>555</v>
      </c>
      <c r="E524" s="453">
        <f>IF(calcLOB1Clinician10Emp2BaseProd=0,0,IF(calcLOB1Clinician10Emp2ModifiedProd=0,calcLOB1Clinician10Emp2BaseProd*paramLOB1Disc3Meetings*paramLOB1Meetings*paramLOB1Clinician10Meetings,calcLOB1Clinician10Emp2ModifiedProd))</f>
        <v>25.05263157894737</v>
      </c>
      <c r="F524" s="453">
        <f>IF(calcLOB1Clinician10Emp2BaseProd=0,0,IF(calcLOB1Clinician10Emp2ModifiedProd=0,calcLOB1Clinician10Emp2BaseProd*paramLOB1Disc3Meetings*paramLOB1Meetings*paramLOB1Clinician10Meetings,calcLOB1Clinician10Emp2ModifiedProd))</f>
        <v>25.05263157894737</v>
      </c>
      <c r="G524" s="453">
        <f>IF(calcLOB1Clinician10Emp2BaseProd=0,0,IF(calcLOB1Clinician10Emp2ModifiedProd=0,calcLOB1Clinician10Emp2BaseProd*paramLOB1Disc3Meetings*paramLOB1Meetings*paramLOB1Clinician10Meetings,calcLOB1Clinician10Emp2ModifiedProd))</f>
        <v>25.05263157894737</v>
      </c>
      <c r="H524" s="131" t="s">
        <v>1804</v>
      </c>
      <c r="J524" s="131" t="s">
        <v>555</v>
      </c>
      <c r="K524" s="453">
        <f>IF(calcR2LOB1Clinician10Emp2BaseProd=0,0,IF(calcR2LOB1Clinician10Emp2ModifiedProd=0,calcR2LOB1Clinician10Emp2BaseProd*paramR2LOB1Disc3Meetings*paramR2LOB1Meetings*paramR2LOB1Clinician10Meetings,calcR2LOB1Clinician10Emp2ModifiedProd))</f>
        <v>25.05263157894737</v>
      </c>
      <c r="L524" s="453">
        <f>IF(calcR2LOB1Clinician10Emp2BaseProd=0,0,IF(calcR2LOB1Clinician10Emp2ModifiedProd=0,calcR2LOB1Clinician10Emp2BaseProd*paramR2LOB1Disc3Meetings*paramR2LOB1Meetings*paramR2LOB1Clinician10Meetings,calcR2LOB1Clinician10Emp2ModifiedProd))</f>
        <v>25.05263157894737</v>
      </c>
      <c r="M524" s="453">
        <f>IF(calcR2LOB1Clinician10Emp2BaseProd=0,0,IF(calcR2LOB1Clinician10Emp2ModifiedProd=0,calcR2LOB1Clinician10Emp2BaseProd*paramR2LOB1Disc3Meetings*paramR2LOB1Meetings*paramR2LOB1Clinician10Meetings,calcR2LOB1Clinician10Emp2ModifiedProd))</f>
        <v>25.05263157894737</v>
      </c>
      <c r="N524" s="131" t="s">
        <v>6307</v>
      </c>
    </row>
    <row r="525" spans="1:14" ht="12.75" customHeight="1">
      <c r="A525" s="461"/>
      <c r="B525" s="635"/>
      <c r="C525" s="170">
        <v>11</v>
      </c>
      <c r="D525" s="131" t="s">
        <v>555</v>
      </c>
      <c r="E525" s="453">
        <f>IF(calcLOB1Clinician11Emp2BaseProd=0,0,IF(calcLOB1Clinician11Emp2ModifiedProd=0,calcLOB1Clinician11Emp2BaseProd*paramLOB1Disc3Meetings*paramLOB1Meetings*paramLOB1Clinician11Meetings,calcLOB1Clinician11Emp2ModifiedProd))</f>
        <v>0</v>
      </c>
      <c r="F525" s="453">
        <f>IF(calcLOB1Clinician11Emp2BaseProd=0,0,IF(calcLOB1Clinician11Emp2ModifiedProd=0,calcLOB1Clinician11Emp2BaseProd*paramLOB1Disc3Meetings*paramLOB1Meetings*paramLOB1Clinician11Meetings,calcLOB1Clinician11Emp2ModifiedProd))</f>
        <v>0</v>
      </c>
      <c r="G525" s="453">
        <f>IF(calcLOB1Clinician11Emp2BaseProd=0,0,IF(calcLOB1Clinician11Emp2ModifiedProd=0,calcLOB1Clinician11Emp2BaseProd*paramLOB1Disc3Meetings*paramLOB1Meetings*paramLOB1Clinician11Meetings,calcLOB1Clinician11Emp2ModifiedProd))</f>
        <v>0</v>
      </c>
      <c r="H525" s="131" t="s">
        <v>1805</v>
      </c>
      <c r="J525" s="131" t="s">
        <v>555</v>
      </c>
      <c r="K525" s="453">
        <f>IF(calcR2LOB1Clinician11Emp2BaseProd=0,0,IF(calcR2LOB1Clinician11Emp2ModifiedProd=0,calcR2LOB1Clinician11Emp2BaseProd*paramR2LOB1Disc3Meetings*paramR2LOB1Meetings*paramR2LOB1Clinician11Meetings,calcR2LOB1Clinician11Emp2ModifiedProd))</f>
        <v>0</v>
      </c>
      <c r="L525" s="453">
        <f>IF(calcR2LOB1Clinician11Emp2BaseProd=0,0,IF(calcR2LOB1Clinician11Emp2ModifiedProd=0,calcR2LOB1Clinician11Emp2BaseProd*paramR2LOB1Disc3Meetings*paramR2LOB1Meetings*paramR2LOB1Clinician11Meetings,calcR2LOB1Clinician11Emp2ModifiedProd))</f>
        <v>0</v>
      </c>
      <c r="M525" s="453">
        <f>IF(calcR2LOB1Clinician11Emp2BaseProd=0,0,IF(calcR2LOB1Clinician11Emp2ModifiedProd=0,calcR2LOB1Clinician11Emp2BaseProd*paramR2LOB1Disc3Meetings*paramR2LOB1Meetings*paramR2LOB1Clinician11Meetings,calcR2LOB1Clinician11Emp2ModifiedProd))</f>
        <v>0</v>
      </c>
      <c r="N525" s="131" t="s">
        <v>6308</v>
      </c>
    </row>
    <row r="526" spans="1:14" ht="12.75" customHeight="1">
      <c r="A526" s="461"/>
      <c r="B526" s="635"/>
      <c r="C526" s="170">
        <v>12</v>
      </c>
      <c r="D526" s="131" t="s">
        <v>555</v>
      </c>
      <c r="E526" s="453">
        <f>IF(calcLOB1Clinician12Emp2BaseProd=0,0,IF(calcLOB1Clinician12Emp2ModifiedProd=0,calcLOB1Clinician12Emp2BaseProd*paramLOB1Disc3Meetings*paramLOB1Meetings*paramLOB1Clinician12Meetings,calcLOB1Clinician12Emp2ModifiedProd))</f>
        <v>0</v>
      </c>
      <c r="F526" s="453">
        <f>IF(calcLOB1Clinician12Emp2BaseProd=0,0,IF(calcLOB1Clinician12Emp2ModifiedProd=0,calcLOB1Clinician12Emp2BaseProd*paramLOB1Disc3Meetings*paramLOB1Meetings*paramLOB1Clinician12Meetings,calcLOB1Clinician12Emp2ModifiedProd))</f>
        <v>0</v>
      </c>
      <c r="G526" s="453">
        <f>IF(calcLOB1Clinician12Emp2BaseProd=0,0,IF(calcLOB1Clinician12Emp2ModifiedProd=0,calcLOB1Clinician12Emp2BaseProd*paramLOB1Disc3Meetings*paramLOB1Meetings*paramLOB1Clinician12Meetings,calcLOB1Clinician12Emp2ModifiedProd))</f>
        <v>0</v>
      </c>
      <c r="H526" s="131" t="s">
        <v>1806</v>
      </c>
      <c r="J526" s="131" t="s">
        <v>555</v>
      </c>
      <c r="K526" s="453">
        <f>IF(calcR2LOB1Clinician12Emp2BaseProd=0,0,IF(calcR2LOB1Clinician12Emp2ModifiedProd=0,calcR2LOB1Clinician12Emp2BaseProd*paramR2LOB1Disc3Meetings*paramR2LOB1Meetings*paramR2LOB1Clinician12Meetings,calcR2LOB1Clinician12Emp2ModifiedProd))</f>
        <v>0</v>
      </c>
      <c r="L526" s="453">
        <f>IF(calcR2LOB1Clinician12Emp2BaseProd=0,0,IF(calcR2LOB1Clinician12Emp2ModifiedProd=0,calcR2LOB1Clinician12Emp2BaseProd*paramR2LOB1Disc3Meetings*paramR2LOB1Meetings*paramR2LOB1Clinician12Meetings,calcR2LOB1Clinician12Emp2ModifiedProd))</f>
        <v>0</v>
      </c>
      <c r="M526" s="453">
        <f>IF(calcR2LOB1Clinician12Emp2BaseProd=0,0,IF(calcR2LOB1Clinician12Emp2ModifiedProd=0,calcR2LOB1Clinician12Emp2BaseProd*paramR2LOB1Disc3Meetings*paramR2LOB1Meetings*paramR2LOB1Clinician12Meetings,calcR2LOB1Clinician12Emp2ModifiedProd))</f>
        <v>0</v>
      </c>
      <c r="N526" s="131" t="s">
        <v>6309</v>
      </c>
    </row>
    <row r="527" spans="1:14" ht="12.75" customHeight="1">
      <c r="A527" s="461"/>
      <c r="B527" s="635"/>
      <c r="D527" s="131" t="s">
        <v>555</v>
      </c>
      <c r="E527" s="453">
        <f>cbalLOB1AvgProdClinician16</f>
        <v>74.385000000000005</v>
      </c>
      <c r="F527" s="453">
        <f>cbalLOB1AvgProdClinician16</f>
        <v>146.13374999999999</v>
      </c>
      <c r="G527" s="453">
        <f>cbalLOB1AvgProdClinician16</f>
        <v>84.944249999999997</v>
      </c>
      <c r="H527" s="131" t="s">
        <v>4051</v>
      </c>
      <c r="J527" s="131" t="s">
        <v>555</v>
      </c>
      <c r="K527" s="453">
        <f>cbalR2LOB1AvgProdClinician16</f>
        <v>61.369900106805467</v>
      </c>
      <c r="L527" s="453">
        <f>cbalR2LOB1AvgProdClinician16</f>
        <v>145.2856792219219</v>
      </c>
      <c r="M527" s="453">
        <f>cbalR2LOB1AvgProdClinician16</f>
        <v>79.65138546233436</v>
      </c>
      <c r="N527" s="131" t="s">
        <v>6310</v>
      </c>
    </row>
    <row r="528" spans="1:14" ht="1.5" customHeight="1">
      <c r="A528" s="461"/>
      <c r="B528" s="635"/>
      <c r="D528" s="449"/>
      <c r="E528" s="450"/>
      <c r="F528" s="450"/>
      <c r="G528" s="450"/>
      <c r="H528" s="131"/>
      <c r="J528" s="449"/>
      <c r="K528" s="450"/>
      <c r="L528" s="450"/>
      <c r="M528" s="450"/>
      <c r="N528" s="131"/>
    </row>
    <row r="529" spans="1:14" ht="12.75" customHeight="1">
      <c r="A529" s="461"/>
      <c r="B529" s="635"/>
      <c r="D529" s="131" t="s">
        <v>1587</v>
      </c>
      <c r="E529" s="448">
        <f>SUM(E515:E528)</f>
        <v>99.437631578947375</v>
      </c>
      <c r="F529" s="448">
        <f t="shared" ref="F529:G529" si="68">SUM(F515:F528)</f>
        <v>171.18638157894736</v>
      </c>
      <c r="G529" s="448">
        <f t="shared" si="68"/>
        <v>109.99688157894737</v>
      </c>
      <c r="H529" s="131" t="s">
        <v>8347</v>
      </c>
      <c r="J529" s="131" t="s">
        <v>1587</v>
      </c>
      <c r="K529" s="448">
        <f>SUM(K515:K528)</f>
        <v>86.42253168575283</v>
      </c>
      <c r="L529" s="448">
        <f t="shared" ref="L529" si="69">SUM(L515:L528)</f>
        <v>170.33831080086927</v>
      </c>
      <c r="M529" s="448">
        <f t="shared" ref="M529" si="70">SUM(M515:M528)</f>
        <v>104.70401704128173</v>
      </c>
      <c r="N529" s="131" t="s">
        <v>8348</v>
      </c>
    </row>
    <row r="530" spans="1:14" ht="12.75" customHeight="1">
      <c r="A530" s="461"/>
      <c r="B530" s="635"/>
    </row>
    <row r="531" spans="1:14" ht="12.75" customHeight="1">
      <c r="A531" s="461"/>
      <c r="B531" s="635"/>
      <c r="C531" s="131" t="s">
        <v>1615</v>
      </c>
    </row>
    <row r="532" spans="1:14" ht="12.75" customHeight="1">
      <c r="A532" s="461"/>
      <c r="B532" s="635"/>
      <c r="C532" s="170">
        <v>1</v>
      </c>
      <c r="D532" s="131" t="s">
        <v>555</v>
      </c>
      <c r="E532" s="539">
        <f>IF(calcLOB1Clinician1Emp2BaseProd=0,0,cbalLOB1AvgMissPercClinician1*paramLOB1Disc3Missed*paramLOB1Clinician1Missed)</f>
        <v>0</v>
      </c>
      <c r="F532" s="539">
        <f>IF(calcLOB1Clinician1Emp2BaseProd=0,0,cbalLOB1AvgMissPercClinician1*paramLOB1Disc3Missed*paramLOB1Clinician1Missed)</f>
        <v>0</v>
      </c>
      <c r="G532" s="539">
        <f>IF(calcLOB1Clinician1Emp2BaseProd=0,0,cbalLOB1AvgMissPercClinician1*paramLOB1Disc3Missed*paramLOB1Clinician1Missed)</f>
        <v>0</v>
      </c>
      <c r="H532" s="131" t="s">
        <v>5136</v>
      </c>
      <c r="J532" s="131" t="s">
        <v>555</v>
      </c>
      <c r="K532" s="539">
        <f>IF(calcR2LOB1Clinician1Emp2BaseProd=0,0,cbalR2LOB1AvgMissPercClinician1*paramR2LOB1Disc3Missed*paramR2LOB1Clinician1Missed)</f>
        <v>0</v>
      </c>
      <c r="L532" s="539">
        <f>IF(calcR2LOB1Clinician1Emp2BaseProd=0,0,cbalR2LOB1AvgMissPercClinician1*paramR2LOB1Disc3Missed*paramR2LOB1Clinician1Missed)</f>
        <v>0</v>
      </c>
      <c r="M532" s="539">
        <f>IF(calcR2LOB1Clinician1Emp2BaseProd=0,0,cbalR2LOB1AvgMissPercClinician1*paramR2LOB1Disc3Missed*paramR2LOB1Clinician1Missed)</f>
        <v>0</v>
      </c>
      <c r="N532" s="131" t="s">
        <v>6311</v>
      </c>
    </row>
    <row r="533" spans="1:14" ht="12.75" customHeight="1">
      <c r="A533" s="461"/>
      <c r="B533" s="635"/>
      <c r="C533" s="170">
        <v>2</v>
      </c>
      <c r="D533" s="131" t="s">
        <v>555</v>
      </c>
      <c r="E533" s="539">
        <f>IF(calcLOB1Clinician2Emp2BaseProd=0,0,cbalLOB1AvgMissPercClinician2*paramLOB1Disc3Missed*paramLOB1Clinician2Missed)</f>
        <v>0</v>
      </c>
      <c r="F533" s="539">
        <f>IF(calcLOB1Clinician2Emp2BaseProd=0,0,cbalLOB1AvgMissPercClinician2*paramLOB1Disc3Missed*paramLOB1Clinician2Missed)</f>
        <v>0</v>
      </c>
      <c r="G533" s="539">
        <f>IF(calcLOB1Clinician2Emp2BaseProd=0,0,cbalLOB1AvgMissPercClinician2*paramLOB1Disc3Missed*paramLOB1Clinician2Missed)</f>
        <v>0</v>
      </c>
      <c r="H533" s="131" t="s">
        <v>5137</v>
      </c>
      <c r="J533" s="131" t="s">
        <v>555</v>
      </c>
      <c r="K533" s="539">
        <f>IF(calcR2LOB1Clinician2Emp2BaseProd=0,0,cbalR2LOB1AvgMissPercClinician2*paramR2LOB1Disc3Missed*paramR2LOB1Clinician2Missed)</f>
        <v>0</v>
      </c>
      <c r="L533" s="539">
        <f>IF(calcR2LOB1Clinician2Emp2BaseProd=0,0,cbalR2LOB1AvgMissPercClinician2*paramR2LOB1Disc3Missed*paramR2LOB1Clinician2Missed)</f>
        <v>0</v>
      </c>
      <c r="M533" s="539">
        <f>IF(calcR2LOB1Clinician2Emp2BaseProd=0,0,cbalR2LOB1AvgMissPercClinician2*paramR2LOB1Disc3Missed*paramR2LOB1Clinician2Missed)</f>
        <v>0</v>
      </c>
      <c r="N533" s="131" t="s">
        <v>6312</v>
      </c>
    </row>
    <row r="534" spans="1:14" ht="12.75" customHeight="1">
      <c r="A534" s="461"/>
      <c r="B534" s="635"/>
      <c r="C534" s="170">
        <v>3</v>
      </c>
      <c r="D534" s="131" t="s">
        <v>555</v>
      </c>
      <c r="E534" s="539">
        <f>IF(calcLOB1Clinician3Emp2BaseProd=0,0,cbalLOB1AvgMissPercClinician3*paramLOB1Disc3Missed*paramLOB1Clinician3Missed)</f>
        <v>0</v>
      </c>
      <c r="F534" s="539">
        <f>IF(calcLOB1Clinician3Emp2BaseProd=0,0,cbalLOB1AvgMissPercClinician3*paramLOB1Disc3Missed*paramLOB1Clinician3Missed)</f>
        <v>0</v>
      </c>
      <c r="G534" s="539">
        <f>IF(calcLOB1Clinician3Emp2BaseProd=0,0,cbalLOB1AvgMissPercClinician3*paramLOB1Disc3Missed*paramLOB1Clinician3Missed)</f>
        <v>0</v>
      </c>
      <c r="H534" s="131" t="s">
        <v>5138</v>
      </c>
      <c r="J534" s="131" t="s">
        <v>555</v>
      </c>
      <c r="K534" s="539">
        <f>IF(calcR2LOB1Clinician3Emp2BaseProd=0,0,cbalR2LOB1AvgMissPercClinician3*paramR2LOB1Disc3Missed*paramR2LOB1Clinician3Missed)</f>
        <v>0</v>
      </c>
      <c r="L534" s="539">
        <f>IF(calcR2LOB1Clinician3Emp2BaseProd=0,0,cbalR2LOB1AvgMissPercClinician3*paramR2LOB1Disc3Missed*paramR2LOB1Clinician3Missed)</f>
        <v>0</v>
      </c>
      <c r="M534" s="539">
        <f>IF(calcR2LOB1Clinician3Emp2BaseProd=0,0,cbalR2LOB1AvgMissPercClinician3*paramR2LOB1Disc3Missed*paramR2LOB1Clinician3Missed)</f>
        <v>0</v>
      </c>
      <c r="N534" s="131" t="s">
        <v>6313</v>
      </c>
    </row>
    <row r="535" spans="1:14" ht="12.75" customHeight="1">
      <c r="A535" s="461"/>
      <c r="B535" s="635"/>
      <c r="C535" s="170">
        <v>4</v>
      </c>
      <c r="D535" s="131" t="s">
        <v>555</v>
      </c>
      <c r="E535" s="539">
        <f>IF(calcLOB1Clinician4Emp2BaseProd=0,0,cbalLOB1AvgMissPercClinician4*paramLOB1Disc3Missed*paramLOB1Clinician4Missed)</f>
        <v>0</v>
      </c>
      <c r="F535" s="539">
        <f>IF(calcLOB1Clinician4Emp2BaseProd=0,0,cbalLOB1AvgMissPercClinician4*paramLOB1Disc3Missed*paramLOB1Clinician4Missed)</f>
        <v>0</v>
      </c>
      <c r="G535" s="539">
        <f>IF(calcLOB1Clinician4Emp2BaseProd=0,0,cbalLOB1AvgMissPercClinician4*paramLOB1Disc3Missed*paramLOB1Clinician4Missed)</f>
        <v>0</v>
      </c>
      <c r="H535" s="131" t="s">
        <v>5139</v>
      </c>
      <c r="J535" s="131" t="s">
        <v>555</v>
      </c>
      <c r="K535" s="539">
        <f>IF(calcR2LOB1Clinician4Emp2BaseProd=0,0,cbalR2LOB1AvgMissPercClinician4*paramR2LOB1Disc3Missed*paramR2LOB1Clinician4Missed)</f>
        <v>0</v>
      </c>
      <c r="L535" s="539">
        <f>IF(calcR2LOB1Clinician4Emp2BaseProd=0,0,cbalR2LOB1AvgMissPercClinician4*paramR2LOB1Disc3Missed*paramR2LOB1Clinician4Missed)</f>
        <v>0</v>
      </c>
      <c r="M535" s="539">
        <f>IF(calcR2LOB1Clinician4Emp2BaseProd=0,0,cbalR2LOB1AvgMissPercClinician4*paramR2LOB1Disc3Missed*paramR2LOB1Clinician4Missed)</f>
        <v>0</v>
      </c>
      <c r="N535" s="131" t="s">
        <v>6314</v>
      </c>
    </row>
    <row r="536" spans="1:14" ht="12.75" customHeight="1">
      <c r="A536" s="461"/>
      <c r="B536" s="635"/>
      <c r="C536" s="170">
        <v>5</v>
      </c>
      <c r="D536" s="131" t="s">
        <v>555</v>
      </c>
      <c r="E536" s="539">
        <f>IF(calcLOB1Clinician5Emp2BaseProd=0,0,cbalLOB1AvgMissPercClinician5*paramLOB1Disc3Missed*paramLOB1Clinician5Missed)</f>
        <v>0</v>
      </c>
      <c r="F536" s="539">
        <f>IF(calcLOB1Clinician5Emp2BaseProd=0,0,cbalLOB1AvgMissPercClinician5*paramLOB1Disc3Missed*paramLOB1Clinician5Missed)</f>
        <v>0</v>
      </c>
      <c r="G536" s="539">
        <f>IF(calcLOB1Clinician5Emp2BaseProd=0,0,cbalLOB1AvgMissPercClinician5*paramLOB1Disc3Missed*paramLOB1Clinician5Missed)</f>
        <v>0</v>
      </c>
      <c r="H536" s="131" t="s">
        <v>5140</v>
      </c>
      <c r="J536" s="131" t="s">
        <v>555</v>
      </c>
      <c r="K536" s="539">
        <f>IF(calcR2LOB1Clinician5Emp2BaseProd=0,0,cbalR2LOB1AvgMissPercClinician5*paramR2LOB1Disc3Missed*paramR2LOB1Clinician5Missed)</f>
        <v>0</v>
      </c>
      <c r="L536" s="539">
        <f>IF(calcR2LOB1Clinician5Emp2BaseProd=0,0,cbalR2LOB1AvgMissPercClinician5*paramR2LOB1Disc3Missed*paramR2LOB1Clinician5Missed)</f>
        <v>0</v>
      </c>
      <c r="M536" s="539">
        <f>IF(calcR2LOB1Clinician5Emp2BaseProd=0,0,cbalR2LOB1AvgMissPercClinician5*paramR2LOB1Disc3Missed*paramR2LOB1Clinician5Missed)</f>
        <v>0</v>
      </c>
      <c r="N536" s="131" t="s">
        <v>6315</v>
      </c>
    </row>
    <row r="537" spans="1:14" ht="12.75" customHeight="1">
      <c r="A537" s="461"/>
      <c r="B537" s="635"/>
      <c r="C537" s="170">
        <v>6</v>
      </c>
      <c r="D537" s="131" t="s">
        <v>555</v>
      </c>
      <c r="E537" s="539">
        <f>IF(calcLOB1Clinician6Emp2BaseProd=0,0,cbalLOB1AvgMissPercClinician6*paramLOB1Disc3Missed*paramLOB1Clinician6Missed)</f>
        <v>0</v>
      </c>
      <c r="F537" s="539">
        <f>IF(calcLOB1Clinician6Emp2BaseProd=0,0,cbalLOB1AvgMissPercClinician6*paramLOB1Disc3Missed*paramLOB1Clinician6Missed)</f>
        <v>0</v>
      </c>
      <c r="G537" s="539">
        <f>IF(calcLOB1Clinician6Emp2BaseProd=0,0,cbalLOB1AvgMissPercClinician6*paramLOB1Disc3Missed*paramLOB1Clinician6Missed)</f>
        <v>0</v>
      </c>
      <c r="H537" s="131" t="s">
        <v>5141</v>
      </c>
      <c r="J537" s="131" t="s">
        <v>555</v>
      </c>
      <c r="K537" s="539">
        <f>IF(calcR2LOB1Clinician6Emp2BaseProd=0,0,cbalR2LOB1AvgMissPercClinician6*paramR2LOB1Disc3Missed*paramR2LOB1Clinician6Missed)</f>
        <v>0</v>
      </c>
      <c r="L537" s="539">
        <f>IF(calcR2LOB1Clinician6Emp2BaseProd=0,0,cbalR2LOB1AvgMissPercClinician6*paramR2LOB1Disc3Missed*paramR2LOB1Clinician6Missed)</f>
        <v>0</v>
      </c>
      <c r="M537" s="539">
        <f>IF(calcR2LOB1Clinician6Emp2BaseProd=0,0,cbalR2LOB1AvgMissPercClinician6*paramR2LOB1Disc3Missed*paramR2LOB1Clinician6Missed)</f>
        <v>0</v>
      </c>
      <c r="N537" s="131" t="s">
        <v>6316</v>
      </c>
    </row>
    <row r="538" spans="1:14" ht="12.75" customHeight="1">
      <c r="A538" s="461"/>
      <c r="B538" s="635"/>
      <c r="C538" s="170">
        <v>7</v>
      </c>
      <c r="D538" s="131" t="s">
        <v>555</v>
      </c>
      <c r="E538" s="539">
        <f>IF(calcLOB1Clinician7Emp2BaseProd=0,0,cbalLOB1AvgMissPercClinician7*paramLOB1Disc3Missed*paramLOB1Clinician7Missed)</f>
        <v>0</v>
      </c>
      <c r="F538" s="539">
        <f>IF(calcLOB1Clinician7Emp2BaseProd=0,0,cbalLOB1AvgMissPercClinician7*paramLOB1Disc3Missed*paramLOB1Clinician7Missed)</f>
        <v>0</v>
      </c>
      <c r="G538" s="539">
        <f>IF(calcLOB1Clinician7Emp2BaseProd=0,0,cbalLOB1AvgMissPercClinician7*paramLOB1Disc3Missed*paramLOB1Clinician7Missed)</f>
        <v>0</v>
      </c>
      <c r="H538" s="131" t="s">
        <v>5142</v>
      </c>
      <c r="J538" s="131" t="s">
        <v>555</v>
      </c>
      <c r="K538" s="539">
        <f>IF(calcR2LOB1Clinician7Emp2BaseProd=0,0,cbalR2LOB1AvgMissPercClinician7*paramR2LOB1Disc3Missed*paramR2LOB1Clinician7Missed)</f>
        <v>0</v>
      </c>
      <c r="L538" s="539">
        <f>IF(calcR2LOB1Clinician7Emp2BaseProd=0,0,cbalR2LOB1AvgMissPercClinician7*paramR2LOB1Disc3Missed*paramR2LOB1Clinician7Missed)</f>
        <v>0</v>
      </c>
      <c r="M538" s="539">
        <f>IF(calcR2LOB1Clinician7Emp2BaseProd=0,0,cbalR2LOB1AvgMissPercClinician7*paramR2LOB1Disc3Missed*paramR2LOB1Clinician7Missed)</f>
        <v>0</v>
      </c>
      <c r="N538" s="131" t="s">
        <v>6317</v>
      </c>
    </row>
    <row r="539" spans="1:14" ht="12.75" customHeight="1">
      <c r="A539" s="461"/>
      <c r="B539" s="635"/>
      <c r="C539" s="170">
        <v>8</v>
      </c>
      <c r="D539" s="131" t="s">
        <v>555</v>
      </c>
      <c r="E539" s="539">
        <f>IF(calcLOB1Clinician8Emp2BaseProd=0,0,cbalLOB1AvgMissPercClinician8*paramLOB1Disc3Missed*paramLOB1Clinician8Missed)</f>
        <v>0</v>
      </c>
      <c r="F539" s="539">
        <f>IF(calcLOB1Clinician8Emp2BaseProd=0,0,cbalLOB1AvgMissPercClinician8*paramLOB1Disc3Missed*paramLOB1Clinician8Missed)</f>
        <v>0</v>
      </c>
      <c r="G539" s="539">
        <f>IF(calcLOB1Clinician8Emp2BaseProd=0,0,cbalLOB1AvgMissPercClinician8*paramLOB1Disc3Missed*paramLOB1Clinician8Missed)</f>
        <v>0</v>
      </c>
      <c r="H539" s="131" t="s">
        <v>5143</v>
      </c>
      <c r="J539" s="131" t="s">
        <v>555</v>
      </c>
      <c r="K539" s="539">
        <f>IF(calcR2LOB1Clinician8Emp2BaseProd=0,0,cbalR2LOB1AvgMissPercClinician8*paramR2LOB1Disc3Missed*paramR2LOB1Clinician8Missed)</f>
        <v>0</v>
      </c>
      <c r="L539" s="539">
        <f>IF(calcR2LOB1Clinician8Emp2BaseProd=0,0,cbalR2LOB1AvgMissPercClinician8*paramR2LOB1Disc3Missed*paramR2LOB1Clinician8Missed)</f>
        <v>0</v>
      </c>
      <c r="M539" s="539">
        <f>IF(calcR2LOB1Clinician8Emp2BaseProd=0,0,cbalR2LOB1AvgMissPercClinician8*paramR2LOB1Disc3Missed*paramR2LOB1Clinician8Missed)</f>
        <v>0</v>
      </c>
      <c r="N539" s="131" t="s">
        <v>6318</v>
      </c>
    </row>
    <row r="540" spans="1:14" ht="12.75" customHeight="1">
      <c r="A540" s="461"/>
      <c r="B540" s="635"/>
      <c r="C540" s="170">
        <v>9</v>
      </c>
      <c r="D540" s="131" t="s">
        <v>555</v>
      </c>
      <c r="E540" s="539">
        <f>IF(calcLOB1Clinician9Emp2BaseProd=0,0,cbalLOB1AvgMissPercClinician9*paramLOB1Disc3Missed*paramLOB1Clinician9Missed)</f>
        <v>0</v>
      </c>
      <c r="F540" s="539">
        <f>IF(calcLOB1Clinician9Emp2BaseProd=0,0,cbalLOB1AvgMissPercClinician9*paramLOB1Disc3Missed*paramLOB1Clinician9Missed)</f>
        <v>0</v>
      </c>
      <c r="G540" s="539">
        <f>IF(calcLOB1Clinician9Emp2BaseProd=0,0,cbalLOB1AvgMissPercClinician9*paramLOB1Disc3Missed*paramLOB1Clinician9Missed)</f>
        <v>0</v>
      </c>
      <c r="H540" s="131" t="s">
        <v>5144</v>
      </c>
      <c r="J540" s="131" t="s">
        <v>555</v>
      </c>
      <c r="K540" s="539">
        <f>IF(calcR2LOB1Clinician9Emp2BaseProd=0,0,cbalR2LOB1AvgMissPercClinician9*paramR2LOB1Disc3Missed*paramR2LOB1Clinician9Missed)</f>
        <v>0</v>
      </c>
      <c r="L540" s="539">
        <f>IF(calcR2LOB1Clinician9Emp2BaseProd=0,0,cbalR2LOB1AvgMissPercClinician9*paramR2LOB1Disc3Missed*paramR2LOB1Clinician9Missed)</f>
        <v>0</v>
      </c>
      <c r="M540" s="539">
        <f>IF(calcR2LOB1Clinician9Emp2BaseProd=0,0,cbalR2LOB1AvgMissPercClinician9*paramR2LOB1Disc3Missed*paramR2LOB1Clinician9Missed)</f>
        <v>0</v>
      </c>
      <c r="N540" s="131" t="s">
        <v>6319</v>
      </c>
    </row>
    <row r="541" spans="1:14" ht="12.75" customHeight="1">
      <c r="A541" s="461"/>
      <c r="B541" s="635"/>
      <c r="C541" s="170">
        <v>10</v>
      </c>
      <c r="D541" s="131" t="s">
        <v>555</v>
      </c>
      <c r="E541" s="539">
        <f>IF(calcLOB1Clinician10Emp2BaseProd=0,0,cbalLOB1AvgMissPercClinician10*paramLOB1Disc3Missed*paramLOB1Clinician10Missed)</f>
        <v>0.05</v>
      </c>
      <c r="F541" s="539">
        <f>IF(calcLOB1Clinician10Emp2BaseProd=0,0,cbalLOB1AvgMissPercClinician10*paramLOB1Disc3Missed*paramLOB1Clinician10Missed)</f>
        <v>0.05</v>
      </c>
      <c r="G541" s="539">
        <f>IF(calcLOB1Clinician10Emp2BaseProd=0,0,cbalLOB1AvgMissPercClinician10*paramLOB1Disc3Missed*paramLOB1Clinician10Missed)</f>
        <v>0.05</v>
      </c>
      <c r="H541" s="131" t="s">
        <v>5145</v>
      </c>
      <c r="J541" s="131" t="s">
        <v>555</v>
      </c>
      <c r="K541" s="539">
        <f>IF(calcR2LOB1Clinician10Emp2BaseProd=0,0,cbalR2LOB1AvgMissPercClinician10*paramR2LOB1Disc3Missed*paramR2LOB1Clinician10Missed)</f>
        <v>0.05</v>
      </c>
      <c r="L541" s="539">
        <f>IF(calcR2LOB1Clinician10Emp2BaseProd=0,0,cbalR2LOB1AvgMissPercClinician10*paramR2LOB1Disc3Missed*paramR2LOB1Clinician10Missed)</f>
        <v>0.05</v>
      </c>
      <c r="M541" s="539">
        <f>IF(calcR2LOB1Clinician10Emp2BaseProd=0,0,cbalR2LOB1AvgMissPercClinician10*paramR2LOB1Disc3Missed*paramR2LOB1Clinician10Missed)</f>
        <v>0.05</v>
      </c>
      <c r="N541" s="131" t="s">
        <v>6320</v>
      </c>
    </row>
    <row r="542" spans="1:14" ht="12.75" customHeight="1">
      <c r="A542" s="461"/>
      <c r="B542" s="635"/>
      <c r="C542" s="170">
        <v>11</v>
      </c>
      <c r="D542" s="131" t="s">
        <v>555</v>
      </c>
      <c r="E542" s="539">
        <f>IF(calcLOB1Clinician11Emp2BaseProd=0,0,cbalLOB1AvgMissPercClinician11*paramLOB1Disc3Missed*paramLOB1Clinician11Missed)</f>
        <v>0</v>
      </c>
      <c r="F542" s="539">
        <f>IF(calcLOB1Clinician11Emp2BaseProd=0,0,cbalLOB1AvgMissPercClinician11*paramLOB1Disc3Missed*paramLOB1Clinician11Missed)</f>
        <v>0</v>
      </c>
      <c r="G542" s="539">
        <f>IF(calcLOB1Clinician11Emp2BaseProd=0,0,cbalLOB1AvgMissPercClinician11*paramLOB1Disc3Missed*paramLOB1Clinician11Missed)</f>
        <v>0</v>
      </c>
      <c r="H542" s="131" t="s">
        <v>5146</v>
      </c>
      <c r="J542" s="131" t="s">
        <v>555</v>
      </c>
      <c r="K542" s="539">
        <f>IF(calcR2LOB1Clinician11Emp2BaseProd=0,0,cbalR2LOB1AvgMissPercClinician11*paramR2LOB1Disc3Missed*paramR2LOB1Clinician11Missed)</f>
        <v>0</v>
      </c>
      <c r="L542" s="539">
        <f>IF(calcR2LOB1Clinician11Emp2BaseProd=0,0,cbalR2LOB1AvgMissPercClinician11*paramR2LOB1Disc3Missed*paramR2LOB1Clinician11Missed)</f>
        <v>0</v>
      </c>
      <c r="M542" s="539">
        <f>IF(calcR2LOB1Clinician11Emp2BaseProd=0,0,cbalR2LOB1AvgMissPercClinician11*paramR2LOB1Disc3Missed*paramR2LOB1Clinician11Missed)</f>
        <v>0</v>
      </c>
      <c r="N542" s="131" t="s">
        <v>6321</v>
      </c>
    </row>
    <row r="543" spans="1:14" ht="12.75" customHeight="1">
      <c r="A543" s="461"/>
      <c r="B543" s="635"/>
      <c r="C543" s="170">
        <v>12</v>
      </c>
      <c r="D543" s="131" t="s">
        <v>555</v>
      </c>
      <c r="E543" s="539">
        <f>IF(calcLOB1Clinician12Emp2BaseProd=0,0,cbalLOB1AvgMissPercClinician12*paramLOB1Disc3Missed*paramLOB1Clinician12Missed)</f>
        <v>0</v>
      </c>
      <c r="F543" s="539">
        <f>IF(calcLOB1Clinician12Emp2BaseProd=0,0,cbalLOB1AvgMissPercClinician12*paramLOB1Disc3Missed*paramLOB1Clinician12Missed)</f>
        <v>0</v>
      </c>
      <c r="G543" s="539">
        <f>IF(calcLOB1Clinician12Emp2BaseProd=0,0,cbalLOB1AvgMissPercClinician12*paramLOB1Disc3Missed*paramLOB1Clinician12Missed)</f>
        <v>0</v>
      </c>
      <c r="H543" s="131" t="s">
        <v>5147</v>
      </c>
      <c r="J543" s="131" t="s">
        <v>555</v>
      </c>
      <c r="K543" s="539">
        <f>IF(calcR2LOB1Clinician12Emp2BaseProd=0,0,cbalR2LOB1AvgMissPercClinician12*paramR2LOB1Disc3Missed*paramR2LOB1Clinician12Missed)</f>
        <v>0</v>
      </c>
      <c r="L543" s="539">
        <f>IF(calcR2LOB1Clinician12Emp2BaseProd=0,0,cbalR2LOB1AvgMissPercClinician12*paramR2LOB1Disc3Missed*paramR2LOB1Clinician12Missed)</f>
        <v>0</v>
      </c>
      <c r="M543" s="539">
        <f>IF(calcR2LOB1Clinician12Emp2BaseProd=0,0,cbalR2LOB1AvgMissPercClinician12*paramR2LOB1Disc3Missed*paramR2LOB1Clinician12Missed)</f>
        <v>0</v>
      </c>
      <c r="N543" s="131" t="s">
        <v>6322</v>
      </c>
    </row>
    <row r="544" spans="1:14" ht="12.75" customHeight="1">
      <c r="A544" s="461"/>
      <c r="B544" s="635"/>
      <c r="D544" s="131" t="s">
        <v>555</v>
      </c>
      <c r="E544" s="644">
        <f>IF(calcLOB1Clinician16Emp2BaseProd=0,0,cbalLOB1AvgMissPercClinician16*paramLOB1Disc3Missed)</f>
        <v>0.05</v>
      </c>
      <c r="F544" s="644">
        <f>IF(calcLOB1Clinician16Emp2BaseProd=0,0,cbalLOB1AvgMissPercClinician16*paramLOB1Disc3Missed)</f>
        <v>0.05</v>
      </c>
      <c r="G544" s="644">
        <f>IF(calcLOB1Clinician16Emp2BaseProd=0,0,cbalLOB1AvgMissPercClinician16*paramLOB1Disc3Missed)</f>
        <v>0.05</v>
      </c>
      <c r="H544" s="131" t="s">
        <v>5148</v>
      </c>
      <c r="J544" s="131" t="s">
        <v>555</v>
      </c>
      <c r="K544" s="644">
        <f>IF(calcR2LOB1Clinician16Emp2BaseProd=0,0,cbalR2LOB1AvgMissPercClinician16*paramR2LOB1Disc3Missed)</f>
        <v>0.05</v>
      </c>
      <c r="L544" s="644">
        <f>IF(calcR2LOB1Clinician16Emp2BaseProd=0,0,cbalR2LOB1AvgMissPercClinician16*paramR2LOB1Disc3Missed)</f>
        <v>0.05</v>
      </c>
      <c r="M544" s="644">
        <f>IF(calcR2LOB1Clinician16Emp2BaseProd=0,0,cbalR2LOB1AvgMissPercClinician16*paramR2LOB1Disc3Missed)</f>
        <v>0.05</v>
      </c>
      <c r="N544" s="131" t="s">
        <v>6323</v>
      </c>
    </row>
    <row r="545" spans="1:14" ht="12.75" customHeight="1">
      <c r="A545" s="461"/>
      <c r="B545" s="635"/>
      <c r="D545" s="131"/>
      <c r="E545" s="452"/>
      <c r="F545" s="452"/>
      <c r="G545" s="452"/>
      <c r="J545" s="131"/>
      <c r="K545" s="452"/>
      <c r="L545" s="452"/>
      <c r="M545" s="452"/>
    </row>
    <row r="546" spans="1:14" ht="12.75" customHeight="1">
      <c r="A546" s="461"/>
      <c r="B546" s="458"/>
      <c r="C546" s="131" t="s">
        <v>1615</v>
      </c>
    </row>
    <row r="547" spans="1:14" ht="12.75" customHeight="1">
      <c r="A547" s="461"/>
      <c r="B547" s="458"/>
      <c r="C547" s="170">
        <v>1</v>
      </c>
      <c r="D547" s="131" t="s">
        <v>555</v>
      </c>
      <c r="E547" s="539">
        <f>IF(calcLOB1Clinician1Emp2BaseProd=0,0,cbalLOB1AvgMissPercClinician1+(calcLOB1Clinician1Emp2GrossProd/calcLOB1Clinician1Emp2BaseProd-1)/paramTimeConversion)</f>
        <v>0</v>
      </c>
      <c r="F547" s="539">
        <f>IF(calcLOB1Clinician1Emp2BaseProd=0,0,cbalLOB1AvgMissPercClinician1+(calcLOB1Clinician1Emp2GrossProd/calcLOB1Clinician1Emp2BaseProd-1)/paramTimeConversion)</f>
        <v>0</v>
      </c>
      <c r="G547" s="539">
        <f>IF(calcLOB1Clinician1Emp2BaseProd=0,0,cbalLOB1AvgMissPercClinician1+(calcLOB1Clinician1Emp2GrossProd/calcLOB1Clinician1Emp2BaseProd-1)/paramTimeConversion)</f>
        <v>0</v>
      </c>
      <c r="H547" s="131" t="s">
        <v>3867</v>
      </c>
      <c r="J547" s="131" t="s">
        <v>555</v>
      </c>
      <c r="K547" s="539">
        <f>IF(calcR2LOB1Clinician1Emp2BaseProd=0,0,cbalR2LOB1AvgMissPercClinician1+(calcR2LOB1Clinician1Emp2GrossProd/calcR2LOB1Clinician1Emp2BaseProd-1)/paramR2TimeConversion)</f>
        <v>0</v>
      </c>
      <c r="L547" s="539">
        <f>IF(calcR2LOB1Clinician1Emp2BaseProd=0,0,cbalR2LOB1AvgMissPercClinician1+(calcR2LOB1Clinician1Emp2GrossProd/calcR2LOB1Clinician1Emp2BaseProd-1)/paramR2TimeConversion)</f>
        <v>0</v>
      </c>
      <c r="M547" s="539">
        <f>IF(calcR2LOB1Clinician1Emp2BaseProd=0,0,cbalR2LOB1AvgMissPercClinician1+(calcR2LOB1Clinician1Emp2GrossProd/calcR2LOB1Clinician1Emp2BaseProd-1)/paramR2TimeConversion)</f>
        <v>0</v>
      </c>
      <c r="N547" s="131" t="s">
        <v>6324</v>
      </c>
    </row>
    <row r="548" spans="1:14" ht="12.75" customHeight="1">
      <c r="A548" s="461"/>
      <c r="B548" s="458"/>
      <c r="C548" s="170">
        <v>2</v>
      </c>
      <c r="D548" s="131" t="s">
        <v>555</v>
      </c>
      <c r="E548" s="539">
        <f>IF(calcLOB1Clinician2Emp2BaseProd=0,0,cbalLOB1AvgMissPercClinician2+(calcLOB1Clinician2Emp2GrossProd/calcLOB1Clinician2Emp2BaseProd-1)/paramTimeConversion)</f>
        <v>0</v>
      </c>
      <c r="F548" s="539">
        <f>IF(calcLOB1Clinician2Emp2BaseProd=0,0,cbalLOB1AvgMissPercClinician2+(calcLOB1Clinician2Emp2GrossProd/calcLOB1Clinician2Emp2BaseProd-1)/paramTimeConversion)</f>
        <v>0</v>
      </c>
      <c r="G548" s="539">
        <f>IF(calcLOB1Clinician2Emp2BaseProd=0,0,cbalLOB1AvgMissPercClinician2+(calcLOB1Clinician2Emp2GrossProd/calcLOB1Clinician2Emp2BaseProd-1)/paramTimeConversion)</f>
        <v>0</v>
      </c>
      <c r="H548" s="131" t="s">
        <v>3868</v>
      </c>
      <c r="J548" s="131" t="s">
        <v>555</v>
      </c>
      <c r="K548" s="539">
        <f>IF(calcR2LOB1Clinician2Emp2BaseProd=0,0,cbalR2LOB1AvgMissPercClinician2+(calcR2LOB1Clinician2Emp2GrossProd/calcR2LOB1Clinician2Emp2BaseProd-1)/paramR2TimeConversion)</f>
        <v>0</v>
      </c>
      <c r="L548" s="539">
        <f>IF(calcR2LOB1Clinician2Emp2BaseProd=0,0,cbalR2LOB1AvgMissPercClinician2+(calcR2LOB1Clinician2Emp2GrossProd/calcR2LOB1Clinician2Emp2BaseProd-1)/paramR2TimeConversion)</f>
        <v>0</v>
      </c>
      <c r="M548" s="539">
        <f>IF(calcR2LOB1Clinician2Emp2BaseProd=0,0,cbalR2LOB1AvgMissPercClinician2+(calcR2LOB1Clinician2Emp2GrossProd/calcR2LOB1Clinician2Emp2BaseProd-1)/paramR2TimeConversion)</f>
        <v>0</v>
      </c>
      <c r="N548" s="131" t="s">
        <v>6325</v>
      </c>
    </row>
    <row r="549" spans="1:14" ht="12.75" customHeight="1">
      <c r="A549" s="461"/>
      <c r="B549" s="458"/>
      <c r="C549" s="170">
        <v>3</v>
      </c>
      <c r="D549" s="131" t="s">
        <v>555</v>
      </c>
      <c r="E549" s="539">
        <f>IF(calcLOB1Clinician3Emp2BaseProd=0,0,cbalLOB1AvgMissPercClinician3+(calcLOB1Clinician3Emp2GrossProd/calcLOB1Clinician3Emp2BaseProd-1)/paramTimeConversion)</f>
        <v>0</v>
      </c>
      <c r="F549" s="539">
        <f>IF(calcLOB1Clinician3Emp2BaseProd=0,0,cbalLOB1AvgMissPercClinician3+(calcLOB1Clinician3Emp2GrossProd/calcLOB1Clinician3Emp2BaseProd-1)/paramTimeConversion)</f>
        <v>0</v>
      </c>
      <c r="G549" s="539">
        <f>IF(calcLOB1Clinician3Emp2BaseProd=0,0,cbalLOB1AvgMissPercClinician3+(calcLOB1Clinician3Emp2GrossProd/calcLOB1Clinician3Emp2BaseProd-1)/paramTimeConversion)</f>
        <v>0</v>
      </c>
      <c r="H549" s="131" t="s">
        <v>3869</v>
      </c>
      <c r="J549" s="131" t="s">
        <v>555</v>
      </c>
      <c r="K549" s="539">
        <f>IF(calcR2LOB1Clinician3Emp2BaseProd=0,0,cbalR2LOB1AvgMissPercClinician3+(calcR2LOB1Clinician3Emp2GrossProd/calcR2LOB1Clinician3Emp2BaseProd-1)/paramR2TimeConversion)</f>
        <v>0</v>
      </c>
      <c r="L549" s="539">
        <f>IF(calcR2LOB1Clinician3Emp2BaseProd=0,0,cbalR2LOB1AvgMissPercClinician3+(calcR2LOB1Clinician3Emp2GrossProd/calcR2LOB1Clinician3Emp2BaseProd-1)/paramR2TimeConversion)</f>
        <v>0</v>
      </c>
      <c r="M549" s="539">
        <f>IF(calcR2LOB1Clinician3Emp2BaseProd=0,0,cbalR2LOB1AvgMissPercClinician3+(calcR2LOB1Clinician3Emp2GrossProd/calcR2LOB1Clinician3Emp2BaseProd-1)/paramR2TimeConversion)</f>
        <v>0</v>
      </c>
      <c r="N549" s="131" t="s">
        <v>6326</v>
      </c>
    </row>
    <row r="550" spans="1:14" ht="12.75" customHeight="1">
      <c r="A550" s="461"/>
      <c r="B550" s="458"/>
      <c r="C550" s="170">
        <v>4</v>
      </c>
      <c r="D550" s="131" t="s">
        <v>555</v>
      </c>
      <c r="E550" s="539">
        <f>IF(calcLOB1Clinician4Emp2BaseProd=0,0,cbalLOB1AvgMissPercClinician4+(calcLOB1Clinician4Emp2GrossProd/calcLOB1Clinician4Emp2BaseProd-1)/paramTimeConversion)</f>
        <v>0</v>
      </c>
      <c r="F550" s="539">
        <f>IF(calcLOB1Clinician4Emp2BaseProd=0,0,cbalLOB1AvgMissPercClinician4+(calcLOB1Clinician4Emp2GrossProd/calcLOB1Clinician4Emp2BaseProd-1)/paramTimeConversion)</f>
        <v>0</v>
      </c>
      <c r="G550" s="539">
        <f>IF(calcLOB1Clinician4Emp2BaseProd=0,0,cbalLOB1AvgMissPercClinician4+(calcLOB1Clinician4Emp2GrossProd/calcLOB1Clinician4Emp2BaseProd-1)/paramTimeConversion)</f>
        <v>0</v>
      </c>
      <c r="H550" s="131" t="s">
        <v>3870</v>
      </c>
      <c r="J550" s="131" t="s">
        <v>555</v>
      </c>
      <c r="K550" s="539">
        <f>IF(calcR2LOB1Clinician4Emp2BaseProd=0,0,cbalR2LOB1AvgMissPercClinician4+(calcR2LOB1Clinician4Emp2GrossProd/calcR2LOB1Clinician4Emp2BaseProd-1)/paramR2TimeConversion)</f>
        <v>0</v>
      </c>
      <c r="L550" s="539">
        <f>IF(calcR2LOB1Clinician4Emp2BaseProd=0,0,cbalR2LOB1AvgMissPercClinician4+(calcR2LOB1Clinician4Emp2GrossProd/calcR2LOB1Clinician4Emp2BaseProd-1)/paramR2TimeConversion)</f>
        <v>0</v>
      </c>
      <c r="M550" s="539">
        <f>IF(calcR2LOB1Clinician4Emp2BaseProd=0,0,cbalR2LOB1AvgMissPercClinician4+(calcR2LOB1Clinician4Emp2GrossProd/calcR2LOB1Clinician4Emp2BaseProd-1)/paramR2TimeConversion)</f>
        <v>0</v>
      </c>
      <c r="N550" s="131" t="s">
        <v>6327</v>
      </c>
    </row>
    <row r="551" spans="1:14" ht="12.75" customHeight="1">
      <c r="A551" s="461"/>
      <c r="B551" s="458"/>
      <c r="C551" s="170">
        <v>5</v>
      </c>
      <c r="D551" s="131" t="s">
        <v>555</v>
      </c>
      <c r="E551" s="539">
        <f>IF(calcLOB1Clinician5Emp2BaseProd=0,0,cbalLOB1AvgMissPercClinician5+(calcLOB1Clinician5Emp2GrossProd/calcLOB1Clinician5Emp2BaseProd-1)/paramTimeConversion)</f>
        <v>0</v>
      </c>
      <c r="F551" s="539">
        <f>IF(calcLOB1Clinician5Emp2BaseProd=0,0,cbalLOB1AvgMissPercClinician5+(calcLOB1Clinician5Emp2GrossProd/calcLOB1Clinician5Emp2BaseProd-1)/paramTimeConversion)</f>
        <v>0</v>
      </c>
      <c r="G551" s="539">
        <f>IF(calcLOB1Clinician5Emp2BaseProd=0,0,cbalLOB1AvgMissPercClinician5+(calcLOB1Clinician5Emp2GrossProd/calcLOB1Clinician5Emp2BaseProd-1)/paramTimeConversion)</f>
        <v>0</v>
      </c>
      <c r="H551" s="131" t="s">
        <v>3871</v>
      </c>
      <c r="J551" s="131" t="s">
        <v>555</v>
      </c>
      <c r="K551" s="539">
        <f>IF(calcR2LOB1Clinician5Emp2BaseProd=0,0,cbalR2LOB1AvgMissPercClinician5+(calcR2LOB1Clinician5Emp2GrossProd/calcR2LOB1Clinician5Emp2BaseProd-1)/paramR2TimeConversion)</f>
        <v>0</v>
      </c>
      <c r="L551" s="539">
        <f>IF(calcR2LOB1Clinician5Emp2BaseProd=0,0,cbalR2LOB1AvgMissPercClinician5+(calcR2LOB1Clinician5Emp2GrossProd/calcR2LOB1Clinician5Emp2BaseProd-1)/paramR2TimeConversion)</f>
        <v>0</v>
      </c>
      <c r="M551" s="539">
        <f>IF(calcR2LOB1Clinician5Emp2BaseProd=0,0,cbalR2LOB1AvgMissPercClinician5+(calcR2LOB1Clinician5Emp2GrossProd/calcR2LOB1Clinician5Emp2BaseProd-1)/paramR2TimeConversion)</f>
        <v>0</v>
      </c>
      <c r="N551" s="131" t="s">
        <v>6328</v>
      </c>
    </row>
    <row r="552" spans="1:14" ht="12.75" customHeight="1">
      <c r="A552" s="461"/>
      <c r="B552" s="458"/>
      <c r="C552" s="170">
        <v>6</v>
      </c>
      <c r="D552" s="131" t="s">
        <v>555</v>
      </c>
      <c r="E552" s="539">
        <f>IF(calcLOB1Clinician6Emp2BaseProd=0,0,cbalLOB1AvgMissPercClinician6+(calcLOB1Clinician6Emp2GrossProd/calcLOB1Clinician6Emp2BaseProd-1)/paramTimeConversion)</f>
        <v>0</v>
      </c>
      <c r="F552" s="539">
        <f>IF(calcLOB1Clinician6Emp2BaseProd=0,0,cbalLOB1AvgMissPercClinician6+(calcLOB1Clinician6Emp2GrossProd/calcLOB1Clinician6Emp2BaseProd-1)/paramTimeConversion)</f>
        <v>0</v>
      </c>
      <c r="G552" s="539">
        <f>IF(calcLOB1Clinician6Emp2BaseProd=0,0,cbalLOB1AvgMissPercClinician6+(calcLOB1Clinician6Emp2GrossProd/calcLOB1Clinician6Emp2BaseProd-1)/paramTimeConversion)</f>
        <v>0</v>
      </c>
      <c r="H552" s="131" t="s">
        <v>3872</v>
      </c>
      <c r="J552" s="131" t="s">
        <v>555</v>
      </c>
      <c r="K552" s="539">
        <f>IF(calcR2LOB1Clinician6Emp2BaseProd=0,0,cbalR2LOB1AvgMissPercClinician6+(calcR2LOB1Clinician6Emp2GrossProd/calcR2LOB1Clinician6Emp2BaseProd-1)/paramR2TimeConversion)</f>
        <v>0</v>
      </c>
      <c r="L552" s="539">
        <f>IF(calcR2LOB1Clinician6Emp2BaseProd=0,0,cbalR2LOB1AvgMissPercClinician6+(calcR2LOB1Clinician6Emp2GrossProd/calcR2LOB1Clinician6Emp2BaseProd-1)/paramR2TimeConversion)</f>
        <v>0</v>
      </c>
      <c r="M552" s="539">
        <f>IF(calcR2LOB1Clinician6Emp2BaseProd=0,0,cbalR2LOB1AvgMissPercClinician6+(calcR2LOB1Clinician6Emp2GrossProd/calcR2LOB1Clinician6Emp2BaseProd-1)/paramR2TimeConversion)</f>
        <v>0</v>
      </c>
      <c r="N552" s="131" t="s">
        <v>6329</v>
      </c>
    </row>
    <row r="553" spans="1:14" ht="12.75" customHeight="1">
      <c r="A553" s="461"/>
      <c r="B553" s="458"/>
      <c r="C553" s="170">
        <v>7</v>
      </c>
      <c r="D553" s="131" t="s">
        <v>555</v>
      </c>
      <c r="E553" s="539">
        <f>IF(calcLOB1Clinician7Emp2BaseProd=0,0,cbalLOB1AvgMissPercClinician7+(calcLOB1Clinician7Emp2GrossProd/calcLOB1Clinician7Emp2BaseProd-1)/paramTimeConversion)</f>
        <v>0</v>
      </c>
      <c r="F553" s="539">
        <f>IF(calcLOB1Clinician7Emp2BaseProd=0,0,cbalLOB1AvgMissPercClinician7+(calcLOB1Clinician7Emp2GrossProd/calcLOB1Clinician7Emp2BaseProd-1)/paramTimeConversion)</f>
        <v>0</v>
      </c>
      <c r="G553" s="539">
        <f>IF(calcLOB1Clinician7Emp2BaseProd=0,0,cbalLOB1AvgMissPercClinician7+(calcLOB1Clinician7Emp2GrossProd/calcLOB1Clinician7Emp2BaseProd-1)/paramTimeConversion)</f>
        <v>0</v>
      </c>
      <c r="H553" s="131" t="s">
        <v>3873</v>
      </c>
      <c r="J553" s="131" t="s">
        <v>555</v>
      </c>
      <c r="K553" s="539">
        <f>IF(calcR2LOB1Clinician7Emp2BaseProd=0,0,cbalR2LOB1AvgMissPercClinician7+(calcR2LOB1Clinician7Emp2GrossProd/calcR2LOB1Clinician7Emp2BaseProd-1)/paramR2TimeConversion)</f>
        <v>0</v>
      </c>
      <c r="L553" s="539">
        <f>IF(calcR2LOB1Clinician7Emp2BaseProd=0,0,cbalR2LOB1AvgMissPercClinician7+(calcR2LOB1Clinician7Emp2GrossProd/calcR2LOB1Clinician7Emp2BaseProd-1)/paramR2TimeConversion)</f>
        <v>0</v>
      </c>
      <c r="M553" s="539">
        <f>IF(calcR2LOB1Clinician7Emp2BaseProd=0,0,cbalR2LOB1AvgMissPercClinician7+(calcR2LOB1Clinician7Emp2GrossProd/calcR2LOB1Clinician7Emp2BaseProd-1)/paramR2TimeConversion)</f>
        <v>0</v>
      </c>
      <c r="N553" s="131" t="s">
        <v>6330</v>
      </c>
    </row>
    <row r="554" spans="1:14" ht="12.75" customHeight="1">
      <c r="A554" s="461"/>
      <c r="B554" s="458"/>
      <c r="C554" s="170">
        <v>8</v>
      </c>
      <c r="D554" s="131" t="s">
        <v>555</v>
      </c>
      <c r="E554" s="539">
        <f>IF(calcLOB1Clinician8Emp2BaseProd=0,0,cbalLOB1AvgMissPercClinician8+(calcLOB1Clinician8Emp2GrossProd/calcLOB1Clinician8Emp2BaseProd-1)/paramTimeConversion)</f>
        <v>0</v>
      </c>
      <c r="F554" s="539">
        <f>IF(calcLOB1Clinician8Emp2BaseProd=0,0,cbalLOB1AvgMissPercClinician8+(calcLOB1Clinician8Emp2GrossProd/calcLOB1Clinician8Emp2BaseProd-1)/paramTimeConversion)</f>
        <v>0</v>
      </c>
      <c r="G554" s="539">
        <f>IF(calcLOB1Clinician8Emp2BaseProd=0,0,cbalLOB1AvgMissPercClinician8+(calcLOB1Clinician8Emp2GrossProd/calcLOB1Clinician8Emp2BaseProd-1)/paramTimeConversion)</f>
        <v>0</v>
      </c>
      <c r="H554" s="131" t="s">
        <v>3874</v>
      </c>
      <c r="J554" s="131" t="s">
        <v>555</v>
      </c>
      <c r="K554" s="539">
        <f>IF(calcR2LOB1Clinician8Emp2BaseProd=0,0,cbalR2LOB1AvgMissPercClinician8+(calcR2LOB1Clinician8Emp2GrossProd/calcR2LOB1Clinician8Emp2BaseProd-1)/paramR2TimeConversion)</f>
        <v>0</v>
      </c>
      <c r="L554" s="539">
        <f>IF(calcR2LOB1Clinician8Emp2BaseProd=0,0,cbalR2LOB1AvgMissPercClinician8+(calcR2LOB1Clinician8Emp2GrossProd/calcR2LOB1Clinician8Emp2BaseProd-1)/paramR2TimeConversion)</f>
        <v>0</v>
      </c>
      <c r="M554" s="539">
        <f>IF(calcR2LOB1Clinician8Emp2BaseProd=0,0,cbalR2LOB1AvgMissPercClinician8+(calcR2LOB1Clinician8Emp2GrossProd/calcR2LOB1Clinician8Emp2BaseProd-1)/paramR2TimeConversion)</f>
        <v>0</v>
      </c>
      <c r="N554" s="131" t="s">
        <v>6331</v>
      </c>
    </row>
    <row r="555" spans="1:14" ht="12.75" customHeight="1">
      <c r="A555" s="461"/>
      <c r="B555" s="458"/>
      <c r="C555" s="170">
        <v>9</v>
      </c>
      <c r="D555" s="131" t="s">
        <v>555</v>
      </c>
      <c r="E555" s="539">
        <f>IF(calcLOB1Clinician9Emp2BaseProd=0,0,cbalLOB1AvgMissPercClinician9+(calcLOB1Clinician9Emp2GrossProd/calcLOB1Clinician9Emp2BaseProd-1)/paramTimeConversion)</f>
        <v>0</v>
      </c>
      <c r="F555" s="539">
        <f>IF(calcLOB1Clinician9Emp2BaseProd=0,0,cbalLOB1AvgMissPercClinician9+(calcLOB1Clinician9Emp2GrossProd/calcLOB1Clinician9Emp2BaseProd-1)/paramTimeConversion)</f>
        <v>0</v>
      </c>
      <c r="G555" s="539">
        <f>IF(calcLOB1Clinician9Emp2BaseProd=0,0,cbalLOB1AvgMissPercClinician9+(calcLOB1Clinician9Emp2GrossProd/calcLOB1Clinician9Emp2BaseProd-1)/paramTimeConversion)</f>
        <v>0</v>
      </c>
      <c r="H555" s="131" t="s">
        <v>3875</v>
      </c>
      <c r="J555" s="131" t="s">
        <v>555</v>
      </c>
      <c r="K555" s="539">
        <f>IF(calcR2LOB1Clinician9Emp2BaseProd=0,0,cbalR2LOB1AvgMissPercClinician9+(calcR2LOB1Clinician9Emp2GrossProd/calcR2LOB1Clinician9Emp2BaseProd-1)/paramR2TimeConversion)</f>
        <v>0</v>
      </c>
      <c r="L555" s="539">
        <f>IF(calcR2LOB1Clinician9Emp2BaseProd=0,0,cbalR2LOB1AvgMissPercClinician9+(calcR2LOB1Clinician9Emp2GrossProd/calcR2LOB1Clinician9Emp2BaseProd-1)/paramR2TimeConversion)</f>
        <v>0</v>
      </c>
      <c r="M555" s="539">
        <f>IF(calcR2LOB1Clinician9Emp2BaseProd=0,0,cbalR2LOB1AvgMissPercClinician9+(calcR2LOB1Clinician9Emp2GrossProd/calcR2LOB1Clinician9Emp2BaseProd-1)/paramR2TimeConversion)</f>
        <v>0</v>
      </c>
      <c r="N555" s="131" t="s">
        <v>6332</v>
      </c>
    </row>
    <row r="556" spans="1:14" ht="12.75" customHeight="1">
      <c r="A556" s="461"/>
      <c r="B556" s="458"/>
      <c r="C556" s="170">
        <v>10</v>
      </c>
      <c r="D556" s="131" t="s">
        <v>555</v>
      </c>
      <c r="E556" s="539">
        <f>IF(calcLOB1Clinician10Emp2BaseProd=0,0,cbalLOB1AvgMissPercClinician10+(calcLOB1Clinician10Emp2GrossProd/calcLOB1Clinician10Emp2BaseProd-1)/paramTimeConversion)</f>
        <v>0.05</v>
      </c>
      <c r="F556" s="539">
        <f>IF(calcLOB1Clinician10Emp2BaseProd=0,0,cbalLOB1AvgMissPercClinician10+(calcLOB1Clinician10Emp2GrossProd/calcLOB1Clinician10Emp2BaseProd-1)/paramTimeConversion)</f>
        <v>0.05</v>
      </c>
      <c r="G556" s="539">
        <f>IF(calcLOB1Clinician10Emp2BaseProd=0,0,cbalLOB1AvgMissPercClinician10+(calcLOB1Clinician10Emp2GrossProd/calcLOB1Clinician10Emp2BaseProd-1)/paramTimeConversion)</f>
        <v>0.05</v>
      </c>
      <c r="H556" s="131" t="s">
        <v>3876</v>
      </c>
      <c r="J556" s="131" t="s">
        <v>555</v>
      </c>
      <c r="K556" s="539">
        <f>IF(calcR2LOB1Clinician10Emp2BaseProd=0,0,cbalR2LOB1AvgMissPercClinician10+(calcR2LOB1Clinician10Emp2GrossProd/calcR2LOB1Clinician10Emp2BaseProd-1)/paramR2TimeConversion)</f>
        <v>0.05</v>
      </c>
      <c r="L556" s="539">
        <f>IF(calcR2LOB1Clinician10Emp2BaseProd=0,0,cbalR2LOB1AvgMissPercClinician10+(calcR2LOB1Clinician10Emp2GrossProd/calcR2LOB1Clinician10Emp2BaseProd-1)/paramR2TimeConversion)</f>
        <v>0.05</v>
      </c>
      <c r="M556" s="539">
        <f>IF(calcR2LOB1Clinician10Emp2BaseProd=0,0,cbalR2LOB1AvgMissPercClinician10+(calcR2LOB1Clinician10Emp2GrossProd/calcR2LOB1Clinician10Emp2BaseProd-1)/paramR2TimeConversion)</f>
        <v>0.05</v>
      </c>
      <c r="N556" s="131" t="s">
        <v>6333</v>
      </c>
    </row>
    <row r="557" spans="1:14" ht="12.75" customHeight="1">
      <c r="A557" s="461"/>
      <c r="B557" s="458"/>
      <c r="C557" s="170">
        <v>11</v>
      </c>
      <c r="D557" s="131" t="s">
        <v>555</v>
      </c>
      <c r="E557" s="539">
        <f>IF(calcLOB1Clinician11Emp2BaseProd=0,0,cbalLOB1AvgMissPercClinician11+(calcLOB1Clinician11Emp2GrossProd/calcLOB1Clinician11Emp2BaseProd-1)/paramTimeConversion)</f>
        <v>0</v>
      </c>
      <c r="F557" s="539">
        <f>IF(calcLOB1Clinician11Emp2BaseProd=0,0,cbalLOB1AvgMissPercClinician11+(calcLOB1Clinician11Emp2GrossProd/calcLOB1Clinician11Emp2BaseProd-1)/paramTimeConversion)</f>
        <v>0</v>
      </c>
      <c r="G557" s="539">
        <f>IF(calcLOB1Clinician11Emp2BaseProd=0,0,cbalLOB1AvgMissPercClinician11+(calcLOB1Clinician11Emp2GrossProd/calcLOB1Clinician11Emp2BaseProd-1)/paramTimeConversion)</f>
        <v>0</v>
      </c>
      <c r="H557" s="131" t="s">
        <v>3877</v>
      </c>
      <c r="J557" s="131" t="s">
        <v>555</v>
      </c>
      <c r="K557" s="539">
        <f>IF(calcR2LOB1Clinician11Emp2BaseProd=0,0,cbalR2LOB1AvgMissPercClinician11+(calcR2LOB1Clinician11Emp2GrossProd/calcR2LOB1Clinician11Emp2BaseProd-1)/paramR2TimeConversion)</f>
        <v>0</v>
      </c>
      <c r="L557" s="539">
        <f>IF(calcR2LOB1Clinician11Emp2BaseProd=0,0,cbalR2LOB1AvgMissPercClinician11+(calcR2LOB1Clinician11Emp2GrossProd/calcR2LOB1Clinician11Emp2BaseProd-1)/paramR2TimeConversion)</f>
        <v>0</v>
      </c>
      <c r="M557" s="539">
        <f>IF(calcR2LOB1Clinician11Emp2BaseProd=0,0,cbalR2LOB1AvgMissPercClinician11+(calcR2LOB1Clinician11Emp2GrossProd/calcR2LOB1Clinician11Emp2BaseProd-1)/paramR2TimeConversion)</f>
        <v>0</v>
      </c>
      <c r="N557" s="131" t="s">
        <v>6334</v>
      </c>
    </row>
    <row r="558" spans="1:14" ht="12.75" customHeight="1">
      <c r="A558" s="461"/>
      <c r="B558" s="458"/>
      <c r="C558" s="170">
        <v>12</v>
      </c>
      <c r="D558" s="131" t="s">
        <v>555</v>
      </c>
      <c r="E558" s="539">
        <f>IF(calcLOB1Clinician12Emp2BaseProd=0,0,cbalLOB1AvgMissPercClinician12+(calcLOB1Clinician12Emp2GrossProd/calcLOB1Clinician12Emp2BaseProd-1)/paramTimeConversion)</f>
        <v>0</v>
      </c>
      <c r="F558" s="539">
        <f>IF(calcLOB1Clinician12Emp2BaseProd=0,0,cbalLOB1AvgMissPercClinician12+(calcLOB1Clinician12Emp2GrossProd/calcLOB1Clinician12Emp2BaseProd-1)/paramTimeConversion)</f>
        <v>0</v>
      </c>
      <c r="G558" s="539">
        <f>IF(calcLOB1Clinician12Emp2BaseProd=0,0,cbalLOB1AvgMissPercClinician12+(calcLOB1Clinician12Emp2GrossProd/calcLOB1Clinician12Emp2BaseProd-1)/paramTimeConversion)</f>
        <v>0</v>
      </c>
      <c r="H558" s="131" t="s">
        <v>3878</v>
      </c>
      <c r="J558" s="131" t="s">
        <v>555</v>
      </c>
      <c r="K558" s="539">
        <f>IF(calcR2LOB1Clinician12Emp2BaseProd=0,0,cbalR2LOB1AvgMissPercClinician12+(calcR2LOB1Clinician12Emp2GrossProd/calcR2LOB1Clinician12Emp2BaseProd-1)/paramR2TimeConversion)</f>
        <v>0</v>
      </c>
      <c r="L558" s="539">
        <f>IF(calcR2LOB1Clinician12Emp2BaseProd=0,0,cbalR2LOB1AvgMissPercClinician12+(calcR2LOB1Clinician12Emp2GrossProd/calcR2LOB1Clinician12Emp2BaseProd-1)/paramR2TimeConversion)</f>
        <v>0</v>
      </c>
      <c r="M558" s="539">
        <f>IF(calcR2LOB1Clinician12Emp2BaseProd=0,0,cbalR2LOB1AvgMissPercClinician12+(calcR2LOB1Clinician12Emp2GrossProd/calcR2LOB1Clinician12Emp2BaseProd-1)/paramR2TimeConversion)</f>
        <v>0</v>
      </c>
      <c r="N558" s="131" t="s">
        <v>6335</v>
      </c>
    </row>
    <row r="559" spans="1:14" ht="12.75" customHeight="1">
      <c r="A559" s="461"/>
      <c r="B559" s="458"/>
      <c r="D559" s="131" t="s">
        <v>555</v>
      </c>
      <c r="E559" s="539">
        <f>IF(calcLOB1Clinician16Emp2BaseProd=0,0,cbalLOB1AvgMissPercClinician16+(calcLOB1Clinician16Emp2GrossProd/calcLOB1Clinician16Emp2BaseProd-1)/paramTimeConversion)</f>
        <v>3.7916666666666675E-2</v>
      </c>
      <c r="F559" s="539">
        <f>IF(calcLOB1Clinician16Emp2BaseProd=0,0,cbalLOB1AvgMissPercClinician16+(calcLOB1Clinician16Emp2GrossProd/calcLOB1Clinician16Emp2BaseProd-1)/paramTimeConversion)</f>
        <v>4.785208333333333E-2</v>
      </c>
      <c r="G559" s="539">
        <f>IF(calcLOB1Clinician16Emp2BaseProd=0,0,cbalLOB1AvgMissPercClinician16+(calcLOB1Clinician16Emp2GrossProd/calcLOB1Clinician16Emp2BaseProd-1)/paramTimeConversion)</f>
        <v>4.5318749999999998E-2</v>
      </c>
      <c r="H559" s="131" t="s">
        <v>4052</v>
      </c>
      <c r="J559" s="131" t="s">
        <v>555</v>
      </c>
      <c r="K559" s="539">
        <f>IF(calcR2LOB1Clinician16Emp2BaseProd=0,0,cbalR2LOB1AvgMissPercClinician16+(calcR2LOB1Clinician16Emp2GrossProd/calcR2LOB1Clinician16Emp2BaseProd-1)/paramR2TimeConversion)</f>
        <v>3.5419215463249158E-2</v>
      </c>
      <c r="L559" s="539">
        <f>IF(calcR2LOB1Clinician16Emp2BaseProd=0,0,cbalR2LOB1AvgMissPercClinician16+(calcR2LOB1Clinician16Emp2GrossProd/calcR2LOB1Clinician16Emp2BaseProd-1)/paramR2TimeConversion)</f>
        <v>4.9516384375000021E-2</v>
      </c>
      <c r="M559" s="539">
        <f>IF(calcR2LOB1Clinician16Emp2BaseProd=0,0,cbalR2LOB1AvgMissPercClinician16+(calcR2LOB1Clinician16Emp2GrossProd/calcR2LOB1Clinician16Emp2BaseProd-1)/paramR2TimeConversion)</f>
        <v>4.4807511458333324E-2</v>
      </c>
      <c r="N559" s="131" t="s">
        <v>6336</v>
      </c>
    </row>
    <row r="560" spans="1:14" ht="12.75" customHeight="1">
      <c r="A560" s="461"/>
      <c r="B560" s="458"/>
      <c r="D560" s="131"/>
      <c r="E560" s="452"/>
      <c r="F560" s="452"/>
      <c r="G560" s="452"/>
      <c r="J560" s="131"/>
      <c r="K560" s="452"/>
      <c r="L560" s="452"/>
      <c r="M560" s="452"/>
    </row>
    <row r="561" spans="1:14" ht="12.75" customHeight="1">
      <c r="A561" s="461"/>
      <c r="B561" s="458"/>
      <c r="C561" s="131" t="s">
        <v>1615</v>
      </c>
    </row>
    <row r="562" spans="1:14" ht="12.75" customHeight="1">
      <c r="A562" s="461"/>
      <c r="B562" s="458"/>
      <c r="C562" s="170">
        <v>1</v>
      </c>
      <c r="D562" s="131" t="s">
        <v>555</v>
      </c>
      <c r="E562" s="540">
        <f>calcLOB1Clinician1Emp2AvgMissPerc*calcLOB1Clinician1Emp2GrossProd*paramLOB1Disc3Missed*paramLOB1Clinician1Missed</f>
        <v>0</v>
      </c>
      <c r="F562" s="540">
        <f>calcLOB1Clinician1Emp2AvgMissPerc*calcLOB1Clinician1Emp2GrossProd*paramLOB1Disc3Missed*paramLOB1Clinician1Missed</f>
        <v>0</v>
      </c>
      <c r="G562" s="540">
        <f>calcLOB1Clinician1Emp2AvgMissPerc*calcLOB1Clinician1Emp2GrossProd*paramLOB1Disc3Missed*paramLOB1Clinician1Missed</f>
        <v>0</v>
      </c>
      <c r="H562" s="131" t="s">
        <v>1807</v>
      </c>
      <c r="J562" s="131" t="s">
        <v>555</v>
      </c>
      <c r="K562" s="540">
        <f>calcR2LOB1Clinician1Emp2AvgMissPerc*calcR2LOB1Clinician1Emp2GrossProd*paramR2LOB1Disc3Missed*paramR2LOB1Clinician1Missed</f>
        <v>0</v>
      </c>
      <c r="L562" s="540">
        <f>calcR2LOB1Clinician1Emp2AvgMissPerc*calcR2LOB1Clinician1Emp2GrossProd*paramR2LOB1Disc3Missed*paramR2LOB1Clinician1Missed</f>
        <v>0</v>
      </c>
      <c r="M562" s="540">
        <f>calcR2LOB1Clinician1Emp2AvgMissPerc*calcR2LOB1Clinician1Emp2GrossProd*paramR2LOB1Disc3Missed*paramR2LOB1Clinician1Missed</f>
        <v>0</v>
      </c>
      <c r="N562" s="131" t="s">
        <v>6337</v>
      </c>
    </row>
    <row r="563" spans="1:14" ht="12.75" customHeight="1">
      <c r="A563" s="461"/>
      <c r="B563" s="458"/>
      <c r="C563" s="170">
        <v>2</v>
      </c>
      <c r="D563" s="131" t="s">
        <v>555</v>
      </c>
      <c r="E563" s="540">
        <f>calcLOB1Clinician2Emp2AvgMissPerc*calcLOB1Clinician2Emp2GrossProd*paramLOB1Disc3Missed*paramLOB1Clinician2Missed</f>
        <v>0</v>
      </c>
      <c r="F563" s="540">
        <f>calcLOB1Clinician2Emp2AvgMissPerc*calcLOB1Clinician2Emp2GrossProd*paramLOB1Disc3Missed*paramLOB1Clinician2Missed</f>
        <v>0</v>
      </c>
      <c r="G563" s="540">
        <f>calcLOB1Clinician2Emp2AvgMissPerc*calcLOB1Clinician2Emp2GrossProd*paramLOB1Disc3Missed*paramLOB1Clinician2Missed</f>
        <v>0</v>
      </c>
      <c r="H563" s="131" t="s">
        <v>1808</v>
      </c>
      <c r="J563" s="131" t="s">
        <v>555</v>
      </c>
      <c r="K563" s="540">
        <f>calcR2LOB1Clinician2Emp2AvgMissPerc*calcR2LOB1Clinician2Emp2GrossProd*paramR2LOB1Disc3Missed*paramR2LOB1Clinician2Missed</f>
        <v>0</v>
      </c>
      <c r="L563" s="540">
        <f>calcR2LOB1Clinician2Emp2AvgMissPerc*calcR2LOB1Clinician2Emp2GrossProd*paramR2LOB1Disc3Missed*paramR2LOB1Clinician2Missed</f>
        <v>0</v>
      </c>
      <c r="M563" s="540">
        <f>calcR2LOB1Clinician2Emp2AvgMissPerc*calcR2LOB1Clinician2Emp2GrossProd*paramR2LOB1Disc3Missed*paramR2LOB1Clinician2Missed</f>
        <v>0</v>
      </c>
      <c r="N563" s="131" t="s">
        <v>6338</v>
      </c>
    </row>
    <row r="564" spans="1:14" ht="12.75" customHeight="1">
      <c r="A564" s="461"/>
      <c r="B564" s="458"/>
      <c r="C564" s="170">
        <v>3</v>
      </c>
      <c r="D564" s="131" t="s">
        <v>555</v>
      </c>
      <c r="E564" s="540">
        <f>calcLOB1Clinician3Emp2AvgMissPerc*calcLOB1Clinician3Emp2GrossProd*paramLOB1Disc3Missed*paramLOB1Clinician3Missed</f>
        <v>0</v>
      </c>
      <c r="F564" s="540">
        <f>calcLOB1Clinician3Emp2AvgMissPerc*calcLOB1Clinician3Emp2GrossProd*paramLOB1Disc3Missed*paramLOB1Clinician3Missed</f>
        <v>0</v>
      </c>
      <c r="G564" s="540">
        <f>calcLOB1Clinician3Emp2AvgMissPerc*calcLOB1Clinician3Emp2GrossProd*paramLOB1Disc3Missed*paramLOB1Clinician3Missed</f>
        <v>0</v>
      </c>
      <c r="H564" s="131" t="s">
        <v>1809</v>
      </c>
      <c r="J564" s="131" t="s">
        <v>555</v>
      </c>
      <c r="K564" s="540">
        <f>calcR2LOB1Clinician3Emp2AvgMissPerc*calcR2LOB1Clinician3Emp2GrossProd*paramR2LOB1Disc3Missed*paramR2LOB1Clinician3Missed</f>
        <v>0</v>
      </c>
      <c r="L564" s="540">
        <f>calcR2LOB1Clinician3Emp2AvgMissPerc*calcR2LOB1Clinician3Emp2GrossProd*paramR2LOB1Disc3Missed*paramR2LOB1Clinician3Missed</f>
        <v>0</v>
      </c>
      <c r="M564" s="540">
        <f>calcR2LOB1Clinician3Emp2AvgMissPerc*calcR2LOB1Clinician3Emp2GrossProd*paramR2LOB1Disc3Missed*paramR2LOB1Clinician3Missed</f>
        <v>0</v>
      </c>
      <c r="N564" s="131" t="s">
        <v>6339</v>
      </c>
    </row>
    <row r="565" spans="1:14" ht="12.75" customHeight="1">
      <c r="A565" s="461"/>
      <c r="B565" s="458"/>
      <c r="C565" s="170">
        <v>4</v>
      </c>
      <c r="D565" s="131" t="s">
        <v>555</v>
      </c>
      <c r="E565" s="540">
        <f>calcLOB1Clinician4Emp2AvgMissPerc*calcLOB1Clinician4Emp2GrossProd*paramLOB1Disc3Missed*paramLOB1Clinician4Missed</f>
        <v>0</v>
      </c>
      <c r="F565" s="540">
        <f>calcLOB1Clinician4Emp2AvgMissPerc*calcLOB1Clinician4Emp2GrossProd*paramLOB1Disc3Missed*paramLOB1Clinician4Missed</f>
        <v>0</v>
      </c>
      <c r="G565" s="540">
        <f>calcLOB1Clinician4Emp2AvgMissPerc*calcLOB1Clinician4Emp2GrossProd*paramLOB1Disc3Missed*paramLOB1Clinician4Missed</f>
        <v>0</v>
      </c>
      <c r="H565" s="131" t="s">
        <v>1810</v>
      </c>
      <c r="J565" s="131" t="s">
        <v>555</v>
      </c>
      <c r="K565" s="540">
        <f>calcR2LOB1Clinician4Emp2AvgMissPerc*calcR2LOB1Clinician4Emp2GrossProd*paramR2LOB1Disc3Missed*paramR2LOB1Clinician4Missed</f>
        <v>0</v>
      </c>
      <c r="L565" s="540">
        <f>calcR2LOB1Clinician4Emp2AvgMissPerc*calcR2LOB1Clinician4Emp2GrossProd*paramR2LOB1Disc3Missed*paramR2LOB1Clinician4Missed</f>
        <v>0</v>
      </c>
      <c r="M565" s="540">
        <f>calcR2LOB1Clinician4Emp2AvgMissPerc*calcR2LOB1Clinician4Emp2GrossProd*paramR2LOB1Disc3Missed*paramR2LOB1Clinician4Missed</f>
        <v>0</v>
      </c>
      <c r="N565" s="131" t="s">
        <v>6340</v>
      </c>
    </row>
    <row r="566" spans="1:14" ht="12.75" customHeight="1">
      <c r="A566" s="461"/>
      <c r="B566" s="458"/>
      <c r="C566" s="170">
        <v>5</v>
      </c>
      <c r="D566" s="131" t="s">
        <v>555</v>
      </c>
      <c r="E566" s="540">
        <f>calcLOB1Clinician5Emp2AvgMissPerc*calcLOB1Clinician5Emp2GrossProd*paramLOB1Disc3Missed*paramLOB1Clinician5Missed</f>
        <v>0</v>
      </c>
      <c r="F566" s="540">
        <f>calcLOB1Clinician5Emp2AvgMissPerc*calcLOB1Clinician5Emp2GrossProd*paramLOB1Disc3Missed*paramLOB1Clinician5Missed</f>
        <v>0</v>
      </c>
      <c r="G566" s="540">
        <f>calcLOB1Clinician5Emp2AvgMissPerc*calcLOB1Clinician5Emp2GrossProd*paramLOB1Disc3Missed*paramLOB1Clinician5Missed</f>
        <v>0</v>
      </c>
      <c r="H566" s="131" t="s">
        <v>1811</v>
      </c>
      <c r="J566" s="131" t="s">
        <v>555</v>
      </c>
      <c r="K566" s="540">
        <f>calcR2LOB1Clinician5Emp2AvgMissPerc*calcR2LOB1Clinician5Emp2GrossProd*paramR2LOB1Disc3Missed*paramR2LOB1Clinician5Missed</f>
        <v>0</v>
      </c>
      <c r="L566" s="540">
        <f>calcR2LOB1Clinician5Emp2AvgMissPerc*calcR2LOB1Clinician5Emp2GrossProd*paramR2LOB1Disc3Missed*paramR2LOB1Clinician5Missed</f>
        <v>0</v>
      </c>
      <c r="M566" s="540">
        <f>calcR2LOB1Clinician5Emp2AvgMissPerc*calcR2LOB1Clinician5Emp2GrossProd*paramR2LOB1Disc3Missed*paramR2LOB1Clinician5Missed</f>
        <v>0</v>
      </c>
      <c r="N566" s="131" t="s">
        <v>6341</v>
      </c>
    </row>
    <row r="567" spans="1:14" ht="12.75" customHeight="1">
      <c r="A567" s="461"/>
      <c r="B567" s="458"/>
      <c r="C567" s="170">
        <v>6</v>
      </c>
      <c r="D567" s="131" t="s">
        <v>555</v>
      </c>
      <c r="E567" s="540">
        <f>calcLOB1Clinician6Emp2AvgMissPerc*calcLOB1Clinician6Emp2GrossProd*paramLOB1Disc3Missed*paramLOB1Clinician6Missed</f>
        <v>0</v>
      </c>
      <c r="F567" s="540">
        <f>calcLOB1Clinician6Emp2AvgMissPerc*calcLOB1Clinician6Emp2GrossProd*paramLOB1Disc3Missed*paramLOB1Clinician6Missed</f>
        <v>0</v>
      </c>
      <c r="G567" s="540">
        <f>calcLOB1Clinician6Emp2AvgMissPerc*calcLOB1Clinician6Emp2GrossProd*paramLOB1Disc3Missed*paramLOB1Clinician6Missed</f>
        <v>0</v>
      </c>
      <c r="H567" s="131" t="s">
        <v>1812</v>
      </c>
      <c r="J567" s="131" t="s">
        <v>555</v>
      </c>
      <c r="K567" s="540">
        <f>calcR2LOB1Clinician6Emp2AvgMissPerc*calcR2LOB1Clinician6Emp2GrossProd*paramR2LOB1Disc3Missed*paramR2LOB1Clinician6Missed</f>
        <v>0</v>
      </c>
      <c r="L567" s="540">
        <f>calcR2LOB1Clinician6Emp2AvgMissPerc*calcR2LOB1Clinician6Emp2GrossProd*paramR2LOB1Disc3Missed*paramR2LOB1Clinician6Missed</f>
        <v>0</v>
      </c>
      <c r="M567" s="540">
        <f>calcR2LOB1Clinician6Emp2AvgMissPerc*calcR2LOB1Clinician6Emp2GrossProd*paramR2LOB1Disc3Missed*paramR2LOB1Clinician6Missed</f>
        <v>0</v>
      </c>
      <c r="N567" s="131" t="s">
        <v>6342</v>
      </c>
    </row>
    <row r="568" spans="1:14" ht="12.75" customHeight="1">
      <c r="A568" s="461"/>
      <c r="B568" s="458"/>
      <c r="C568" s="170">
        <v>7</v>
      </c>
      <c r="D568" s="131" t="s">
        <v>555</v>
      </c>
      <c r="E568" s="540">
        <f>calcLOB1Clinician7Emp2AvgMissPerc*calcLOB1Clinician7Emp2GrossProd*paramLOB1Disc3Missed*paramLOB1Clinician7Missed</f>
        <v>0</v>
      </c>
      <c r="F568" s="540">
        <f>calcLOB1Clinician7Emp2AvgMissPerc*calcLOB1Clinician7Emp2GrossProd*paramLOB1Disc3Missed*paramLOB1Clinician7Missed</f>
        <v>0</v>
      </c>
      <c r="G568" s="540">
        <f>calcLOB1Clinician7Emp2AvgMissPerc*calcLOB1Clinician7Emp2GrossProd*paramLOB1Disc3Missed*paramLOB1Clinician7Missed</f>
        <v>0</v>
      </c>
      <c r="H568" s="131" t="s">
        <v>1813</v>
      </c>
      <c r="J568" s="131" t="s">
        <v>555</v>
      </c>
      <c r="K568" s="540">
        <f>calcR2LOB1Clinician7Emp2AvgMissPerc*calcR2LOB1Clinician7Emp2GrossProd*paramR2LOB1Disc3Missed*paramR2LOB1Clinician7Missed</f>
        <v>0</v>
      </c>
      <c r="L568" s="540">
        <f>calcR2LOB1Clinician7Emp2AvgMissPerc*calcR2LOB1Clinician7Emp2GrossProd*paramR2LOB1Disc3Missed*paramR2LOB1Clinician7Missed</f>
        <v>0</v>
      </c>
      <c r="M568" s="540">
        <f>calcR2LOB1Clinician7Emp2AvgMissPerc*calcR2LOB1Clinician7Emp2GrossProd*paramR2LOB1Disc3Missed*paramR2LOB1Clinician7Missed</f>
        <v>0</v>
      </c>
      <c r="N568" s="131" t="s">
        <v>6343</v>
      </c>
    </row>
    <row r="569" spans="1:14" ht="12.75" customHeight="1">
      <c r="A569" s="461"/>
      <c r="B569" s="458"/>
      <c r="C569" s="170">
        <v>8</v>
      </c>
      <c r="D569" s="131" t="s">
        <v>555</v>
      </c>
      <c r="E569" s="540">
        <f>calcLOB1Clinician8Emp2AvgMissPerc*calcLOB1Clinician8Emp2GrossProd*paramLOB1Disc3Missed*paramLOB1Clinician8Missed</f>
        <v>0</v>
      </c>
      <c r="F569" s="540">
        <f>calcLOB1Clinician8Emp2AvgMissPerc*calcLOB1Clinician8Emp2GrossProd*paramLOB1Disc3Missed*paramLOB1Clinician8Missed</f>
        <v>0</v>
      </c>
      <c r="G569" s="540">
        <f>calcLOB1Clinician8Emp2AvgMissPerc*calcLOB1Clinician8Emp2GrossProd*paramLOB1Disc3Missed*paramLOB1Clinician8Missed</f>
        <v>0</v>
      </c>
      <c r="H569" s="131" t="s">
        <v>1814</v>
      </c>
      <c r="J569" s="131" t="s">
        <v>555</v>
      </c>
      <c r="K569" s="540">
        <f>calcR2LOB1Clinician8Emp2AvgMissPerc*calcR2LOB1Clinician8Emp2GrossProd*paramR2LOB1Disc3Missed*paramR2LOB1Clinician8Missed</f>
        <v>0</v>
      </c>
      <c r="L569" s="540">
        <f>calcR2LOB1Clinician8Emp2AvgMissPerc*calcR2LOB1Clinician8Emp2GrossProd*paramR2LOB1Disc3Missed*paramR2LOB1Clinician8Missed</f>
        <v>0</v>
      </c>
      <c r="M569" s="540">
        <f>calcR2LOB1Clinician8Emp2AvgMissPerc*calcR2LOB1Clinician8Emp2GrossProd*paramR2LOB1Disc3Missed*paramR2LOB1Clinician8Missed</f>
        <v>0</v>
      </c>
      <c r="N569" s="131" t="s">
        <v>6344</v>
      </c>
    </row>
    <row r="570" spans="1:14" ht="12.75" customHeight="1">
      <c r="A570" s="461"/>
      <c r="B570" s="458"/>
      <c r="C570" s="170">
        <v>9</v>
      </c>
      <c r="D570" s="131" t="s">
        <v>555</v>
      </c>
      <c r="E570" s="540">
        <f>calcLOB1Clinician9Emp2AvgMissPerc*calcLOB1Clinician9Emp2GrossProd*paramLOB1Disc3Missed*paramLOB1Clinician9Missed</f>
        <v>0</v>
      </c>
      <c r="F570" s="540">
        <f>calcLOB1Clinician9Emp2AvgMissPerc*calcLOB1Clinician9Emp2GrossProd*paramLOB1Disc3Missed*paramLOB1Clinician9Missed</f>
        <v>0</v>
      </c>
      <c r="G570" s="540">
        <f>calcLOB1Clinician9Emp2AvgMissPerc*calcLOB1Clinician9Emp2GrossProd*paramLOB1Disc3Missed*paramLOB1Clinician9Missed</f>
        <v>0</v>
      </c>
      <c r="H570" s="131" t="s">
        <v>1815</v>
      </c>
      <c r="J570" s="131" t="s">
        <v>555</v>
      </c>
      <c r="K570" s="540">
        <f>calcR2LOB1Clinician9Emp2AvgMissPerc*calcR2LOB1Clinician9Emp2GrossProd*paramR2LOB1Disc3Missed*paramR2LOB1Clinician9Missed</f>
        <v>0</v>
      </c>
      <c r="L570" s="540">
        <f>calcR2LOB1Clinician9Emp2AvgMissPerc*calcR2LOB1Clinician9Emp2GrossProd*paramR2LOB1Disc3Missed*paramR2LOB1Clinician9Missed</f>
        <v>0</v>
      </c>
      <c r="M570" s="540">
        <f>calcR2LOB1Clinician9Emp2AvgMissPerc*calcR2LOB1Clinician9Emp2GrossProd*paramR2LOB1Disc3Missed*paramR2LOB1Clinician9Missed</f>
        <v>0</v>
      </c>
      <c r="N570" s="131" t="s">
        <v>6345</v>
      </c>
    </row>
    <row r="571" spans="1:14" ht="12.75" customHeight="1">
      <c r="A571" s="461"/>
      <c r="B571" s="458"/>
      <c r="C571" s="170">
        <v>10</v>
      </c>
      <c r="D571" s="131" t="s">
        <v>555</v>
      </c>
      <c r="E571" s="540">
        <f>calcLOB1Clinician10Emp2AvgMissPerc*calcLOB1Clinician10Emp2GrossProd*paramLOB1Disc3Missed*paramLOB1Clinician10Missed</f>
        <v>1.2526315789473685</v>
      </c>
      <c r="F571" s="540">
        <f>calcLOB1Clinician10Emp2AvgMissPerc*calcLOB1Clinician10Emp2GrossProd*paramLOB1Disc3Missed*paramLOB1Clinician10Missed</f>
        <v>1.2526315789473685</v>
      </c>
      <c r="G571" s="540">
        <f>calcLOB1Clinician10Emp2AvgMissPerc*calcLOB1Clinician10Emp2GrossProd*paramLOB1Disc3Missed*paramLOB1Clinician10Missed</f>
        <v>1.2526315789473685</v>
      </c>
      <c r="H571" s="131" t="s">
        <v>1816</v>
      </c>
      <c r="J571" s="131" t="s">
        <v>555</v>
      </c>
      <c r="K571" s="540">
        <f>calcR2LOB1Clinician10Emp2AvgMissPerc*calcR2LOB1Clinician10Emp2GrossProd*paramR2LOB1Disc3Missed*paramR2LOB1Clinician10Missed</f>
        <v>1.2526315789473685</v>
      </c>
      <c r="L571" s="540">
        <f>calcR2LOB1Clinician10Emp2AvgMissPerc*calcR2LOB1Clinician10Emp2GrossProd*paramR2LOB1Disc3Missed*paramR2LOB1Clinician10Missed</f>
        <v>1.2526315789473685</v>
      </c>
      <c r="M571" s="540">
        <f>calcR2LOB1Clinician10Emp2AvgMissPerc*calcR2LOB1Clinician10Emp2GrossProd*paramR2LOB1Disc3Missed*paramR2LOB1Clinician10Missed</f>
        <v>1.2526315789473685</v>
      </c>
      <c r="N571" s="131" t="s">
        <v>6346</v>
      </c>
    </row>
    <row r="572" spans="1:14" ht="12.75" customHeight="1">
      <c r="A572" s="461"/>
      <c r="B572" s="458"/>
      <c r="C572" s="170">
        <v>11</v>
      </c>
      <c r="D572" s="131" t="s">
        <v>555</v>
      </c>
      <c r="E572" s="540">
        <f>calcLOB1Clinician11Emp2AvgMissPerc*calcLOB1Clinician11Emp2GrossProd*paramLOB1Disc3Missed*paramLOB1Clinician11Missed</f>
        <v>0</v>
      </c>
      <c r="F572" s="540">
        <f>calcLOB1Clinician11Emp2AvgMissPerc*calcLOB1Clinician11Emp2GrossProd*paramLOB1Disc3Missed*paramLOB1Clinician11Missed</f>
        <v>0</v>
      </c>
      <c r="G572" s="540">
        <f>calcLOB1Clinician11Emp2AvgMissPerc*calcLOB1Clinician11Emp2GrossProd*paramLOB1Disc3Missed*paramLOB1Clinician11Missed</f>
        <v>0</v>
      </c>
      <c r="H572" s="131" t="s">
        <v>1817</v>
      </c>
      <c r="J572" s="131" t="s">
        <v>555</v>
      </c>
      <c r="K572" s="540">
        <f>calcR2LOB1Clinician11Emp2AvgMissPerc*calcR2LOB1Clinician11Emp2GrossProd*paramR2LOB1Disc3Missed*paramR2LOB1Clinician11Missed</f>
        <v>0</v>
      </c>
      <c r="L572" s="540">
        <f>calcR2LOB1Clinician11Emp2AvgMissPerc*calcR2LOB1Clinician11Emp2GrossProd*paramR2LOB1Disc3Missed*paramR2LOB1Clinician11Missed</f>
        <v>0</v>
      </c>
      <c r="M572" s="540">
        <f>calcR2LOB1Clinician11Emp2AvgMissPerc*calcR2LOB1Clinician11Emp2GrossProd*paramR2LOB1Disc3Missed*paramR2LOB1Clinician11Missed</f>
        <v>0</v>
      </c>
      <c r="N572" s="131" t="s">
        <v>6347</v>
      </c>
    </row>
    <row r="573" spans="1:14" ht="12.75" customHeight="1">
      <c r="A573" s="461"/>
      <c r="B573" s="458"/>
      <c r="C573" s="170">
        <v>12</v>
      </c>
      <c r="D573" s="131" t="s">
        <v>555</v>
      </c>
      <c r="E573" s="540">
        <f>calcLOB1Clinician12Emp2AvgMissPerc*calcLOB1Clinician12Emp2GrossProd*paramLOB1Disc3Missed*paramLOB1Clinician12Missed</f>
        <v>0</v>
      </c>
      <c r="F573" s="540">
        <f>calcLOB1Clinician12Emp2AvgMissPerc*calcLOB1Clinician12Emp2GrossProd*paramLOB1Disc3Missed*paramLOB1Clinician12Missed</f>
        <v>0</v>
      </c>
      <c r="G573" s="540">
        <f>calcLOB1Clinician12Emp2AvgMissPerc*calcLOB1Clinician12Emp2GrossProd*paramLOB1Disc3Missed*paramLOB1Clinician12Missed</f>
        <v>0</v>
      </c>
      <c r="H573" s="131" t="s">
        <v>1818</v>
      </c>
      <c r="J573" s="131" t="s">
        <v>555</v>
      </c>
      <c r="K573" s="540">
        <f>calcR2LOB1Clinician12Emp2AvgMissPerc*calcR2LOB1Clinician12Emp2GrossProd*paramR2LOB1Disc3Missed*paramR2LOB1Clinician12Missed</f>
        <v>0</v>
      </c>
      <c r="L573" s="540">
        <f>calcR2LOB1Clinician12Emp2AvgMissPerc*calcR2LOB1Clinician12Emp2GrossProd*paramR2LOB1Disc3Missed*paramR2LOB1Clinician12Missed</f>
        <v>0</v>
      </c>
      <c r="M573" s="540">
        <f>calcR2LOB1Clinician12Emp2AvgMissPerc*calcR2LOB1Clinician12Emp2GrossProd*paramR2LOB1Disc3Missed*paramR2LOB1Clinician12Missed</f>
        <v>0</v>
      </c>
      <c r="N573" s="131" t="s">
        <v>6348</v>
      </c>
    </row>
    <row r="574" spans="1:14" ht="12.75" customHeight="1">
      <c r="A574" s="461"/>
      <c r="B574" s="458"/>
      <c r="D574" s="131" t="s">
        <v>555</v>
      </c>
      <c r="E574" s="540">
        <f>calcLOB1Clinician16Emp2AvgMissPerc*calcLOB1Clinician16Emp2GrossProd*paramLOB1Disc3Missed</f>
        <v>2.8204312500000008</v>
      </c>
      <c r="F574" s="540">
        <f>calcLOB1Clinician16Emp2AvgMissPerc*calcLOB1Clinician16Emp2GrossProd*paramLOB1Disc3Missed</f>
        <v>6.9928043828124995</v>
      </c>
      <c r="G574" s="540">
        <f>calcLOB1Clinician16Emp2AvgMissPerc*calcLOB1Clinician16Emp2GrossProd*paramLOB1Disc3Missed</f>
        <v>3.8495672296874996</v>
      </c>
      <c r="H574" s="131" t="s">
        <v>4053</v>
      </c>
      <c r="J574" s="131" t="s">
        <v>555</v>
      </c>
      <c r="K574" s="540">
        <f>calcR2LOB1Clinician16Emp2AvgMissPerc*calcR2LOB1Clinician16Emp2GrossProd*paramR2LOB1Disc3Missed</f>
        <v>2.1736737148410206</v>
      </c>
      <c r="L574" s="540">
        <f>calcR2LOB1Clinician16Emp2AvgMissPerc*calcR2LOB1Clinician16Emp2GrossProd*paramR2LOB1Disc3Missed</f>
        <v>7.1940215365356384</v>
      </c>
      <c r="M574" s="540">
        <f>calcR2LOB1Clinician16Emp2AvgMissPerc*calcR2LOB1Clinician16Emp2GrossProd*paramR2LOB1Disc3Missed</f>
        <v>3.568980366775671</v>
      </c>
      <c r="N574" s="131" t="s">
        <v>6349</v>
      </c>
    </row>
    <row r="575" spans="1:14" ht="12.75" customHeight="1">
      <c r="A575" s="461"/>
      <c r="B575" s="458"/>
      <c r="D575" s="131"/>
      <c r="E575" s="452"/>
      <c r="F575" s="452"/>
      <c r="G575" s="452"/>
      <c r="J575" s="131"/>
      <c r="K575" s="452"/>
      <c r="L575" s="452"/>
      <c r="M575" s="452"/>
    </row>
    <row r="576" spans="1:14" ht="12.75" customHeight="1">
      <c r="A576" s="461"/>
      <c r="B576" s="458"/>
      <c r="C576" s="131" t="s">
        <v>1617</v>
      </c>
    </row>
    <row r="577" spans="1:14" ht="12.75" customHeight="1">
      <c r="A577" s="461"/>
      <c r="B577" s="458"/>
      <c r="C577" s="170">
        <v>1</v>
      </c>
      <c r="D577" s="131" t="s">
        <v>555</v>
      </c>
      <c r="E577" s="453">
        <f>calcLOB1Clinician1Emp2GrossProd-calcLOB1Clinician1Emp2MissVisits</f>
        <v>0</v>
      </c>
      <c r="F577" s="453">
        <f>calcLOB1Clinician1Emp2GrossProd-calcLOB1Clinician1Emp2MissVisits</f>
        <v>0</v>
      </c>
      <c r="G577" s="453">
        <f>calcLOB1Clinician1Emp2GrossProd-calcLOB1Clinician1Emp2MissVisits</f>
        <v>0</v>
      </c>
      <c r="H577" s="131" t="s">
        <v>1819</v>
      </c>
      <c r="J577" s="131" t="s">
        <v>555</v>
      </c>
      <c r="K577" s="453">
        <f>calcR2LOB1Clinician1Emp2GrossProd-calcR2LOB1Clinician1Emp2MissVisits</f>
        <v>0</v>
      </c>
      <c r="L577" s="453">
        <f>calcR2LOB1Clinician1Emp2GrossProd-calcR2LOB1Clinician1Emp2MissVisits</f>
        <v>0</v>
      </c>
      <c r="M577" s="453">
        <f>calcR2LOB1Clinician1Emp2GrossProd-calcR2LOB1Clinician1Emp2MissVisits</f>
        <v>0</v>
      </c>
      <c r="N577" s="131" t="s">
        <v>6350</v>
      </c>
    </row>
    <row r="578" spans="1:14" ht="12.75" customHeight="1">
      <c r="A578" s="461"/>
      <c r="B578" s="458"/>
      <c r="C578" s="170">
        <v>2</v>
      </c>
      <c r="D578" s="131" t="s">
        <v>555</v>
      </c>
      <c r="E578" s="453">
        <f>calcLOB1Clinician2Emp2GrossProd-calcLOB1Clinician2Emp2MissVisits</f>
        <v>0</v>
      </c>
      <c r="F578" s="453">
        <f>calcLOB1Clinician2Emp2GrossProd-calcLOB1Clinician2Emp2MissVisits</f>
        <v>0</v>
      </c>
      <c r="G578" s="453">
        <f>calcLOB1Clinician2Emp2GrossProd-calcLOB1Clinician2Emp2MissVisits</f>
        <v>0</v>
      </c>
      <c r="H578" s="131" t="s">
        <v>1820</v>
      </c>
      <c r="J578" s="131" t="s">
        <v>555</v>
      </c>
      <c r="K578" s="453">
        <f>calcR2LOB1Clinician2Emp2GrossProd-calcR2LOB1Clinician2Emp2MissVisits</f>
        <v>0</v>
      </c>
      <c r="L578" s="453">
        <f>calcR2LOB1Clinician2Emp2GrossProd-calcR2LOB1Clinician2Emp2MissVisits</f>
        <v>0</v>
      </c>
      <c r="M578" s="453">
        <f>calcR2LOB1Clinician2Emp2GrossProd-calcR2LOB1Clinician2Emp2MissVisits</f>
        <v>0</v>
      </c>
      <c r="N578" s="131" t="s">
        <v>6351</v>
      </c>
    </row>
    <row r="579" spans="1:14" ht="12.75" customHeight="1">
      <c r="A579" s="461"/>
      <c r="B579" s="458"/>
      <c r="C579" s="170">
        <v>3</v>
      </c>
      <c r="D579" s="131" t="s">
        <v>555</v>
      </c>
      <c r="E579" s="453">
        <f>calcLOB1Clinician3Emp2GrossProd-calcLOB1Clinician3Emp2MissVisits</f>
        <v>0</v>
      </c>
      <c r="F579" s="453">
        <f>calcLOB1Clinician3Emp2GrossProd-calcLOB1Clinician3Emp2MissVisits</f>
        <v>0</v>
      </c>
      <c r="G579" s="453">
        <f>calcLOB1Clinician3Emp2GrossProd-calcLOB1Clinician3Emp2MissVisits</f>
        <v>0</v>
      </c>
      <c r="H579" s="131" t="s">
        <v>1821</v>
      </c>
      <c r="J579" s="131" t="s">
        <v>555</v>
      </c>
      <c r="K579" s="453">
        <f>calcR2LOB1Clinician3Emp2GrossProd-calcR2LOB1Clinician3Emp2MissVisits</f>
        <v>0</v>
      </c>
      <c r="L579" s="453">
        <f>calcR2LOB1Clinician3Emp2GrossProd-calcR2LOB1Clinician3Emp2MissVisits</f>
        <v>0</v>
      </c>
      <c r="M579" s="453">
        <f>calcR2LOB1Clinician3Emp2GrossProd-calcR2LOB1Clinician3Emp2MissVisits</f>
        <v>0</v>
      </c>
      <c r="N579" s="131" t="s">
        <v>6352</v>
      </c>
    </row>
    <row r="580" spans="1:14" ht="12.75" customHeight="1">
      <c r="A580" s="461"/>
      <c r="B580" s="458"/>
      <c r="C580" s="170">
        <v>4</v>
      </c>
      <c r="D580" s="131" t="s">
        <v>555</v>
      </c>
      <c r="E580" s="453">
        <f>calcLOB1Clinician4Emp2GrossProd-calcLOB1Clinician4Emp2MissVisits</f>
        <v>0</v>
      </c>
      <c r="F580" s="453">
        <f>calcLOB1Clinician4Emp2GrossProd-calcLOB1Clinician4Emp2MissVisits</f>
        <v>0</v>
      </c>
      <c r="G580" s="453">
        <f>calcLOB1Clinician4Emp2GrossProd-calcLOB1Clinician4Emp2MissVisits</f>
        <v>0</v>
      </c>
      <c r="H580" s="131" t="s">
        <v>1822</v>
      </c>
      <c r="J580" s="131" t="s">
        <v>555</v>
      </c>
      <c r="K580" s="453">
        <f>calcR2LOB1Clinician4Emp2GrossProd-calcR2LOB1Clinician4Emp2MissVisits</f>
        <v>0</v>
      </c>
      <c r="L580" s="453">
        <f>calcR2LOB1Clinician4Emp2GrossProd-calcR2LOB1Clinician4Emp2MissVisits</f>
        <v>0</v>
      </c>
      <c r="M580" s="453">
        <f>calcR2LOB1Clinician4Emp2GrossProd-calcR2LOB1Clinician4Emp2MissVisits</f>
        <v>0</v>
      </c>
      <c r="N580" s="131" t="s">
        <v>6353</v>
      </c>
    </row>
    <row r="581" spans="1:14" ht="12.75" customHeight="1">
      <c r="A581" s="461"/>
      <c r="B581" s="458"/>
      <c r="C581" s="170">
        <v>5</v>
      </c>
      <c r="D581" s="131" t="s">
        <v>555</v>
      </c>
      <c r="E581" s="453">
        <f>calcLOB1Clinician5Emp2GrossProd-calcLOB1Clinician5Emp2MissVisits</f>
        <v>0</v>
      </c>
      <c r="F581" s="453">
        <f>calcLOB1Clinician5Emp2GrossProd-calcLOB1Clinician5Emp2MissVisits</f>
        <v>0</v>
      </c>
      <c r="G581" s="453">
        <f>calcLOB1Clinician5Emp2GrossProd-calcLOB1Clinician5Emp2MissVisits</f>
        <v>0</v>
      </c>
      <c r="H581" s="131" t="s">
        <v>1823</v>
      </c>
      <c r="J581" s="131" t="s">
        <v>555</v>
      </c>
      <c r="K581" s="453">
        <f>calcR2LOB1Clinician5Emp2GrossProd-calcR2LOB1Clinician5Emp2MissVisits</f>
        <v>0</v>
      </c>
      <c r="L581" s="453">
        <f>calcR2LOB1Clinician5Emp2GrossProd-calcR2LOB1Clinician5Emp2MissVisits</f>
        <v>0</v>
      </c>
      <c r="M581" s="453">
        <f>calcR2LOB1Clinician5Emp2GrossProd-calcR2LOB1Clinician5Emp2MissVisits</f>
        <v>0</v>
      </c>
      <c r="N581" s="131" t="s">
        <v>6354</v>
      </c>
    </row>
    <row r="582" spans="1:14" ht="12.75" customHeight="1">
      <c r="A582" s="461"/>
      <c r="B582" s="458"/>
      <c r="C582" s="170">
        <v>6</v>
      </c>
      <c r="D582" s="131" t="s">
        <v>555</v>
      </c>
      <c r="E582" s="453">
        <f>calcLOB1Clinician6Emp2GrossProd-calcLOB1Clinician6Emp2MissVisits</f>
        <v>0</v>
      </c>
      <c r="F582" s="453">
        <f>calcLOB1Clinician6Emp2GrossProd-calcLOB1Clinician6Emp2MissVisits</f>
        <v>0</v>
      </c>
      <c r="G582" s="453">
        <f>calcLOB1Clinician6Emp2GrossProd-calcLOB1Clinician6Emp2MissVisits</f>
        <v>0</v>
      </c>
      <c r="H582" s="131" t="s">
        <v>1824</v>
      </c>
      <c r="J582" s="131" t="s">
        <v>555</v>
      </c>
      <c r="K582" s="453">
        <f>calcR2LOB1Clinician6Emp2GrossProd-calcR2LOB1Clinician6Emp2MissVisits</f>
        <v>0</v>
      </c>
      <c r="L582" s="453">
        <f>calcR2LOB1Clinician6Emp2GrossProd-calcR2LOB1Clinician6Emp2MissVisits</f>
        <v>0</v>
      </c>
      <c r="M582" s="453">
        <f>calcR2LOB1Clinician6Emp2GrossProd-calcR2LOB1Clinician6Emp2MissVisits</f>
        <v>0</v>
      </c>
      <c r="N582" s="131" t="s">
        <v>6355</v>
      </c>
    </row>
    <row r="583" spans="1:14" ht="12.75" customHeight="1">
      <c r="A583" s="461"/>
      <c r="B583" s="458"/>
      <c r="C583" s="170">
        <v>7</v>
      </c>
      <c r="D583" s="131" t="s">
        <v>555</v>
      </c>
      <c r="E583" s="453">
        <f>calcLOB1Clinician7Emp2GrossProd-calcLOB1Clinician7Emp2MissVisits</f>
        <v>0</v>
      </c>
      <c r="F583" s="453">
        <f>calcLOB1Clinician7Emp2GrossProd-calcLOB1Clinician7Emp2MissVisits</f>
        <v>0</v>
      </c>
      <c r="G583" s="453">
        <f>calcLOB1Clinician7Emp2GrossProd-calcLOB1Clinician7Emp2MissVisits</f>
        <v>0</v>
      </c>
      <c r="H583" s="131" t="s">
        <v>1825</v>
      </c>
      <c r="J583" s="131" t="s">
        <v>555</v>
      </c>
      <c r="K583" s="453">
        <f>calcR2LOB1Clinician7Emp2GrossProd-calcR2LOB1Clinician7Emp2MissVisits</f>
        <v>0</v>
      </c>
      <c r="L583" s="453">
        <f>calcR2LOB1Clinician7Emp2GrossProd-calcR2LOB1Clinician7Emp2MissVisits</f>
        <v>0</v>
      </c>
      <c r="M583" s="453">
        <f>calcR2LOB1Clinician7Emp2GrossProd-calcR2LOB1Clinician7Emp2MissVisits</f>
        <v>0</v>
      </c>
      <c r="N583" s="131" t="s">
        <v>6356</v>
      </c>
    </row>
    <row r="584" spans="1:14" ht="12.75" customHeight="1">
      <c r="A584" s="461"/>
      <c r="B584" s="458"/>
      <c r="C584" s="170">
        <v>8</v>
      </c>
      <c r="D584" s="131" t="s">
        <v>555</v>
      </c>
      <c r="E584" s="453">
        <f>calcLOB1Clinician8Emp2GrossProd-calcLOB1Clinician8Emp2MissVisits</f>
        <v>0</v>
      </c>
      <c r="F584" s="453">
        <f>calcLOB1Clinician8Emp2GrossProd-calcLOB1Clinician8Emp2MissVisits</f>
        <v>0</v>
      </c>
      <c r="G584" s="453">
        <f>calcLOB1Clinician8Emp2GrossProd-calcLOB1Clinician8Emp2MissVisits</f>
        <v>0</v>
      </c>
      <c r="H584" s="131" t="s">
        <v>1826</v>
      </c>
      <c r="J584" s="131" t="s">
        <v>555</v>
      </c>
      <c r="K584" s="453">
        <f>calcR2LOB1Clinician8Emp2GrossProd-calcR2LOB1Clinician8Emp2MissVisits</f>
        <v>0</v>
      </c>
      <c r="L584" s="453">
        <f>calcR2LOB1Clinician8Emp2GrossProd-calcR2LOB1Clinician8Emp2MissVisits</f>
        <v>0</v>
      </c>
      <c r="M584" s="453">
        <f>calcR2LOB1Clinician8Emp2GrossProd-calcR2LOB1Clinician8Emp2MissVisits</f>
        <v>0</v>
      </c>
      <c r="N584" s="131" t="s">
        <v>6357</v>
      </c>
    </row>
    <row r="585" spans="1:14" ht="12.75" customHeight="1">
      <c r="A585" s="461"/>
      <c r="B585" s="458"/>
      <c r="C585" s="170">
        <v>9</v>
      </c>
      <c r="D585" s="131" t="s">
        <v>555</v>
      </c>
      <c r="E585" s="453">
        <f>calcLOB1Clinician9Emp2GrossProd-calcLOB1Clinician9Emp2MissVisits</f>
        <v>0</v>
      </c>
      <c r="F585" s="453">
        <f>calcLOB1Clinician9Emp2GrossProd-calcLOB1Clinician9Emp2MissVisits</f>
        <v>0</v>
      </c>
      <c r="G585" s="453">
        <f>calcLOB1Clinician9Emp2GrossProd-calcLOB1Clinician9Emp2MissVisits</f>
        <v>0</v>
      </c>
      <c r="H585" s="131" t="s">
        <v>1827</v>
      </c>
      <c r="J585" s="131" t="s">
        <v>555</v>
      </c>
      <c r="K585" s="453">
        <f>calcR2LOB1Clinician9Emp2GrossProd-calcR2LOB1Clinician9Emp2MissVisits</f>
        <v>0</v>
      </c>
      <c r="L585" s="453">
        <f>calcR2LOB1Clinician9Emp2GrossProd-calcR2LOB1Clinician9Emp2MissVisits</f>
        <v>0</v>
      </c>
      <c r="M585" s="453">
        <f>calcR2LOB1Clinician9Emp2GrossProd-calcR2LOB1Clinician9Emp2MissVisits</f>
        <v>0</v>
      </c>
      <c r="N585" s="131" t="s">
        <v>6358</v>
      </c>
    </row>
    <row r="586" spans="1:14" ht="12.75" customHeight="1">
      <c r="A586" s="461"/>
      <c r="B586" s="458"/>
      <c r="C586" s="170">
        <v>10</v>
      </c>
      <c r="D586" s="131" t="s">
        <v>555</v>
      </c>
      <c r="E586" s="453">
        <f>calcLOB1Clinician10Emp2GrossProd-calcLOB1Clinician10Emp2MissVisits</f>
        <v>23.8</v>
      </c>
      <c r="F586" s="453">
        <f>calcLOB1Clinician10Emp2GrossProd-calcLOB1Clinician10Emp2MissVisits</f>
        <v>23.8</v>
      </c>
      <c r="G586" s="453">
        <f>calcLOB1Clinician10Emp2GrossProd-calcLOB1Clinician10Emp2MissVisits</f>
        <v>23.8</v>
      </c>
      <c r="H586" s="131" t="s">
        <v>1828</v>
      </c>
      <c r="J586" s="131" t="s">
        <v>555</v>
      </c>
      <c r="K586" s="453">
        <f>calcR2LOB1Clinician10Emp2GrossProd-calcR2LOB1Clinician10Emp2MissVisits</f>
        <v>23.8</v>
      </c>
      <c r="L586" s="453">
        <f>calcR2LOB1Clinician10Emp2GrossProd-calcR2LOB1Clinician10Emp2MissVisits</f>
        <v>23.8</v>
      </c>
      <c r="M586" s="453">
        <f>calcR2LOB1Clinician10Emp2GrossProd-calcR2LOB1Clinician10Emp2MissVisits</f>
        <v>23.8</v>
      </c>
      <c r="N586" s="131" t="s">
        <v>6359</v>
      </c>
    </row>
    <row r="587" spans="1:14" ht="12.75" customHeight="1">
      <c r="A587" s="461"/>
      <c r="B587" s="458"/>
      <c r="C587" s="170">
        <v>11</v>
      </c>
      <c r="D587" s="131" t="s">
        <v>555</v>
      </c>
      <c r="E587" s="453">
        <f>calcLOB1Clinician11Emp2GrossProd-calcLOB1Clinician11Emp2MissVisits</f>
        <v>0</v>
      </c>
      <c r="F587" s="453">
        <f>calcLOB1Clinician11Emp2GrossProd-calcLOB1Clinician11Emp2MissVisits</f>
        <v>0</v>
      </c>
      <c r="G587" s="453">
        <f>calcLOB1Clinician11Emp2GrossProd-calcLOB1Clinician11Emp2MissVisits</f>
        <v>0</v>
      </c>
      <c r="H587" s="131" t="s">
        <v>1829</v>
      </c>
      <c r="J587" s="131" t="s">
        <v>555</v>
      </c>
      <c r="K587" s="453">
        <f>calcR2LOB1Clinician11Emp2GrossProd-calcR2LOB1Clinician11Emp2MissVisits</f>
        <v>0</v>
      </c>
      <c r="L587" s="453">
        <f>calcR2LOB1Clinician11Emp2GrossProd-calcR2LOB1Clinician11Emp2MissVisits</f>
        <v>0</v>
      </c>
      <c r="M587" s="453">
        <f>calcR2LOB1Clinician11Emp2GrossProd-calcR2LOB1Clinician11Emp2MissVisits</f>
        <v>0</v>
      </c>
      <c r="N587" s="131" t="s">
        <v>6360</v>
      </c>
    </row>
    <row r="588" spans="1:14" ht="12.75" customHeight="1">
      <c r="A588" s="461"/>
      <c r="B588" s="458"/>
      <c r="C588" s="170">
        <v>12</v>
      </c>
      <c r="D588" s="131" t="s">
        <v>555</v>
      </c>
      <c r="E588" s="453">
        <f>calcLOB1Clinician12Emp2GrossProd-calcLOB1Clinician12Emp2MissVisits</f>
        <v>0</v>
      </c>
      <c r="F588" s="453">
        <f>calcLOB1Clinician12Emp2GrossProd-calcLOB1Clinician12Emp2MissVisits</f>
        <v>0</v>
      </c>
      <c r="G588" s="453">
        <f>calcLOB1Clinician12Emp2GrossProd-calcLOB1Clinician12Emp2MissVisits</f>
        <v>0</v>
      </c>
      <c r="H588" s="131" t="s">
        <v>1830</v>
      </c>
      <c r="J588" s="131" t="s">
        <v>555</v>
      </c>
      <c r="K588" s="453">
        <f>calcR2LOB1Clinician12Emp2GrossProd-calcR2LOB1Clinician12Emp2MissVisits</f>
        <v>0</v>
      </c>
      <c r="L588" s="453">
        <f>calcR2LOB1Clinician12Emp2GrossProd-calcR2LOB1Clinician12Emp2MissVisits</f>
        <v>0</v>
      </c>
      <c r="M588" s="453">
        <f>calcR2LOB1Clinician12Emp2GrossProd-calcR2LOB1Clinician12Emp2MissVisits</f>
        <v>0</v>
      </c>
      <c r="N588" s="131" t="s">
        <v>6361</v>
      </c>
    </row>
    <row r="589" spans="1:14" ht="12.75" customHeight="1">
      <c r="A589" s="461"/>
      <c r="B589" s="458"/>
      <c r="D589" s="131" t="s">
        <v>555</v>
      </c>
      <c r="E589" s="453">
        <f>calcLOB1Clinician16Emp2GrossProd-calcLOB1Clinician16Emp2MissVisits</f>
        <v>71.564568750000007</v>
      </c>
      <c r="F589" s="453">
        <f>calcLOB1Clinician16Emp2GrossProd-calcLOB1Clinician16Emp2MissVisits</f>
        <v>139.1409456171875</v>
      </c>
      <c r="G589" s="453">
        <f>calcLOB1Clinician16Emp2GrossProd-calcLOB1Clinician16Emp2MissVisits</f>
        <v>81.094682770312502</v>
      </c>
      <c r="H589" s="131" t="s">
        <v>1830</v>
      </c>
      <c r="J589" s="131" t="s">
        <v>555</v>
      </c>
      <c r="K589" s="453">
        <f>calcR2LOB1Clinician16Emp2GrossProd-calcR2LOB1Clinician16Emp2MissVisits</f>
        <v>59.196226391964444</v>
      </c>
      <c r="L589" s="453">
        <f>calcR2LOB1Clinician16Emp2GrossProd-calcR2LOB1Clinician16Emp2MissVisits</f>
        <v>138.09165768538625</v>
      </c>
      <c r="M589" s="453">
        <f>calcR2LOB1Clinician16Emp2GrossProd-calcR2LOB1Clinician16Emp2MissVisits</f>
        <v>76.082405095558684</v>
      </c>
      <c r="N589" s="131" t="s">
        <v>6361</v>
      </c>
    </row>
    <row r="590" spans="1:14" ht="1.5" customHeight="1">
      <c r="A590" s="461"/>
      <c r="B590" s="458"/>
      <c r="D590" s="449"/>
      <c r="E590" s="450"/>
      <c r="F590" s="450"/>
      <c r="G590" s="450"/>
      <c r="H590" s="131"/>
      <c r="J590" s="449"/>
      <c r="K590" s="450"/>
      <c r="L590" s="450"/>
      <c r="M590" s="450"/>
      <c r="N590" s="131"/>
    </row>
    <row r="591" spans="1:14" ht="12.75" customHeight="1">
      <c r="A591" s="461"/>
      <c r="B591" s="458"/>
      <c r="D591" s="131" t="s">
        <v>2632</v>
      </c>
      <c r="E591" s="448">
        <f>SUM(E577:E590)</f>
        <v>95.364568750000004</v>
      </c>
      <c r="F591" s="448">
        <f t="shared" ref="F591:G591" si="71">SUM(F577:F590)</f>
        <v>162.94094561718751</v>
      </c>
      <c r="G591" s="448">
        <f t="shared" si="71"/>
        <v>104.8946827703125</v>
      </c>
      <c r="H591" s="131" t="s">
        <v>2633</v>
      </c>
      <c r="J591" s="131" t="s">
        <v>2632</v>
      </c>
      <c r="K591" s="448">
        <f>SUM(K577:K590)</f>
        <v>82.996226391964441</v>
      </c>
      <c r="L591" s="448">
        <f t="shared" ref="L591:M591" si="72">SUM(L577:L590)</f>
        <v>161.89165768538626</v>
      </c>
      <c r="M591" s="448">
        <f t="shared" si="72"/>
        <v>99.882405095558681</v>
      </c>
      <c r="N591" s="131" t="s">
        <v>6362</v>
      </c>
    </row>
    <row r="592" spans="1:14" ht="12.75" customHeight="1">
      <c r="A592" s="461"/>
      <c r="B592" s="458"/>
    </row>
    <row r="593" spans="1:14" ht="12.75" customHeight="1">
      <c r="A593" s="461"/>
      <c r="B593" s="458"/>
      <c r="C593" s="131" t="s">
        <v>1618</v>
      </c>
    </row>
    <row r="594" spans="1:14" ht="12.75" customHeight="1">
      <c r="A594" s="461"/>
      <c r="B594" s="458"/>
      <c r="C594" s="170">
        <v>1</v>
      </c>
      <c r="D594" s="131" t="s">
        <v>555</v>
      </c>
      <c r="E594" s="453">
        <f>MAX(0,calcLOB1Clinician1Emp2GrossProd-30)</f>
        <v>0</v>
      </c>
      <c r="F594" s="453">
        <f>MAX(0,calcLOB1Clinician1Emp2GrossProd-30)</f>
        <v>0</v>
      </c>
      <c r="G594" s="453">
        <f>MAX(0,calcLOB1Clinician1Emp2GrossProd-30)</f>
        <v>0</v>
      </c>
      <c r="H594" s="131" t="s">
        <v>1831</v>
      </c>
      <c r="J594" s="131" t="s">
        <v>555</v>
      </c>
      <c r="K594" s="453">
        <f>MAX(0,calcR2LOB1Clinician1Emp2GrossProd-30)</f>
        <v>0</v>
      </c>
      <c r="L594" s="453">
        <f>MAX(0,calcR2LOB1Clinician1Emp2GrossProd-30)</f>
        <v>0</v>
      </c>
      <c r="M594" s="453">
        <f>MAX(0,calcR2LOB1Clinician1Emp2GrossProd-30)</f>
        <v>0</v>
      </c>
      <c r="N594" s="131" t="s">
        <v>6363</v>
      </c>
    </row>
    <row r="595" spans="1:14" ht="12.75" customHeight="1">
      <c r="A595" s="461"/>
      <c r="B595" s="458"/>
      <c r="C595" s="170">
        <v>2</v>
      </c>
      <c r="D595" s="131" t="s">
        <v>555</v>
      </c>
      <c r="E595" s="453">
        <f>MAX(0,calcLOB1Clinician2Emp2GrossProd-30)</f>
        <v>0</v>
      </c>
      <c r="F595" s="453">
        <f>MAX(0,calcLOB1Clinician2Emp2GrossProd-30)</f>
        <v>0</v>
      </c>
      <c r="G595" s="453">
        <f>MAX(0,calcLOB1Clinician2Emp2GrossProd-30)</f>
        <v>0</v>
      </c>
      <c r="H595" s="131" t="s">
        <v>1832</v>
      </c>
      <c r="J595" s="131" t="s">
        <v>555</v>
      </c>
      <c r="K595" s="453">
        <f>MAX(0,calcR2LOB1Clinician2Emp2GrossProd-30)</f>
        <v>0</v>
      </c>
      <c r="L595" s="453">
        <f>MAX(0,calcR2LOB1Clinician2Emp2GrossProd-30)</f>
        <v>0</v>
      </c>
      <c r="M595" s="453">
        <f>MAX(0,calcR2LOB1Clinician2Emp2GrossProd-30)</f>
        <v>0</v>
      </c>
      <c r="N595" s="131" t="s">
        <v>6364</v>
      </c>
    </row>
    <row r="596" spans="1:14" ht="12.75" customHeight="1">
      <c r="A596" s="461"/>
      <c r="B596" s="458"/>
      <c r="C596" s="170">
        <v>3</v>
      </c>
      <c r="D596" s="131" t="s">
        <v>555</v>
      </c>
      <c r="E596" s="453">
        <f>MAX(0,calcLOB1Clinician3Emp2GrossProd-30)</f>
        <v>0</v>
      </c>
      <c r="F596" s="453">
        <f>MAX(0,calcLOB1Clinician3Emp2GrossProd-30)</f>
        <v>0</v>
      </c>
      <c r="G596" s="453">
        <f>MAX(0,calcLOB1Clinician3Emp2GrossProd-30)</f>
        <v>0</v>
      </c>
      <c r="H596" s="131" t="s">
        <v>1833</v>
      </c>
      <c r="J596" s="131" t="s">
        <v>555</v>
      </c>
      <c r="K596" s="453">
        <f>MAX(0,calcR2LOB1Clinician3Emp2GrossProd-30)</f>
        <v>0</v>
      </c>
      <c r="L596" s="453">
        <f>MAX(0,calcR2LOB1Clinician3Emp2GrossProd-30)</f>
        <v>0</v>
      </c>
      <c r="M596" s="453">
        <f>MAX(0,calcR2LOB1Clinician3Emp2GrossProd-30)</f>
        <v>0</v>
      </c>
      <c r="N596" s="131" t="s">
        <v>6365</v>
      </c>
    </row>
    <row r="597" spans="1:14" ht="12.75" customHeight="1">
      <c r="A597" s="461"/>
      <c r="B597" s="458"/>
      <c r="C597" s="170">
        <v>4</v>
      </c>
      <c r="D597" s="131" t="s">
        <v>555</v>
      </c>
      <c r="E597" s="453">
        <f>MAX(0,calcLOB1Clinician4Emp2GrossProd-30)</f>
        <v>0</v>
      </c>
      <c r="F597" s="453">
        <f>MAX(0,calcLOB1Clinician4Emp2GrossProd-30)</f>
        <v>0</v>
      </c>
      <c r="G597" s="453">
        <f>MAX(0,calcLOB1Clinician4Emp2GrossProd-30)</f>
        <v>0</v>
      </c>
      <c r="H597" s="131" t="s">
        <v>1834</v>
      </c>
      <c r="J597" s="131" t="s">
        <v>555</v>
      </c>
      <c r="K597" s="453">
        <f>MAX(0,calcR2LOB1Clinician4Emp2GrossProd-30)</f>
        <v>0</v>
      </c>
      <c r="L597" s="453">
        <f>MAX(0,calcR2LOB1Clinician4Emp2GrossProd-30)</f>
        <v>0</v>
      </c>
      <c r="M597" s="453">
        <f>MAX(0,calcR2LOB1Clinician4Emp2GrossProd-30)</f>
        <v>0</v>
      </c>
      <c r="N597" s="131" t="s">
        <v>6366</v>
      </c>
    </row>
    <row r="598" spans="1:14" ht="12.75" customHeight="1">
      <c r="A598" s="461"/>
      <c r="B598" s="458"/>
      <c r="C598" s="170">
        <v>5</v>
      </c>
      <c r="D598" s="131" t="s">
        <v>555</v>
      </c>
      <c r="E598" s="453">
        <f>MAX(0,calcLOB1Clinician5Emp2GrossProd-30)</f>
        <v>0</v>
      </c>
      <c r="F598" s="453">
        <f>MAX(0,calcLOB1Clinician5Emp2GrossProd-30)</f>
        <v>0</v>
      </c>
      <c r="G598" s="453">
        <f>MAX(0,calcLOB1Clinician5Emp2GrossProd-30)</f>
        <v>0</v>
      </c>
      <c r="H598" s="131" t="s">
        <v>1835</v>
      </c>
      <c r="J598" s="131" t="s">
        <v>555</v>
      </c>
      <c r="K598" s="453">
        <f>MAX(0,calcR2LOB1Clinician5Emp2GrossProd-30)</f>
        <v>0</v>
      </c>
      <c r="L598" s="453">
        <f>MAX(0,calcR2LOB1Clinician5Emp2GrossProd-30)</f>
        <v>0</v>
      </c>
      <c r="M598" s="453">
        <f>MAX(0,calcR2LOB1Clinician5Emp2GrossProd-30)</f>
        <v>0</v>
      </c>
      <c r="N598" s="131" t="s">
        <v>6367</v>
      </c>
    </row>
    <row r="599" spans="1:14" ht="12.75" customHeight="1">
      <c r="A599" s="461"/>
      <c r="B599" s="458"/>
      <c r="C599" s="170">
        <v>6</v>
      </c>
      <c r="D599" s="131" t="s">
        <v>555</v>
      </c>
      <c r="E599" s="453">
        <f>MAX(0,calcLOB1Clinician6Emp2GrossProd-30)</f>
        <v>0</v>
      </c>
      <c r="F599" s="453">
        <f>MAX(0,calcLOB1Clinician6Emp2GrossProd-30)</f>
        <v>0</v>
      </c>
      <c r="G599" s="453">
        <f>MAX(0,calcLOB1Clinician6Emp2GrossProd-30)</f>
        <v>0</v>
      </c>
      <c r="H599" s="131" t="s">
        <v>1836</v>
      </c>
      <c r="J599" s="131" t="s">
        <v>555</v>
      </c>
      <c r="K599" s="453">
        <f>MAX(0,calcR2LOB1Clinician6Emp2GrossProd-30)</f>
        <v>0</v>
      </c>
      <c r="L599" s="453">
        <f>MAX(0,calcR2LOB1Clinician6Emp2GrossProd-30)</f>
        <v>0</v>
      </c>
      <c r="M599" s="453">
        <f>MAX(0,calcR2LOB1Clinician6Emp2GrossProd-30)</f>
        <v>0</v>
      </c>
      <c r="N599" s="131" t="s">
        <v>6368</v>
      </c>
    </row>
    <row r="600" spans="1:14" ht="12.75" customHeight="1">
      <c r="A600" s="461"/>
      <c r="B600" s="458"/>
      <c r="C600" s="170">
        <v>7</v>
      </c>
      <c r="D600" s="131" t="s">
        <v>555</v>
      </c>
      <c r="E600" s="453">
        <f>MAX(0,calcLOB1Clinician7Emp2GrossProd-30)</f>
        <v>0</v>
      </c>
      <c r="F600" s="453">
        <f>MAX(0,calcLOB1Clinician7Emp2GrossProd-30)</f>
        <v>0</v>
      </c>
      <c r="G600" s="453">
        <f>MAX(0,calcLOB1Clinician7Emp2GrossProd-30)</f>
        <v>0</v>
      </c>
      <c r="H600" s="131" t="s">
        <v>1837</v>
      </c>
      <c r="J600" s="131" t="s">
        <v>555</v>
      </c>
      <c r="K600" s="453">
        <f>MAX(0,calcR2LOB1Clinician7Emp2GrossProd-30)</f>
        <v>0</v>
      </c>
      <c r="L600" s="453">
        <f>MAX(0,calcR2LOB1Clinician7Emp2GrossProd-30)</f>
        <v>0</v>
      </c>
      <c r="M600" s="453">
        <f>MAX(0,calcR2LOB1Clinician7Emp2GrossProd-30)</f>
        <v>0</v>
      </c>
      <c r="N600" s="131" t="s">
        <v>6369</v>
      </c>
    </row>
    <row r="601" spans="1:14" ht="12.75" customHeight="1">
      <c r="A601" s="461"/>
      <c r="B601" s="458"/>
      <c r="C601" s="170">
        <v>8</v>
      </c>
      <c r="D601" s="131" t="s">
        <v>555</v>
      </c>
      <c r="E601" s="453">
        <f>MAX(0,calcLOB1Clinician8Emp2GrossProd-30)</f>
        <v>0</v>
      </c>
      <c r="F601" s="453">
        <f>MAX(0,calcLOB1Clinician8Emp2GrossProd-30)</f>
        <v>0</v>
      </c>
      <c r="G601" s="453">
        <f>MAX(0,calcLOB1Clinician8Emp2GrossProd-30)</f>
        <v>0</v>
      </c>
      <c r="H601" s="131" t="s">
        <v>1838</v>
      </c>
      <c r="J601" s="131" t="s">
        <v>555</v>
      </c>
      <c r="K601" s="453">
        <f>MAX(0,calcR2LOB1Clinician8Emp2GrossProd-30)</f>
        <v>0</v>
      </c>
      <c r="L601" s="453">
        <f>MAX(0,calcR2LOB1Clinician8Emp2GrossProd-30)</f>
        <v>0</v>
      </c>
      <c r="M601" s="453">
        <f>MAX(0,calcR2LOB1Clinician8Emp2GrossProd-30)</f>
        <v>0</v>
      </c>
      <c r="N601" s="131" t="s">
        <v>6370</v>
      </c>
    </row>
    <row r="602" spans="1:14" ht="12.75" customHeight="1">
      <c r="A602" s="461"/>
      <c r="B602" s="458"/>
      <c r="C602" s="170">
        <v>9</v>
      </c>
      <c r="D602" s="131" t="s">
        <v>555</v>
      </c>
      <c r="E602" s="453">
        <f>MAX(0,calcLOB1Clinician9Emp2GrossProd-30)</f>
        <v>0</v>
      </c>
      <c r="F602" s="453">
        <f>MAX(0,calcLOB1Clinician9Emp2GrossProd-30)</f>
        <v>0</v>
      </c>
      <c r="G602" s="453">
        <f>MAX(0,calcLOB1Clinician9Emp2GrossProd-30)</f>
        <v>0</v>
      </c>
      <c r="H602" s="131" t="s">
        <v>1839</v>
      </c>
      <c r="J602" s="131" t="s">
        <v>555</v>
      </c>
      <c r="K602" s="453">
        <f>MAX(0,calcR2LOB1Clinician9Emp2GrossProd-30)</f>
        <v>0</v>
      </c>
      <c r="L602" s="453">
        <f>MAX(0,calcR2LOB1Clinician9Emp2GrossProd-30)</f>
        <v>0</v>
      </c>
      <c r="M602" s="453">
        <f>MAX(0,calcR2LOB1Clinician9Emp2GrossProd-30)</f>
        <v>0</v>
      </c>
      <c r="N602" s="131" t="s">
        <v>6371</v>
      </c>
    </row>
    <row r="603" spans="1:14" ht="12.75" customHeight="1">
      <c r="A603" s="461"/>
      <c r="B603" s="458"/>
      <c r="C603" s="170">
        <v>10</v>
      </c>
      <c r="D603" s="131" t="s">
        <v>555</v>
      </c>
      <c r="E603" s="453">
        <f>MAX(0,calcLOB1Clinician10Emp2GrossProd-30)</f>
        <v>0</v>
      </c>
      <c r="F603" s="453">
        <f>MAX(0,calcLOB1Clinician10Emp2GrossProd-30)</f>
        <v>0</v>
      </c>
      <c r="G603" s="453">
        <f>MAX(0,calcLOB1Clinician10Emp2GrossProd-30)</f>
        <v>0</v>
      </c>
      <c r="H603" s="131" t="s">
        <v>1840</v>
      </c>
      <c r="J603" s="131" t="s">
        <v>555</v>
      </c>
      <c r="K603" s="453">
        <f>MAX(0,calcR2LOB1Clinician10Emp2GrossProd-30)</f>
        <v>0</v>
      </c>
      <c r="L603" s="453">
        <f>MAX(0,calcR2LOB1Clinician10Emp2GrossProd-30)</f>
        <v>0</v>
      </c>
      <c r="M603" s="453">
        <f>MAX(0,calcR2LOB1Clinician10Emp2GrossProd-30)</f>
        <v>0</v>
      </c>
      <c r="N603" s="131" t="s">
        <v>6372</v>
      </c>
    </row>
    <row r="604" spans="1:14" ht="12.75" customHeight="1">
      <c r="A604" s="461"/>
      <c r="B604" s="458"/>
      <c r="C604" s="170">
        <v>11</v>
      </c>
      <c r="D604" s="131" t="s">
        <v>555</v>
      </c>
      <c r="E604" s="453">
        <f>MAX(0,calcLOB1Clinician11Emp2GrossProd-30)</f>
        <v>0</v>
      </c>
      <c r="F604" s="453">
        <f>MAX(0,calcLOB1Clinician11Emp2GrossProd-30)</f>
        <v>0</v>
      </c>
      <c r="G604" s="453">
        <f>MAX(0,calcLOB1Clinician11Emp2GrossProd-30)</f>
        <v>0</v>
      </c>
      <c r="H604" s="131" t="s">
        <v>1841</v>
      </c>
      <c r="J604" s="131" t="s">
        <v>555</v>
      </c>
      <c r="K604" s="453">
        <f>MAX(0,calcR2LOB1Clinician11Emp2GrossProd-30)</f>
        <v>0</v>
      </c>
      <c r="L604" s="453">
        <f>MAX(0,calcR2LOB1Clinician11Emp2GrossProd-30)</f>
        <v>0</v>
      </c>
      <c r="M604" s="453">
        <f>MAX(0,calcR2LOB1Clinician11Emp2GrossProd-30)</f>
        <v>0</v>
      </c>
      <c r="N604" s="131" t="s">
        <v>6373</v>
      </c>
    </row>
    <row r="605" spans="1:14" ht="12.75" customHeight="1">
      <c r="A605" s="461"/>
      <c r="B605" s="458"/>
      <c r="C605" s="170">
        <v>12</v>
      </c>
      <c r="D605" s="131" t="s">
        <v>555</v>
      </c>
      <c r="E605" s="453">
        <f>MAX(0,calcLOB1Clinician12Emp2GrossProd-30)</f>
        <v>0</v>
      </c>
      <c r="F605" s="453">
        <f>MAX(0,calcLOB1Clinician12Emp2GrossProd-30)</f>
        <v>0</v>
      </c>
      <c r="G605" s="453">
        <f>MAX(0,calcLOB1Clinician12Emp2GrossProd-30)</f>
        <v>0</v>
      </c>
      <c r="H605" s="131" t="s">
        <v>1842</v>
      </c>
      <c r="J605" s="131" t="s">
        <v>555</v>
      </c>
      <c r="K605" s="453">
        <f>MAX(0,calcR2LOB1Clinician12Emp2GrossProd-30)</f>
        <v>0</v>
      </c>
      <c r="L605" s="453">
        <f>MAX(0,calcR2LOB1Clinician12Emp2GrossProd-30)</f>
        <v>0</v>
      </c>
      <c r="M605" s="453">
        <f>MAX(0,calcR2LOB1Clinician12Emp2GrossProd-30)</f>
        <v>0</v>
      </c>
      <c r="N605" s="131" t="s">
        <v>6374</v>
      </c>
    </row>
    <row r="606" spans="1:14" ht="12.75" customHeight="1">
      <c r="A606" s="461"/>
      <c r="B606" s="458"/>
    </row>
    <row r="607" spans="1:14" ht="12.75" customHeight="1">
      <c r="A607" s="461"/>
      <c r="B607" s="460"/>
      <c r="C607" s="482" t="s">
        <v>1586</v>
      </c>
    </row>
    <row r="608" spans="1:14" ht="12.75" customHeight="1">
      <c r="A608" s="461"/>
      <c r="B608" s="460"/>
      <c r="C608" s="170">
        <v>1</v>
      </c>
      <c r="D608" s="131" t="s">
        <v>556</v>
      </c>
      <c r="E608" s="560">
        <f>IF(VLOOKUP($C608,obal!$D$71:$G$86,E$3,FALSE)=$D608,obalLOB1AvgProdClinician1,0)</f>
        <v>0</v>
      </c>
      <c r="F608" s="560">
        <f>IF(VLOOKUP($C608,obal!$D$71:$G$86,F$3,FALSE)=$D608,obalLOB1AvgProdClinician1,0)*paramLOB1Disc4Meetings*paramLOB1Meetings*paramLOB1Clinician1Meetings</f>
        <v>0</v>
      </c>
      <c r="G608" s="560">
        <f>IF(VLOOKUP($C608,obal!$D$71:$G$86,G$3,FALSE)=$D608,obalLOB1AvgProdClinician1,0)*paramLOB1Disc4Meetings*paramLOB1Meetings*paramLOB1Clinician1Meetings</f>
        <v>0</v>
      </c>
      <c r="H608" s="131" t="s">
        <v>1843</v>
      </c>
      <c r="J608" s="131" t="s">
        <v>556</v>
      </c>
      <c r="K608" s="560">
        <f>IF(VLOOKUP($C608,obal!$J$71:$M$86,K$3,FALSE)=$D608,obalR2LOB1AvgProdClinician1,0)</f>
        <v>0</v>
      </c>
      <c r="L608" s="560">
        <f>IF(VLOOKUP($C608,obal!$J$71:$M$86,L$3,FALSE)=$D608,obalR2LOB1AvgProdClinician1,0)</f>
        <v>0</v>
      </c>
      <c r="M608" s="560">
        <f>IF(VLOOKUP($C608,obal!$J$71:$M$86,M$3,FALSE)=$D608,obalR2LOB1AvgProdClinician1,0)</f>
        <v>0</v>
      </c>
      <c r="N608" s="131" t="s">
        <v>6375</v>
      </c>
    </row>
    <row r="609" spans="1:14" ht="12.75" customHeight="1">
      <c r="A609" s="461"/>
      <c r="B609" s="460"/>
      <c r="C609" s="170">
        <v>2</v>
      </c>
      <c r="D609" s="131" t="s">
        <v>556</v>
      </c>
      <c r="E609" s="560">
        <f>IF(VLOOKUP($C609,obal!$D$71:$G$86,E$3,FALSE)=$D609,obalLOB1AvgProdClinician2,0)</f>
        <v>0</v>
      </c>
      <c r="F609" s="560">
        <f>IF(VLOOKUP($C609,obal!$D$71:$G$86,F$3,FALSE)=$D609,obalLOB1AvgProdClinician2,0)*paramLOB1Disc4Meetings*paramLOB1Meetings*paramLOB1Clinician2Meetings</f>
        <v>0</v>
      </c>
      <c r="G609" s="560">
        <f>IF(VLOOKUP($C609,obal!$D$71:$G$86,G$3,FALSE)=$D609,obalLOB1AvgProdClinician2,0)*paramLOB1Disc4Meetings*paramLOB1Meetings*paramLOB1Clinician2Meetings</f>
        <v>0</v>
      </c>
      <c r="H609" s="131" t="s">
        <v>1844</v>
      </c>
      <c r="J609" s="131" t="s">
        <v>556</v>
      </c>
      <c r="K609" s="560">
        <f>IF(VLOOKUP($C609,obal!$J$71:$M$86,K$3,FALSE)=$D609,obalR2LOB1AvgProdClinician2,0)</f>
        <v>0</v>
      </c>
      <c r="L609" s="560">
        <f>IF(VLOOKUP($C609,obal!$J$71:$M$86,L$3,FALSE)=$D609,obalR2LOB1AvgProdClinician2,0)</f>
        <v>0</v>
      </c>
      <c r="M609" s="560">
        <f>IF(VLOOKUP($C609,obal!$J$71:$M$86,M$3,FALSE)=$D609,obalR2LOB1AvgProdClinician2,0)</f>
        <v>0</v>
      </c>
      <c r="N609" s="131" t="s">
        <v>6376</v>
      </c>
    </row>
    <row r="610" spans="1:14" ht="12.75" customHeight="1">
      <c r="A610" s="461"/>
      <c r="B610" s="460"/>
      <c r="C610" s="170">
        <v>3</v>
      </c>
      <c r="D610" s="131" t="s">
        <v>556</v>
      </c>
      <c r="E610" s="560">
        <f>IF(VLOOKUP($C610,obal!$D$71:$G$86,E$3,FALSE)=$D610,obalLOB1AvgProdClinician3,0)</f>
        <v>0</v>
      </c>
      <c r="F610" s="560">
        <f>IF(VLOOKUP($C610,obal!$D$71:$G$86,F$3,FALSE)=$D610,obalLOB1AvgProdClinician3,0)*paramLOB1Disc4Meetings*paramLOB1Meetings*paramLOB1Clinician3Meetings</f>
        <v>0</v>
      </c>
      <c r="G610" s="560">
        <f>IF(VLOOKUP($C610,obal!$D$71:$G$86,G$3,FALSE)=$D610,obalLOB1AvgProdClinician3,0)*paramLOB1Disc4Meetings*paramLOB1Meetings*paramLOB1Clinician3Meetings</f>
        <v>0</v>
      </c>
      <c r="H610" s="131" t="s">
        <v>1845</v>
      </c>
      <c r="J610" s="131" t="s">
        <v>556</v>
      </c>
      <c r="K610" s="560">
        <f>IF(VLOOKUP($C610,obal!$J$71:$M$86,K$3,FALSE)=$D610,obalR2LOB1AvgProdClinician3,0)</f>
        <v>0</v>
      </c>
      <c r="L610" s="560">
        <f>IF(VLOOKUP($C610,obal!$J$71:$M$86,L$3,FALSE)=$D610,obalR2LOB1AvgProdClinician3,0)</f>
        <v>0</v>
      </c>
      <c r="M610" s="560">
        <f>IF(VLOOKUP($C610,obal!$J$71:$M$86,M$3,FALSE)=$D610,obalR2LOB1AvgProdClinician3,0)</f>
        <v>0</v>
      </c>
      <c r="N610" s="131" t="s">
        <v>6377</v>
      </c>
    </row>
    <row r="611" spans="1:14" ht="12.75" customHeight="1">
      <c r="A611" s="461"/>
      <c r="B611" s="460"/>
      <c r="C611" s="170">
        <v>4</v>
      </c>
      <c r="D611" s="131" t="s">
        <v>556</v>
      </c>
      <c r="E611" s="560">
        <f>IF(VLOOKUP($C611,obal!$D$71:$G$86,E$3,FALSE)=$D611,obalLOB1AvgProdClinician4,0)</f>
        <v>0</v>
      </c>
      <c r="F611" s="560">
        <f>IF(VLOOKUP($C611,obal!$D$71:$G$86,F$3,FALSE)=$D611,obalLOB1AvgProdClinician4,0)*paramLOB1Disc4Meetings*paramLOB1Meetings*paramLOB1Clinician4Meetings</f>
        <v>0</v>
      </c>
      <c r="G611" s="560">
        <f>IF(VLOOKUP($C611,obal!$D$71:$G$86,G$3,FALSE)=$D611,obalLOB1AvgProdClinician4,0)*paramLOB1Disc4Meetings*paramLOB1Meetings*paramLOB1Clinician4Meetings</f>
        <v>0</v>
      </c>
      <c r="H611" s="131" t="s">
        <v>1846</v>
      </c>
      <c r="J611" s="131" t="s">
        <v>556</v>
      </c>
      <c r="K611" s="560">
        <f>IF(VLOOKUP($C611,obal!$J$71:$M$86,K$3,FALSE)=$D611,obalR2LOB1AvgProdClinician4,0)</f>
        <v>0</v>
      </c>
      <c r="L611" s="560">
        <f>IF(VLOOKUP($C611,obal!$J$71:$M$86,L$3,FALSE)=$D611,obalR2LOB1AvgProdClinician4,0)</f>
        <v>0</v>
      </c>
      <c r="M611" s="560">
        <f>IF(VLOOKUP($C611,obal!$J$71:$M$86,M$3,FALSE)=$D611,obalR2LOB1AvgProdClinician4,0)</f>
        <v>0</v>
      </c>
      <c r="N611" s="131" t="s">
        <v>6378</v>
      </c>
    </row>
    <row r="612" spans="1:14" ht="12.75" customHeight="1">
      <c r="A612" s="461"/>
      <c r="B612" s="460"/>
      <c r="C612" s="170">
        <v>5</v>
      </c>
      <c r="D612" s="131" t="s">
        <v>556</v>
      </c>
      <c r="E612" s="560">
        <f>IF(VLOOKUP($C612,obal!$D$71:$G$86,E$3,FALSE)=$D612,obalLOB1AvgProdClinician5,0)</f>
        <v>0</v>
      </c>
      <c r="F612" s="560">
        <f>IF(VLOOKUP($C612,obal!$D$71:$G$86,F$3,FALSE)=$D612,obalLOB1AvgProdClinician5,0)*paramLOB1Disc4Meetings*paramLOB1Meetings*paramLOB1Clinician5Meetings</f>
        <v>0</v>
      </c>
      <c r="G612" s="560">
        <f>IF(VLOOKUP($C612,obal!$D$71:$G$86,G$3,FALSE)=$D612,obalLOB1AvgProdClinician5,0)*paramLOB1Disc4Meetings*paramLOB1Meetings*paramLOB1Clinician5Meetings</f>
        <v>0</v>
      </c>
      <c r="H612" s="131" t="s">
        <v>1847</v>
      </c>
      <c r="J612" s="131" t="s">
        <v>556</v>
      </c>
      <c r="K612" s="560">
        <f>IF(VLOOKUP($C612,obal!$J$71:$M$86,K$3,FALSE)=$D612,obalR2LOB1AvgProdClinician5,0)</f>
        <v>0</v>
      </c>
      <c r="L612" s="560">
        <f>IF(VLOOKUP($C612,obal!$J$71:$M$86,L$3,FALSE)=$D612,obalR2LOB1AvgProdClinician5,0)</f>
        <v>0</v>
      </c>
      <c r="M612" s="560">
        <f>IF(VLOOKUP($C612,obal!$J$71:$M$86,M$3,FALSE)=$D612,obalR2LOB1AvgProdClinician5,0)</f>
        <v>0</v>
      </c>
      <c r="N612" s="131" t="s">
        <v>6379</v>
      </c>
    </row>
    <row r="613" spans="1:14" ht="12.75" customHeight="1">
      <c r="A613" s="461"/>
      <c r="B613" s="460"/>
      <c r="C613" s="170">
        <v>6</v>
      </c>
      <c r="D613" s="788" t="s">
        <v>8485</v>
      </c>
      <c r="E613" s="560">
        <f>IF(VLOOKUP($C613,obal!$D$71:$G$86,E$3,FALSE)=$D613,obalLOB1AvgProdClinician6,0)</f>
        <v>30</v>
      </c>
      <c r="F613" s="560">
        <f>IF(VLOOKUP($C613,obal!$D$71:$G$86,F$3,FALSE)=$D613,obalLOB1AvgProdClinician6,0)*paramLOB1Disc4Meetings*paramLOB1Meetings*paramLOB1Clinician6Meetings</f>
        <v>30</v>
      </c>
      <c r="G613" s="560">
        <f>IF(VLOOKUP($C613,obal!$D$71:$G$86,G$3,FALSE)=$D613,obalLOB1AvgProdClinician6,0)*paramLOB1Disc4Meetings*paramLOB1Meetings*paramLOB1Clinician6Meetings</f>
        <v>30</v>
      </c>
      <c r="H613" s="131" t="s">
        <v>1848</v>
      </c>
      <c r="J613" s="788" t="s">
        <v>8485</v>
      </c>
      <c r="K613" s="560">
        <f>IF(VLOOKUP($C613,obal!$J$71:$M$86,K$3,FALSE)=$D613,obalR2LOB1AvgProdClinician6,0)</f>
        <v>30</v>
      </c>
      <c r="L613" s="560">
        <f>IF(VLOOKUP($C613,obal!$J$71:$M$86,L$3,FALSE)=$D613,obalR2LOB1AvgProdClinician6,0)</f>
        <v>30</v>
      </c>
      <c r="M613" s="560">
        <f>IF(VLOOKUP($C613,obal!$J$71:$M$86,M$3,FALSE)=$D613,obalR2LOB1AvgProdClinician6,0)</f>
        <v>30</v>
      </c>
      <c r="N613" s="131" t="s">
        <v>6380</v>
      </c>
    </row>
    <row r="614" spans="1:14" ht="12.75" customHeight="1">
      <c r="A614" s="461"/>
      <c r="B614" s="460"/>
      <c r="C614" s="170">
        <v>7</v>
      </c>
      <c r="D614" s="131" t="s">
        <v>556</v>
      </c>
      <c r="E614" s="560">
        <f>IF(VLOOKUP($C614,obal!$D$71:$G$86,E$3,FALSE)=$D614,obalLOB1AvgProdClinician7,0)</f>
        <v>28</v>
      </c>
      <c r="F614" s="560">
        <f>IF(VLOOKUP($C614,obal!$D$71:$G$86,F$3,FALSE)=$D614,obalLOB1AvgProdClinician7,0)*paramLOB1Disc4Meetings*paramLOB1Meetings*paramLOB1Clinician7Meetings</f>
        <v>28</v>
      </c>
      <c r="G614" s="560">
        <f>IF(VLOOKUP($C614,obal!$D$71:$G$86,G$3,FALSE)=$D614,obalLOB1AvgProdClinician7,0)*paramLOB1Disc4Meetings*paramLOB1Meetings*paramLOB1Clinician7Meetings</f>
        <v>28</v>
      </c>
      <c r="H614" s="131" t="s">
        <v>1849</v>
      </c>
      <c r="J614" s="131" t="s">
        <v>556</v>
      </c>
      <c r="K614" s="560">
        <f>IF(VLOOKUP($C614,obal!$J$71:$M$86,K$3,FALSE)=$D614,obalR2LOB1AvgProdClinician7,0)</f>
        <v>28</v>
      </c>
      <c r="L614" s="560">
        <f>IF(VLOOKUP($C614,obal!$J$71:$M$86,L$3,FALSE)=$D614,obalR2LOB1AvgProdClinician7,0)</f>
        <v>28</v>
      </c>
      <c r="M614" s="560">
        <f>IF(VLOOKUP($C614,obal!$J$71:$M$86,M$3,FALSE)=$D614,obalR2LOB1AvgProdClinician7,0)</f>
        <v>28</v>
      </c>
      <c r="N614" s="131" t="s">
        <v>6381</v>
      </c>
    </row>
    <row r="615" spans="1:14" ht="12.75" customHeight="1">
      <c r="A615" s="461"/>
      <c r="B615" s="460"/>
      <c r="C615" s="170">
        <v>8</v>
      </c>
      <c r="D615" s="131" t="s">
        <v>556</v>
      </c>
      <c r="E615" s="560">
        <f>IF(VLOOKUP($C615,obal!$D$71:$G$86,E$3,FALSE)=$D615,obalLOB1AvgProdClinician8,0)</f>
        <v>29</v>
      </c>
      <c r="F615" s="560">
        <f>IF(VLOOKUP($C615,obal!$D$71:$G$86,F$3,FALSE)=$D615,obalLOB1AvgProdClinician8,0)*paramLOB1Disc4Meetings*paramLOB1Meetings*paramLOB1Clinician8Meetings</f>
        <v>29</v>
      </c>
      <c r="G615" s="560">
        <f>IF(VLOOKUP($C615,obal!$D$71:$G$86,G$3,FALSE)=$D615,obalLOB1AvgProdClinician8,0)*paramLOB1Disc4Meetings*paramLOB1Meetings*paramLOB1Clinician8Meetings</f>
        <v>29</v>
      </c>
      <c r="H615" s="131" t="s">
        <v>1850</v>
      </c>
      <c r="J615" s="131" t="s">
        <v>556</v>
      </c>
      <c r="K615" s="560">
        <f>IF(VLOOKUP($C615,obal!$J$71:$M$86,K$3,FALSE)=$D615,obalR2LOB1AvgProdClinician8,0)</f>
        <v>29</v>
      </c>
      <c r="L615" s="560">
        <f>IF(VLOOKUP($C615,obal!$J$71:$M$86,L$3,FALSE)=$D615,obalR2LOB1AvgProdClinician8,0)</f>
        <v>29</v>
      </c>
      <c r="M615" s="560">
        <f>IF(VLOOKUP($C615,obal!$J$71:$M$86,M$3,FALSE)=$D615,obalR2LOB1AvgProdClinician8,0)</f>
        <v>29</v>
      </c>
      <c r="N615" s="131" t="s">
        <v>6382</v>
      </c>
    </row>
    <row r="616" spans="1:14" ht="12.75" customHeight="1">
      <c r="A616" s="461"/>
      <c r="B616" s="460"/>
      <c r="C616" s="170">
        <v>9</v>
      </c>
      <c r="D616" s="131" t="s">
        <v>556</v>
      </c>
      <c r="E616" s="560">
        <f>IF(VLOOKUP($C616,obal!$D$71:$G$86,E$3,FALSE)=$D616,obalLOB1AvgProdClinician9,0)</f>
        <v>15.773195876288661</v>
      </c>
      <c r="F616" s="560">
        <f>IF(VLOOKUP($C616,obal!$D$71:$G$86,F$3,FALSE)=$D616,obalLOB1AvgProdClinician9,0)*paramLOB1Disc4Meetings*paramLOB1Meetings*paramLOB1Clinician9Meetings</f>
        <v>15.773195876288661</v>
      </c>
      <c r="G616" s="560">
        <f>IF(VLOOKUP($C616,obal!$D$71:$G$86,G$3,FALSE)=$D616,obalLOB1AvgProdClinician9,0)*paramLOB1Disc4Meetings*paramLOB1Meetings*paramLOB1Clinician9Meetings</f>
        <v>15.773195876288661</v>
      </c>
      <c r="H616" s="131" t="s">
        <v>1851</v>
      </c>
      <c r="J616" s="131" t="s">
        <v>556</v>
      </c>
      <c r="K616" s="560">
        <f>IF(VLOOKUP($C616,obal!$J$71:$M$86,K$3,FALSE)=$D616,obalR2LOB1AvgProdClinician9,0)</f>
        <v>15.773195876288661</v>
      </c>
      <c r="L616" s="560">
        <f>IF(VLOOKUP($C616,obal!$J$71:$M$86,L$3,FALSE)=$D616,obalR2LOB1AvgProdClinician9,0)</f>
        <v>15.773195876288661</v>
      </c>
      <c r="M616" s="560">
        <f>IF(VLOOKUP($C616,obal!$J$71:$M$86,M$3,FALSE)=$D616,obalR2LOB1AvgProdClinician9,0)</f>
        <v>15.773195876288661</v>
      </c>
      <c r="N616" s="131" t="s">
        <v>6383</v>
      </c>
    </row>
    <row r="617" spans="1:14" ht="12.75" customHeight="1" thickBot="1">
      <c r="A617" s="461"/>
      <c r="B617" s="460"/>
      <c r="C617" s="170">
        <v>10</v>
      </c>
      <c r="D617" s="131" t="s">
        <v>556</v>
      </c>
      <c r="E617" s="560">
        <f>IF(VLOOKUP($C617,obal!$D$71:$G$86,E$3,FALSE)=$D617,obalLOB1AvgProdClinician10,0)</f>
        <v>0</v>
      </c>
      <c r="F617" s="560">
        <f>IF(VLOOKUP($C617,obal!$D$71:$G$86,F$3,FALSE)=$D617,obalLOB1AvgProdClinician10,0)*paramLOB1Disc4Meetings*paramLOB1Meetings*paramLOB1Clinician10Meetings</f>
        <v>0</v>
      </c>
      <c r="G617" s="560">
        <f>IF(VLOOKUP($C617,obal!$D$71:$G$86,G$3,FALSE)=$D617,obalLOB1AvgProdClinician10,0)*paramLOB1Disc4Meetings*paramLOB1Meetings*paramLOB1Clinician10Meetings</f>
        <v>0</v>
      </c>
      <c r="H617" s="131" t="s">
        <v>1852</v>
      </c>
      <c r="J617" s="131" t="s">
        <v>556</v>
      </c>
      <c r="K617" s="560">
        <f>IF(VLOOKUP($C617,obal!$J$71:$M$86,K$3,FALSE)=$D617,obalR2LOB1AvgProdClinician10,0)</f>
        <v>0</v>
      </c>
      <c r="L617" s="560">
        <f>IF(VLOOKUP($C617,obal!$J$71:$M$86,L$3,FALSE)=$D617,obalR2LOB1AvgProdClinician10,0)</f>
        <v>0</v>
      </c>
      <c r="M617" s="560">
        <f>IF(VLOOKUP($C617,obal!$J$71:$M$86,M$3,FALSE)=$D617,obalR2LOB1AvgProdClinician10,0)</f>
        <v>0</v>
      </c>
      <c r="N617" s="131" t="s">
        <v>6384</v>
      </c>
    </row>
    <row r="618" spans="1:14" ht="12.75" customHeight="1">
      <c r="A618" s="461"/>
      <c r="B618" s="789" t="s">
        <v>8485</v>
      </c>
      <c r="C618" s="170">
        <v>11</v>
      </c>
      <c r="D618" s="131" t="s">
        <v>556</v>
      </c>
      <c r="E618" s="560">
        <f>IF(VLOOKUP($C618,cbal!$D$71:$G$82,E$3,FALSE)=$D618,cbalLOB1AvgBaseProdClinician11,IF(VLOOKUP($C618,cbal!$D$71:$G$82,E$3,FALSE)=$B618,cbalLOB1AvgBaseProdClinician11,0))</f>
        <v>0</v>
      </c>
      <c r="F618" s="560">
        <f>IF(VLOOKUP($C618,cbal!$D$71:$G$82,F$3,FALSE)=$D618,cbalLOB1AvgBaseProdClinician11,IF(VLOOKUP($C618,cbal!$D$71:$G$82,F$3,FALSE)=$B618,cbalLOB1AvgBaseProdClinician11,0))</f>
        <v>0</v>
      </c>
      <c r="G618" s="560">
        <f>IF(VLOOKUP($C618,cbal!$D$71:$G$82,G$3,FALSE)=$D618,cbalLOB1AvgBaseProdClinician11,IF(VLOOKUP($C618,cbal!$D$71:$G$82,G$3,FALSE)=$B618,cbalLOB1AvgBaseProdClinician11,0))</f>
        <v>0</v>
      </c>
      <c r="H618" s="131" t="s">
        <v>1853</v>
      </c>
      <c r="J618" s="131" t="s">
        <v>556</v>
      </c>
      <c r="K618" s="560">
        <f>IF(VLOOKUP($C618,cbal!$J$71:$M$86,K$3,FALSE)=$D618,cbalR2LOB1AvgBaseProdClinician11,IF(VLOOKUP($C618,cbal!$J$71:$M$86,K$3,FALSE)=$B618,cbalR2LOB1AvgBaseProdClinician11,0))</f>
        <v>0</v>
      </c>
      <c r="L618" s="560">
        <f>IF(VLOOKUP($C618,cbal!$J$71:$M$86,L$3,FALSE)=$D618,cbalR2LOB1AvgBaseProdClinician11,IF(VLOOKUP($C618,cbal!$J$71:$M$86,L$3,FALSE)=$B618,cbalR2LOB1AvgBaseProdClinician11,0))</f>
        <v>0</v>
      </c>
      <c r="M618" s="560">
        <f>IF(VLOOKUP($C618,cbal!$J$71:$M$86,M$3,FALSE)=$D618,cbalR2LOB1AvgBaseProdClinician11,IF(VLOOKUP($C618,cbal!$J$71:$M$86,M$3,FALSE)=$B618,cbalR2LOB1AvgBaseProdClinician11,0))</f>
        <v>0</v>
      </c>
      <c r="N618" s="131" t="s">
        <v>6385</v>
      </c>
    </row>
    <row r="619" spans="1:14" ht="12.75" customHeight="1" thickBot="1">
      <c r="A619" s="461"/>
      <c r="B619" s="790" t="s">
        <v>8485</v>
      </c>
      <c r="C619" s="170">
        <v>12</v>
      </c>
      <c r="D619" s="131" t="s">
        <v>556</v>
      </c>
      <c r="E619" s="560">
        <f>IF(VLOOKUP($C619,cbal!$D$71:$G$82,E$3,FALSE)=$D619,cbalLOB1AvgBaseProdClinician12,IF(VLOOKUP($C619,cbal!$D$71:$G$82,E$3,FALSE)=$B619,cbalLOB1AvgBaseProdClinician12,0))</f>
        <v>0</v>
      </c>
      <c r="F619" s="560">
        <f>IF(VLOOKUP($C619,cbal!$D$71:$G$82,F$3,FALSE)=$D619,cbalLOB1AvgBaseProdClinician12,IF(VLOOKUP($C619,cbal!$D$71:$G$82,F$3,FALSE)=$B619,cbalLOB1AvgBaseProdClinician12,0))</f>
        <v>0</v>
      </c>
      <c r="G619" s="560">
        <f>IF(VLOOKUP($C619,cbal!$D$71:$G$82,G$3,FALSE)=$D619,cbalLOB1AvgBaseProdClinician12,IF(VLOOKUP($C619,cbal!$D$71:$G$82,G$3,FALSE)=$B619,cbalLOB1AvgBaseProdClinician12,0))</f>
        <v>0</v>
      </c>
      <c r="H619" s="131" t="s">
        <v>1854</v>
      </c>
      <c r="J619" s="131" t="s">
        <v>556</v>
      </c>
      <c r="K619" s="560">
        <f>IF(VLOOKUP($C619,cbal!$J$71:$M$86,K$3,FALSE)=$D619,cbalR2LOB1AvgBaseProdClinician12,IF(VLOOKUP($C619,cbal!$J$71:$M$86,K$3,FALSE)=$B619,cbalR2LOB1AvgBaseProdClinician12,0))</f>
        <v>0</v>
      </c>
      <c r="L619" s="560">
        <f>IF(VLOOKUP($C619,cbal!$J$71:$M$86,L$3,FALSE)=$D619,cbalR2LOB1AvgBaseProdClinician12,IF(VLOOKUP($C619,cbal!$J$71:$M$86,L$3,FALSE)=$B619,cbalR2LOB1AvgBaseProdClinician12,0))</f>
        <v>0</v>
      </c>
      <c r="M619" s="560">
        <f>IF(VLOOKUP($C619,cbal!$J$71:$M$86,M$3,FALSE)=$D619,cbalR2LOB1AvgBaseProdClinician12,IF(VLOOKUP($C619,cbal!$J$71:$M$86,M$3,FALSE)=$B619,cbalR2LOB1AvgBaseProdClinician12,0))</f>
        <v>0</v>
      </c>
      <c r="N619" s="131" t="s">
        <v>6386</v>
      </c>
    </row>
    <row r="620" spans="1:14" ht="12.75" customHeight="1">
      <c r="A620" s="461"/>
      <c r="B620" s="460"/>
      <c r="C620" s="170">
        <v>21</v>
      </c>
      <c r="D620" s="131" t="s">
        <v>556</v>
      </c>
      <c r="E620" s="747">
        <f>obalLOB1AvgProdClinician15</f>
        <v>330</v>
      </c>
      <c r="F620" s="747">
        <f>obalLOB1AvgProdClinician15</f>
        <v>585</v>
      </c>
      <c r="G620" s="747">
        <f>obalLOB1AvgProdClinician15</f>
        <v>300</v>
      </c>
      <c r="H620" s="131" t="s">
        <v>4054</v>
      </c>
      <c r="J620" s="131" t="s">
        <v>556</v>
      </c>
      <c r="K620" s="747">
        <f>obalR2LOB1AvgProdClinician15</f>
        <v>282.15000000000003</v>
      </c>
      <c r="L620" s="747">
        <f>obalR2LOB1AvgProdClinician15</f>
        <v>569.92162499999995</v>
      </c>
      <c r="M620" s="747">
        <f>obalR2LOB1AvgProdClinician15</f>
        <v>283.14749999999998</v>
      </c>
      <c r="N620" s="131" t="s">
        <v>6387</v>
      </c>
    </row>
    <row r="621" spans="1:14" ht="1.5" customHeight="1">
      <c r="A621" s="461"/>
      <c r="B621" s="460"/>
      <c r="D621" s="449"/>
      <c r="E621" s="450"/>
      <c r="F621" s="450"/>
      <c r="G621" s="450"/>
      <c r="H621" s="131"/>
      <c r="J621" s="449"/>
      <c r="K621" s="450"/>
      <c r="L621" s="450"/>
      <c r="M621" s="450"/>
      <c r="N621" s="131"/>
    </row>
    <row r="622" spans="1:14" ht="12.75" customHeight="1">
      <c r="A622" s="461"/>
      <c r="B622" s="460"/>
      <c r="D622" s="131" t="s">
        <v>1622</v>
      </c>
      <c r="E622" s="448">
        <f>SUM(E608:E621)</f>
        <v>432.7731958762887</v>
      </c>
      <c r="F622" s="448">
        <f>SUM(F608:F621)</f>
        <v>687.7731958762887</v>
      </c>
      <c r="G622" s="448">
        <f>SUM(G608:G621)</f>
        <v>402.7731958762887</v>
      </c>
      <c r="H622" s="131" t="s">
        <v>1855</v>
      </c>
      <c r="J622" s="131" t="s">
        <v>1622</v>
      </c>
      <c r="K622" s="448">
        <f>SUM(K608:K621)</f>
        <v>384.92319587628867</v>
      </c>
      <c r="L622" s="448">
        <f>SUM(L608:L621)</f>
        <v>672.69482087628865</v>
      </c>
      <c r="M622" s="448">
        <f>SUM(M608:M621)</f>
        <v>385.92069587628862</v>
      </c>
      <c r="N622" s="131" t="s">
        <v>6388</v>
      </c>
    </row>
    <row r="623" spans="1:14" ht="12.75" customHeight="1">
      <c r="A623" s="461"/>
      <c r="B623" s="460"/>
    </row>
    <row r="624" spans="1:14" ht="12.75" customHeight="1">
      <c r="A624" s="461"/>
      <c r="B624" s="460"/>
      <c r="C624" s="131" t="s">
        <v>1616</v>
      </c>
    </row>
    <row r="625" spans="1:14" ht="12.75" customHeight="1">
      <c r="A625" s="461"/>
      <c r="B625" s="460"/>
      <c r="C625" s="170">
        <v>1</v>
      </c>
      <c r="D625" s="131" t="s">
        <v>556</v>
      </c>
      <c r="E625" s="452">
        <f>calcLOB1Clinician1Emp3BaseProd/calcLOB1Emp3BaseProdCapacity</f>
        <v>0</v>
      </c>
      <c r="F625" s="452">
        <f>calcLOB1Clinician1Emp3BaseProd/calcLOB1Emp3BaseProdCapacity</f>
        <v>0</v>
      </c>
      <c r="G625" s="452">
        <f>calcLOB1Clinician1Emp3BaseProd/calcLOB1Emp3BaseProdCapacity</f>
        <v>0</v>
      </c>
      <c r="H625" s="131" t="s">
        <v>1856</v>
      </c>
      <c r="J625" s="131" t="s">
        <v>556</v>
      </c>
      <c r="K625" s="452">
        <f>calcR2LOB1Clinician1Emp3BaseProd/calcR2LOB1Emp3BaseProdCapacity</f>
        <v>0</v>
      </c>
      <c r="L625" s="452">
        <f>calcR2LOB1Clinician1Emp3BaseProd/calcR2LOB1Emp3BaseProdCapacity</f>
        <v>0</v>
      </c>
      <c r="M625" s="452">
        <f>calcR2LOB1Clinician1Emp3BaseProd/calcR2LOB1Emp3BaseProdCapacity</f>
        <v>0</v>
      </c>
      <c r="N625" s="131" t="s">
        <v>6389</v>
      </c>
    </row>
    <row r="626" spans="1:14" ht="12.75" customHeight="1">
      <c r="A626" s="461"/>
      <c r="B626" s="460"/>
      <c r="C626" s="170">
        <v>2</v>
      </c>
      <c r="D626" s="131" t="s">
        <v>556</v>
      </c>
      <c r="E626" s="452">
        <f>calcLOB1Clinician2Emp3BaseProd/calcLOB1Emp3BaseProdCapacity</f>
        <v>0</v>
      </c>
      <c r="F626" s="452">
        <f>calcLOB1Clinician2Emp3BaseProd/calcLOB1Emp3BaseProdCapacity</f>
        <v>0</v>
      </c>
      <c r="G626" s="452">
        <f>calcLOB1Clinician2Emp3BaseProd/calcLOB1Emp3BaseProdCapacity</f>
        <v>0</v>
      </c>
      <c r="H626" s="131" t="s">
        <v>1857</v>
      </c>
      <c r="J626" s="131" t="s">
        <v>556</v>
      </c>
      <c r="K626" s="452">
        <f>calcR2LOB1Clinician2Emp3BaseProd/calcR2LOB1Emp3BaseProdCapacity</f>
        <v>0</v>
      </c>
      <c r="L626" s="452">
        <f>calcR2LOB1Clinician2Emp3BaseProd/calcR2LOB1Emp3BaseProdCapacity</f>
        <v>0</v>
      </c>
      <c r="M626" s="452">
        <f>calcR2LOB1Clinician2Emp3BaseProd/calcR2LOB1Emp3BaseProdCapacity</f>
        <v>0</v>
      </c>
      <c r="N626" s="131" t="s">
        <v>6390</v>
      </c>
    </row>
    <row r="627" spans="1:14" ht="12.75" customHeight="1">
      <c r="A627" s="461"/>
      <c r="B627" s="460"/>
      <c r="C627" s="170">
        <v>3</v>
      </c>
      <c r="D627" s="131" t="s">
        <v>556</v>
      </c>
      <c r="E627" s="452">
        <f>calcLOB1Clinician3Emp3BaseProd/calcLOB1Emp3BaseProdCapacity</f>
        <v>0</v>
      </c>
      <c r="F627" s="452">
        <f>calcLOB1Clinician3Emp3BaseProd/calcLOB1Emp3BaseProdCapacity</f>
        <v>0</v>
      </c>
      <c r="G627" s="452">
        <f>calcLOB1Clinician3Emp3BaseProd/calcLOB1Emp3BaseProdCapacity</f>
        <v>0</v>
      </c>
      <c r="H627" s="131" t="s">
        <v>1858</v>
      </c>
      <c r="J627" s="131" t="s">
        <v>556</v>
      </c>
      <c r="K627" s="452">
        <f>calcR2LOB1Clinician3Emp3BaseProd/calcR2LOB1Emp3BaseProdCapacity</f>
        <v>0</v>
      </c>
      <c r="L627" s="452">
        <f>calcR2LOB1Clinician3Emp3BaseProd/calcR2LOB1Emp3BaseProdCapacity</f>
        <v>0</v>
      </c>
      <c r="M627" s="452">
        <f>calcR2LOB1Clinician3Emp3BaseProd/calcR2LOB1Emp3BaseProdCapacity</f>
        <v>0</v>
      </c>
      <c r="N627" s="131" t="s">
        <v>6391</v>
      </c>
    </row>
    <row r="628" spans="1:14" ht="12.75" customHeight="1">
      <c r="A628" s="461"/>
      <c r="B628" s="460"/>
      <c r="C628" s="170">
        <v>4</v>
      </c>
      <c r="D628" s="131" t="s">
        <v>556</v>
      </c>
      <c r="E628" s="452">
        <f>calcLOB1Clinician4Emp3BaseProd/calcLOB1Emp3BaseProdCapacity</f>
        <v>0</v>
      </c>
      <c r="F628" s="452">
        <f>calcLOB1Clinician4Emp3BaseProd/calcLOB1Emp3BaseProdCapacity</f>
        <v>0</v>
      </c>
      <c r="G628" s="452">
        <f>calcLOB1Clinician4Emp3BaseProd/calcLOB1Emp3BaseProdCapacity</f>
        <v>0</v>
      </c>
      <c r="H628" s="131" t="s">
        <v>1859</v>
      </c>
      <c r="J628" s="131" t="s">
        <v>556</v>
      </c>
      <c r="K628" s="452">
        <f>calcR2LOB1Clinician4Emp3BaseProd/calcR2LOB1Emp3BaseProdCapacity</f>
        <v>0</v>
      </c>
      <c r="L628" s="452">
        <f>calcR2LOB1Clinician4Emp3BaseProd/calcR2LOB1Emp3BaseProdCapacity</f>
        <v>0</v>
      </c>
      <c r="M628" s="452">
        <f>calcR2LOB1Clinician4Emp3BaseProd/calcR2LOB1Emp3BaseProdCapacity</f>
        <v>0</v>
      </c>
      <c r="N628" s="131" t="s">
        <v>6392</v>
      </c>
    </row>
    <row r="629" spans="1:14" ht="12.75" customHeight="1">
      <c r="A629" s="461"/>
      <c r="B629" s="460"/>
      <c r="C629" s="170">
        <v>5</v>
      </c>
      <c r="D629" s="131" t="s">
        <v>556</v>
      </c>
      <c r="E629" s="452">
        <f>calcLOB1Clinician5Emp3BaseProd/calcLOB1Emp3BaseProdCapacity</f>
        <v>0</v>
      </c>
      <c r="F629" s="452">
        <f>calcLOB1Clinician5Emp3BaseProd/calcLOB1Emp3BaseProdCapacity</f>
        <v>0</v>
      </c>
      <c r="G629" s="452">
        <f>calcLOB1Clinician5Emp3BaseProd/calcLOB1Emp3BaseProdCapacity</f>
        <v>0</v>
      </c>
      <c r="H629" s="131" t="s">
        <v>1860</v>
      </c>
      <c r="J629" s="131" t="s">
        <v>556</v>
      </c>
      <c r="K629" s="452">
        <f>calcR2LOB1Clinician5Emp3BaseProd/calcR2LOB1Emp3BaseProdCapacity</f>
        <v>0</v>
      </c>
      <c r="L629" s="452">
        <f>calcR2LOB1Clinician5Emp3BaseProd/calcR2LOB1Emp3BaseProdCapacity</f>
        <v>0</v>
      </c>
      <c r="M629" s="452">
        <f>calcR2LOB1Clinician5Emp3BaseProd/calcR2LOB1Emp3BaseProdCapacity</f>
        <v>0</v>
      </c>
      <c r="N629" s="131" t="s">
        <v>6393</v>
      </c>
    </row>
    <row r="630" spans="1:14" ht="12.75" customHeight="1">
      <c r="A630" s="461"/>
      <c r="B630" s="460"/>
      <c r="C630" s="170">
        <v>6</v>
      </c>
      <c r="D630" s="131" t="s">
        <v>556</v>
      </c>
      <c r="E630" s="452">
        <f>calcLOB1Clinician6Emp3BaseProd/calcLOB1Emp3BaseProdCapacity</f>
        <v>6.9320374472950752E-2</v>
      </c>
      <c r="F630" s="452">
        <f>calcLOB1Clinician6Emp3BaseProd/calcLOB1Emp3BaseProdCapacity</f>
        <v>4.3619030488353264E-2</v>
      </c>
      <c r="G630" s="452">
        <f>calcLOB1Clinician6Emp3BaseProd/calcLOB1Emp3BaseProdCapacity</f>
        <v>7.4483605927973581E-2</v>
      </c>
      <c r="H630" s="131" t="s">
        <v>1861</v>
      </c>
      <c r="J630" s="131" t="s">
        <v>556</v>
      </c>
      <c r="K630" s="452">
        <f>calcR2LOB1Clinician6Emp3BaseProd/calcR2LOB1Emp3BaseProdCapacity</f>
        <v>7.7937625794943691E-2</v>
      </c>
      <c r="L630" s="452">
        <f>calcR2LOB1Clinician6Emp3BaseProd/calcR2LOB1Emp3BaseProdCapacity</f>
        <v>4.4596745907632199E-2</v>
      </c>
      <c r="M630" s="452">
        <f>calcR2LOB1Clinician6Emp3BaseProd/calcR2LOB1Emp3BaseProdCapacity</f>
        <v>7.7736178237035644E-2</v>
      </c>
      <c r="N630" s="131" t="s">
        <v>6394</v>
      </c>
    </row>
    <row r="631" spans="1:14" ht="12.75" customHeight="1">
      <c r="A631" s="461"/>
      <c r="B631" s="460"/>
      <c r="C631" s="170">
        <v>7</v>
      </c>
      <c r="D631" s="131" t="s">
        <v>556</v>
      </c>
      <c r="E631" s="452">
        <f>calcLOB1Clinician7Emp3BaseProd/calcLOB1Emp3BaseProdCapacity</f>
        <v>6.4699016174754043E-2</v>
      </c>
      <c r="F631" s="452">
        <f>calcLOB1Clinician7Emp3BaseProd/calcLOB1Emp3BaseProdCapacity</f>
        <v>4.0711095122463049E-2</v>
      </c>
      <c r="G631" s="452">
        <f>calcLOB1Clinician7Emp3BaseProd/calcLOB1Emp3BaseProdCapacity</f>
        <v>6.9518032199442012E-2</v>
      </c>
      <c r="H631" s="131" t="s">
        <v>1862</v>
      </c>
      <c r="J631" s="131" t="s">
        <v>556</v>
      </c>
      <c r="K631" s="452">
        <f>calcR2LOB1Clinician7Emp3BaseProd/calcR2LOB1Emp3BaseProdCapacity</f>
        <v>7.2741784075280785E-2</v>
      </c>
      <c r="L631" s="452">
        <f>calcR2LOB1Clinician7Emp3BaseProd/calcR2LOB1Emp3BaseProdCapacity</f>
        <v>4.1623629513790054E-2</v>
      </c>
      <c r="M631" s="452">
        <f>calcR2LOB1Clinician7Emp3BaseProd/calcR2LOB1Emp3BaseProdCapacity</f>
        <v>7.2553766354566604E-2</v>
      </c>
      <c r="N631" s="131" t="s">
        <v>6395</v>
      </c>
    </row>
    <row r="632" spans="1:14" ht="12.75" customHeight="1">
      <c r="A632" s="461"/>
      <c r="B632" s="460"/>
      <c r="C632" s="170">
        <v>8</v>
      </c>
      <c r="D632" s="131" t="s">
        <v>556</v>
      </c>
      <c r="E632" s="452">
        <f>calcLOB1Clinician8Emp3BaseProd/calcLOB1Emp3BaseProdCapacity</f>
        <v>6.7009695323852397E-2</v>
      </c>
      <c r="F632" s="452">
        <f>calcLOB1Clinician8Emp3BaseProd/calcLOB1Emp3BaseProdCapacity</f>
        <v>4.216506280540816E-2</v>
      </c>
      <c r="G632" s="452">
        <f>calcLOB1Clinician8Emp3BaseProd/calcLOB1Emp3BaseProdCapacity</f>
        <v>7.2000819063707797E-2</v>
      </c>
      <c r="H632" s="131" t="s">
        <v>1863</v>
      </c>
      <c r="J632" s="131" t="s">
        <v>556</v>
      </c>
      <c r="K632" s="452">
        <f>calcR2LOB1Clinician8Emp3BaseProd/calcR2LOB1Emp3BaseProdCapacity</f>
        <v>7.5339704935112231E-2</v>
      </c>
      <c r="L632" s="452">
        <f>calcR2LOB1Clinician8Emp3BaseProd/calcR2LOB1Emp3BaseProdCapacity</f>
        <v>4.3110187710711123E-2</v>
      </c>
      <c r="M632" s="452">
        <f>calcR2LOB1Clinician8Emp3BaseProd/calcR2LOB1Emp3BaseProdCapacity</f>
        <v>7.5144972295801124E-2</v>
      </c>
      <c r="N632" s="131" t="s">
        <v>6396</v>
      </c>
    </row>
    <row r="633" spans="1:14" ht="12.75" customHeight="1">
      <c r="A633" s="461"/>
      <c r="B633" s="460"/>
      <c r="C633" s="170">
        <v>9</v>
      </c>
      <c r="D633" s="131" t="s">
        <v>556</v>
      </c>
      <c r="E633" s="452">
        <f>calcLOB1Clinician9Emp3BaseProd/calcLOB1Emp3BaseProdCapacity</f>
        <v>3.6446794825984417E-2</v>
      </c>
      <c r="F633" s="452">
        <f>calcLOB1Clinician9Emp3BaseProd/calcLOB1Emp3BaseProdCapacity</f>
        <v>2.2933717060886771E-2</v>
      </c>
      <c r="G633" s="452">
        <f>calcLOB1Clinician9Emp3BaseProd/calcLOB1Emp3BaseProdCapacity</f>
        <v>3.9161483529140749E-2</v>
      </c>
      <c r="H633" s="131" t="s">
        <v>1864</v>
      </c>
      <c r="J633" s="131" t="s">
        <v>556</v>
      </c>
      <c r="K633" s="452">
        <f>calcR2LOB1Clinician9Emp3BaseProd/calcR2LOB1Emp3BaseProdCapacity</f>
        <v>4.0977514593217822E-2</v>
      </c>
      <c r="L633" s="452">
        <f>calcR2LOB1Clinician9Emp3BaseProd/calcR2LOB1Emp3BaseProdCapacity</f>
        <v>2.3447773621538579E-2</v>
      </c>
      <c r="M633" s="452">
        <f>calcR2LOB1Clinician9Emp3BaseProd/calcR2LOB1Emp3BaseProdCapacity</f>
        <v>4.087159886689503E-2</v>
      </c>
      <c r="N633" s="131" t="s">
        <v>6397</v>
      </c>
    </row>
    <row r="634" spans="1:14" ht="12.75" customHeight="1">
      <c r="A634" s="461"/>
      <c r="B634" s="460"/>
      <c r="C634" s="170">
        <v>10</v>
      </c>
      <c r="D634" s="131" t="s">
        <v>556</v>
      </c>
      <c r="E634" s="452">
        <f>calcLOB1Clinician10Emp3BaseProd/calcLOB1Emp3BaseProdCapacity</f>
        <v>0</v>
      </c>
      <c r="F634" s="452">
        <f>calcLOB1Clinician10Emp3BaseProd/calcLOB1Emp3BaseProdCapacity</f>
        <v>0</v>
      </c>
      <c r="G634" s="452">
        <f>calcLOB1Clinician10Emp3BaseProd/calcLOB1Emp3BaseProdCapacity</f>
        <v>0</v>
      </c>
      <c r="H634" s="131" t="s">
        <v>1865</v>
      </c>
      <c r="J634" s="131" t="s">
        <v>556</v>
      </c>
      <c r="K634" s="452">
        <f>calcR2LOB1Clinician10Emp3BaseProd/calcR2LOB1Emp3BaseProdCapacity</f>
        <v>0</v>
      </c>
      <c r="L634" s="452">
        <f>calcR2LOB1Clinician10Emp3BaseProd/calcR2LOB1Emp3BaseProdCapacity</f>
        <v>0</v>
      </c>
      <c r="M634" s="452">
        <f>calcR2LOB1Clinician10Emp3BaseProd/calcR2LOB1Emp3BaseProdCapacity</f>
        <v>0</v>
      </c>
      <c r="N634" s="131" t="s">
        <v>6398</v>
      </c>
    </row>
    <row r="635" spans="1:14" ht="12.75" customHeight="1">
      <c r="A635" s="461"/>
      <c r="B635" s="460"/>
      <c r="C635" s="170">
        <v>11</v>
      </c>
      <c r="D635" s="131" t="s">
        <v>556</v>
      </c>
      <c r="E635" s="452">
        <f>calcLOB1Clinician11Emp3BaseProd/calcLOB1Emp3BaseProdCapacity</f>
        <v>0</v>
      </c>
      <c r="F635" s="452">
        <f>calcLOB1Clinician11Emp3BaseProd/calcLOB1Emp3BaseProdCapacity</f>
        <v>0</v>
      </c>
      <c r="G635" s="452">
        <f>calcLOB1Clinician11Emp3BaseProd/calcLOB1Emp3BaseProdCapacity</f>
        <v>0</v>
      </c>
      <c r="H635" s="131" t="s">
        <v>1866</v>
      </c>
      <c r="J635" s="131" t="s">
        <v>556</v>
      </c>
      <c r="K635" s="452">
        <f>calcR2LOB1Clinician11Emp3BaseProd/calcR2LOB1Emp3BaseProdCapacity</f>
        <v>0</v>
      </c>
      <c r="L635" s="452">
        <f>calcR2LOB1Clinician11Emp3BaseProd/calcR2LOB1Emp3BaseProdCapacity</f>
        <v>0</v>
      </c>
      <c r="M635" s="452">
        <f>calcR2LOB1Clinician11Emp3BaseProd/calcR2LOB1Emp3BaseProdCapacity</f>
        <v>0</v>
      </c>
      <c r="N635" s="131" t="s">
        <v>6399</v>
      </c>
    </row>
    <row r="636" spans="1:14" ht="12.75" customHeight="1">
      <c r="A636" s="461"/>
      <c r="B636" s="460"/>
      <c r="C636" s="170">
        <v>12</v>
      </c>
      <c r="D636" s="131" t="s">
        <v>556</v>
      </c>
      <c r="E636" s="452">
        <f>calcLOB1Clinician12Emp3BaseProd/calcLOB1Emp3BaseProdCapacity</f>
        <v>0</v>
      </c>
      <c r="F636" s="452">
        <f>calcLOB1Clinician12Emp3BaseProd/calcLOB1Emp3BaseProdCapacity</f>
        <v>0</v>
      </c>
      <c r="G636" s="452">
        <f>calcLOB1Clinician12Emp3BaseProd/calcLOB1Emp3BaseProdCapacity</f>
        <v>0</v>
      </c>
      <c r="H636" s="131" t="s">
        <v>1867</v>
      </c>
      <c r="J636" s="131" t="s">
        <v>556</v>
      </c>
      <c r="K636" s="452">
        <f>calcR2LOB1Clinician12Emp3BaseProd/calcR2LOB1Emp3BaseProdCapacity</f>
        <v>0</v>
      </c>
      <c r="L636" s="452">
        <f>calcR2LOB1Clinician12Emp3BaseProd/calcR2LOB1Emp3BaseProdCapacity</f>
        <v>0</v>
      </c>
      <c r="M636" s="452">
        <f>calcR2LOB1Clinician12Emp3BaseProd/calcR2LOB1Emp3BaseProdCapacity</f>
        <v>0</v>
      </c>
      <c r="N636" s="131" t="s">
        <v>6400</v>
      </c>
    </row>
    <row r="637" spans="1:14" ht="12.75" customHeight="1">
      <c r="A637" s="461"/>
      <c r="B637" s="460"/>
      <c r="D637" s="131" t="s">
        <v>556</v>
      </c>
      <c r="E637" s="452">
        <f>calcLOB1Clinician15Emp3BaseProd/calcLOB1Emp3BaseProdCapacity</f>
        <v>0.76252411920245833</v>
      </c>
      <c r="F637" s="452">
        <f>calcLOB1Clinician15Emp3BaseProd/calcLOB1Emp3BaseProdCapacity</f>
        <v>0.8505710945228887</v>
      </c>
      <c r="G637" s="452">
        <f>calcLOB1Clinician15Emp3BaseProd/calcLOB1Emp3BaseProdCapacity</f>
        <v>0.74483605927973573</v>
      </c>
      <c r="H637" s="131" t="s">
        <v>4055</v>
      </c>
      <c r="J637" s="131" t="s">
        <v>556</v>
      </c>
      <c r="K637" s="452">
        <f>calcR2LOB1Clinician15Emp3BaseProd/calcR2LOB1Emp3BaseProdCapacity</f>
        <v>0.73300337060144549</v>
      </c>
      <c r="L637" s="452">
        <f>calcR2LOB1Clinician15Emp3BaseProd/calcR2LOB1Emp3BaseProdCapacity</f>
        <v>0.84722166324632797</v>
      </c>
      <c r="M637" s="452">
        <f>calcR2LOB1Clinician15Emp3BaseProd/calcR2LOB1Emp3BaseProdCapacity</f>
        <v>0.73369348424570169</v>
      </c>
      <c r="N637" s="131" t="s">
        <v>6401</v>
      </c>
    </row>
    <row r="638" spans="1:14" ht="12.75" customHeight="1">
      <c r="A638" s="461"/>
      <c r="B638" s="460"/>
    </row>
    <row r="639" spans="1:14" ht="12.75" customHeight="1">
      <c r="A639" s="461"/>
      <c r="B639" s="460"/>
      <c r="C639" s="131" t="s">
        <v>1588</v>
      </c>
    </row>
    <row r="640" spans="1:14" ht="12.75" customHeight="1">
      <c r="A640" s="461"/>
      <c r="B640" s="460"/>
      <c r="C640" s="170">
        <v>1</v>
      </c>
      <c r="D640" s="131" t="s">
        <v>556</v>
      </c>
      <c r="E640" s="453">
        <f>calcLOB1Emp3Visits/paramWorkWeeksPYear*calcLOB1Clinician1Emp3AllowPerc</f>
        <v>0</v>
      </c>
      <c r="F640" s="453">
        <f>calcLOB1Emp3Visits/paramWorkWeeksPYear*calcLOB1Clinician1Emp3AllowPerc</f>
        <v>0</v>
      </c>
      <c r="G640" s="453">
        <f>calcLOB1Emp3Visits/paramWorkWeeksPYear*calcLOB1Clinician1Emp3AllowPerc</f>
        <v>0</v>
      </c>
      <c r="H640" s="131" t="s">
        <v>3760</v>
      </c>
      <c r="J640" s="131" t="s">
        <v>556</v>
      </c>
      <c r="K640" s="453">
        <f>calcR2LOB1Emp3Visits/paramR2WorkWeeksPYear*calcR2LOB1Clinician1Emp3AllowPerc</f>
        <v>0</v>
      </c>
      <c r="L640" s="453">
        <f>calcR2LOB1Emp3Visits/paramR2WorkWeeksPYear*calcR2LOB1Clinician1Emp3AllowPerc</f>
        <v>0</v>
      </c>
      <c r="M640" s="453">
        <f>calcR2LOB1Emp3Visits/paramR2WorkWeeksPYear*calcR2LOB1Clinician1Emp3AllowPerc</f>
        <v>0</v>
      </c>
      <c r="N640" s="131" t="s">
        <v>6402</v>
      </c>
    </row>
    <row r="641" spans="1:14" ht="12.75" customHeight="1">
      <c r="A641" s="461"/>
      <c r="B641" s="460"/>
      <c r="C641" s="170">
        <v>2</v>
      </c>
      <c r="D641" s="131" t="s">
        <v>556</v>
      </c>
      <c r="E641" s="453">
        <f>calcLOB1Emp3Visits/paramWorkWeeksPYear*calcLOB1Clinician2Emp3AllowPerc</f>
        <v>0</v>
      </c>
      <c r="F641" s="453">
        <f>calcLOB1Emp3Visits/paramWorkWeeksPYear*calcLOB1Clinician2Emp3AllowPerc</f>
        <v>0</v>
      </c>
      <c r="G641" s="453">
        <f>calcLOB1Emp3Visits/paramWorkWeeksPYear*calcLOB1Clinician2Emp3AllowPerc</f>
        <v>0</v>
      </c>
      <c r="H641" s="131" t="s">
        <v>3761</v>
      </c>
      <c r="J641" s="131" t="s">
        <v>556</v>
      </c>
      <c r="K641" s="453">
        <f>calcR2LOB1Emp3Visits/paramR2WorkWeeksPYear*calcR2LOB1Clinician2Emp3AllowPerc</f>
        <v>0</v>
      </c>
      <c r="L641" s="453">
        <f>calcR2LOB1Emp3Visits/paramR2WorkWeeksPYear*calcR2LOB1Clinician2Emp3AllowPerc</f>
        <v>0</v>
      </c>
      <c r="M641" s="453">
        <f>calcR2LOB1Emp3Visits/paramR2WorkWeeksPYear*calcR2LOB1Clinician2Emp3AllowPerc</f>
        <v>0</v>
      </c>
      <c r="N641" s="131" t="s">
        <v>6403</v>
      </c>
    </row>
    <row r="642" spans="1:14" ht="12.75" customHeight="1">
      <c r="A642" s="461"/>
      <c r="B642" s="460"/>
      <c r="C642" s="170">
        <v>3</v>
      </c>
      <c r="D642" s="131" t="s">
        <v>556</v>
      </c>
      <c r="E642" s="453">
        <f>calcLOB1Emp3Visits/paramWorkWeeksPYear*calcLOB1Clinician3Emp3AllowPerc</f>
        <v>0</v>
      </c>
      <c r="F642" s="453">
        <f>calcLOB1Emp3Visits/paramWorkWeeksPYear*calcLOB1Clinician3Emp3AllowPerc</f>
        <v>0</v>
      </c>
      <c r="G642" s="453">
        <f>calcLOB1Emp3Visits/paramWorkWeeksPYear*calcLOB1Clinician3Emp3AllowPerc</f>
        <v>0</v>
      </c>
      <c r="H642" s="131" t="s">
        <v>3762</v>
      </c>
      <c r="J642" s="131" t="s">
        <v>556</v>
      </c>
      <c r="K642" s="453">
        <f>calcR2LOB1Emp3Visits/paramR2WorkWeeksPYear*calcR2LOB1Clinician3Emp3AllowPerc</f>
        <v>0</v>
      </c>
      <c r="L642" s="453">
        <f>calcR2LOB1Emp3Visits/paramR2WorkWeeksPYear*calcR2LOB1Clinician3Emp3AllowPerc</f>
        <v>0</v>
      </c>
      <c r="M642" s="453">
        <f>calcR2LOB1Emp3Visits/paramR2WorkWeeksPYear*calcR2LOB1Clinician3Emp3AllowPerc</f>
        <v>0</v>
      </c>
      <c r="N642" s="131" t="s">
        <v>6404</v>
      </c>
    </row>
    <row r="643" spans="1:14" ht="12.75" customHeight="1">
      <c r="A643" s="461"/>
      <c r="B643" s="460"/>
      <c r="C643" s="170">
        <v>4</v>
      </c>
      <c r="D643" s="131" t="s">
        <v>556</v>
      </c>
      <c r="E643" s="453">
        <f>calcLOB1Emp3Visits/paramWorkWeeksPYear*calcLOB1Clinician4Emp3AllowPerc</f>
        <v>0</v>
      </c>
      <c r="F643" s="453">
        <f>calcLOB1Emp3Visits/paramWorkWeeksPYear*calcLOB1Clinician4Emp3AllowPerc</f>
        <v>0</v>
      </c>
      <c r="G643" s="453">
        <f>calcLOB1Emp3Visits/paramWorkWeeksPYear*calcLOB1Clinician4Emp3AllowPerc</f>
        <v>0</v>
      </c>
      <c r="H643" s="131" t="s">
        <v>3763</v>
      </c>
      <c r="J643" s="131" t="s">
        <v>556</v>
      </c>
      <c r="K643" s="453">
        <f>calcR2LOB1Emp3Visits/paramR2WorkWeeksPYear*calcR2LOB1Clinician4Emp3AllowPerc</f>
        <v>0</v>
      </c>
      <c r="L643" s="453">
        <f>calcR2LOB1Emp3Visits/paramR2WorkWeeksPYear*calcR2LOB1Clinician4Emp3AllowPerc</f>
        <v>0</v>
      </c>
      <c r="M643" s="453">
        <f>calcR2LOB1Emp3Visits/paramR2WorkWeeksPYear*calcR2LOB1Clinician4Emp3AllowPerc</f>
        <v>0</v>
      </c>
      <c r="N643" s="131" t="s">
        <v>6405</v>
      </c>
    </row>
    <row r="644" spans="1:14" ht="12.75" customHeight="1">
      <c r="A644" s="461"/>
      <c r="B644" s="460"/>
      <c r="C644" s="170">
        <v>5</v>
      </c>
      <c r="D644" s="131" t="s">
        <v>556</v>
      </c>
      <c r="E644" s="453">
        <f>calcLOB1Emp3Visits/paramWorkWeeksPYear*calcLOB1Clinician5Emp3AllowPerc</f>
        <v>0</v>
      </c>
      <c r="F644" s="453">
        <f>calcLOB1Emp3Visits/paramWorkWeeksPYear*calcLOB1Clinician5Emp3AllowPerc</f>
        <v>0</v>
      </c>
      <c r="G644" s="453">
        <f>calcLOB1Emp3Visits/paramWorkWeeksPYear*calcLOB1Clinician5Emp3AllowPerc</f>
        <v>0</v>
      </c>
      <c r="H644" s="131" t="s">
        <v>3764</v>
      </c>
      <c r="J644" s="131" t="s">
        <v>556</v>
      </c>
      <c r="K644" s="453">
        <f>calcR2LOB1Emp3Visits/paramR2WorkWeeksPYear*calcR2LOB1Clinician5Emp3AllowPerc</f>
        <v>0</v>
      </c>
      <c r="L644" s="453">
        <f>calcR2LOB1Emp3Visits/paramR2WorkWeeksPYear*calcR2LOB1Clinician5Emp3AllowPerc</f>
        <v>0</v>
      </c>
      <c r="M644" s="453">
        <f>calcR2LOB1Emp3Visits/paramR2WorkWeeksPYear*calcR2LOB1Clinician5Emp3AllowPerc</f>
        <v>0</v>
      </c>
      <c r="N644" s="131" t="s">
        <v>6406</v>
      </c>
    </row>
    <row r="645" spans="1:14" ht="12.75" customHeight="1">
      <c r="A645" s="461"/>
      <c r="B645" s="460"/>
      <c r="C645" s="170">
        <v>6</v>
      </c>
      <c r="D645" s="131" t="s">
        <v>556</v>
      </c>
      <c r="E645" s="453">
        <f>calcLOB1Emp3Visits/paramWorkWeeksPYear*calcLOB1Clinician6Emp3AllowPerc</f>
        <v>30.75745015364825</v>
      </c>
      <c r="F645" s="453">
        <f>calcLOB1Emp3Visits/paramWorkWeeksPYear*calcLOB1Clinician6Emp3AllowPerc</f>
        <v>26.472389603381593</v>
      </c>
      <c r="G645" s="453">
        <f>calcLOB1Emp3Visits/paramWorkWeeksPYear*calcLOB1Clinician6Emp3AllowPerc</f>
        <v>24.311448974890581</v>
      </c>
      <c r="H645" s="131" t="s">
        <v>3765</v>
      </c>
      <c r="J645" s="131" t="s">
        <v>556</v>
      </c>
      <c r="K645" s="453">
        <f>calcR2LOB1Emp3Visits/paramR2WorkWeeksPYear*calcR2LOB1Clinician6Emp3AllowPerc</f>
        <v>35.11090042062213</v>
      </c>
      <c r="L645" s="453">
        <f>calcR2LOB1Emp3Visits/paramR2WorkWeeksPYear*calcR2LOB1Clinician6Emp3AllowPerc</f>
        <v>27.06576509134198</v>
      </c>
      <c r="M645" s="453">
        <f>calcR2LOB1Emp3Visits/paramR2WorkWeeksPYear*calcR2LOB1Clinician6Emp3AllowPerc</f>
        <v>25.373088576568438</v>
      </c>
      <c r="N645" s="131" t="s">
        <v>6407</v>
      </c>
    </row>
    <row r="646" spans="1:14" ht="12.75" customHeight="1">
      <c r="A646" s="461"/>
      <c r="B646" s="460"/>
      <c r="C646" s="170">
        <v>7</v>
      </c>
      <c r="D646" s="131" t="s">
        <v>556</v>
      </c>
      <c r="E646" s="453">
        <f>calcLOB1Emp3Visits/paramWorkWeeksPYear*calcLOB1Clinician7Emp3AllowPerc</f>
        <v>28.70695347673837</v>
      </c>
      <c r="F646" s="453">
        <f>calcLOB1Emp3Visits/paramWorkWeeksPYear*calcLOB1Clinician7Emp3AllowPerc</f>
        <v>24.707563629822825</v>
      </c>
      <c r="G646" s="453">
        <f>calcLOB1Emp3Visits/paramWorkWeeksPYear*calcLOB1Clinician7Emp3AllowPerc</f>
        <v>22.690685709897874</v>
      </c>
      <c r="H646" s="131" t="s">
        <v>3766</v>
      </c>
      <c r="J646" s="131" t="s">
        <v>556</v>
      </c>
      <c r="K646" s="453">
        <f>calcR2LOB1Emp3Visits/paramR2WorkWeeksPYear*calcR2LOB1Clinician7Emp3AllowPerc</f>
        <v>32.770173725913992</v>
      </c>
      <c r="L646" s="453">
        <f>calcR2LOB1Emp3Visits/paramR2WorkWeeksPYear*calcR2LOB1Clinician7Emp3AllowPerc</f>
        <v>25.261380751919184</v>
      </c>
      <c r="M646" s="453">
        <f>calcR2LOB1Emp3Visits/paramR2WorkWeeksPYear*calcR2LOB1Clinician7Emp3AllowPerc</f>
        <v>23.681549338130541</v>
      </c>
      <c r="N646" s="131" t="s">
        <v>6408</v>
      </c>
    </row>
    <row r="647" spans="1:14" ht="12.75" customHeight="1">
      <c r="A647" s="461"/>
      <c r="B647" s="460"/>
      <c r="C647" s="170">
        <v>8</v>
      </c>
      <c r="D647" s="131" t="s">
        <v>556</v>
      </c>
      <c r="E647" s="453">
        <f>calcLOB1Emp3Visits/paramWorkWeeksPYear*calcLOB1Clinician8Emp3AllowPerc</f>
        <v>29.73220181519331</v>
      </c>
      <c r="F647" s="453">
        <f>calcLOB1Emp3Visits/paramWorkWeeksPYear*calcLOB1Clinician8Emp3AllowPerc</f>
        <v>25.589976616602211</v>
      </c>
      <c r="G647" s="453">
        <f>calcLOB1Emp3Visits/paramWorkWeeksPYear*calcLOB1Clinician8Emp3AllowPerc</f>
        <v>23.501067342394226</v>
      </c>
      <c r="H647" s="131" t="s">
        <v>3767</v>
      </c>
      <c r="J647" s="131" t="s">
        <v>556</v>
      </c>
      <c r="K647" s="453">
        <f>calcR2LOB1Emp3Visits/paramR2WorkWeeksPYear*calcR2LOB1Clinician8Emp3AllowPerc</f>
        <v>33.940537073268061</v>
      </c>
      <c r="L647" s="453">
        <f>calcR2LOB1Emp3Visits/paramR2WorkWeeksPYear*calcR2LOB1Clinician8Emp3AllowPerc</f>
        <v>26.163572921630578</v>
      </c>
      <c r="M647" s="453">
        <f>calcR2LOB1Emp3Visits/paramR2WorkWeeksPYear*calcR2LOB1Clinician8Emp3AllowPerc</f>
        <v>24.52731895734949</v>
      </c>
      <c r="N647" s="131" t="s">
        <v>6409</v>
      </c>
    </row>
    <row r="648" spans="1:14" ht="12.75" customHeight="1">
      <c r="A648" s="461"/>
      <c r="B648" s="460"/>
      <c r="C648" s="170">
        <v>9</v>
      </c>
      <c r="D648" s="131" t="s">
        <v>556</v>
      </c>
      <c r="E648" s="453">
        <f>calcLOB1Emp3Visits/paramWorkWeeksPYear*calcLOB1Clinician9Emp3AllowPerc</f>
        <v>16.171442864289286</v>
      </c>
      <c r="F648" s="453">
        <f>calcLOB1Emp3Visits/paramWorkWeeksPYear*calcLOB1Clinician9Emp3AllowPerc</f>
        <v>13.91847288425218</v>
      </c>
      <c r="G648" s="453">
        <f>calcLOB1Emp3Visits/paramWorkWeeksPYear*calcLOB1Clinician9Emp3AllowPerc</f>
        <v>12.782308223911542</v>
      </c>
      <c r="H648" s="131" t="s">
        <v>3768</v>
      </c>
      <c r="J648" s="131" t="s">
        <v>556</v>
      </c>
      <c r="K648" s="453">
        <f>calcR2LOB1Emp3Visits/paramR2WorkWeeksPYear*calcR2LOB1Clinician9Emp3AllowPerc</f>
        <v>18.460370324244629</v>
      </c>
      <c r="L648" s="453">
        <f>calcR2LOB1Emp3Visits/paramR2WorkWeeksPYear*calcR2LOB1Clinician9Emp3AllowPerc</f>
        <v>14.230453810911763</v>
      </c>
      <c r="M648" s="453">
        <f>calcR2LOB1Emp3Visits/paramR2WorkWeeksPYear*calcR2LOB1Clinician9Emp3AllowPerc</f>
        <v>13.340489870154538</v>
      </c>
      <c r="N648" s="131" t="s">
        <v>6410</v>
      </c>
    </row>
    <row r="649" spans="1:14" ht="12.75" customHeight="1">
      <c r="A649" s="461"/>
      <c r="B649" s="460"/>
      <c r="C649" s="170">
        <v>10</v>
      </c>
      <c r="D649" s="131" t="s">
        <v>556</v>
      </c>
      <c r="E649" s="453">
        <f>calcLOB1Emp3Visits/paramWorkWeeksPYear*calcLOB1Clinician10Emp3AllowPerc</f>
        <v>0</v>
      </c>
      <c r="F649" s="453">
        <f>calcLOB1Emp3Visits/paramWorkWeeksPYear*calcLOB1Clinician10Emp3AllowPerc</f>
        <v>0</v>
      </c>
      <c r="G649" s="453">
        <f>calcLOB1Emp3Visits/paramWorkWeeksPYear*calcLOB1Clinician10Emp3AllowPerc</f>
        <v>0</v>
      </c>
      <c r="H649" s="131" t="s">
        <v>3769</v>
      </c>
      <c r="J649" s="131" t="s">
        <v>556</v>
      </c>
      <c r="K649" s="453">
        <f>calcR2LOB1Emp3Visits/paramR2WorkWeeksPYear*calcR2LOB1Clinician10Emp3AllowPerc</f>
        <v>0</v>
      </c>
      <c r="L649" s="453">
        <f>calcR2LOB1Emp3Visits/paramR2WorkWeeksPYear*calcR2LOB1Clinician10Emp3AllowPerc</f>
        <v>0</v>
      </c>
      <c r="M649" s="453">
        <f>calcR2LOB1Emp3Visits/paramR2WorkWeeksPYear*calcR2LOB1Clinician10Emp3AllowPerc</f>
        <v>0</v>
      </c>
      <c r="N649" s="131" t="s">
        <v>6411</v>
      </c>
    </row>
    <row r="650" spans="1:14" ht="12.75" customHeight="1">
      <c r="A650" s="461"/>
      <c r="B650" s="460"/>
      <c r="C650" s="170">
        <v>11</v>
      </c>
      <c r="D650" s="131" t="s">
        <v>556</v>
      </c>
      <c r="E650" s="453">
        <f>calcLOB1Emp3Visits/paramWorkWeeksPYear*calcLOB1Clinician11Emp3AllowPerc</f>
        <v>0</v>
      </c>
      <c r="F650" s="453">
        <f>calcLOB1Emp3Visits/paramWorkWeeksPYear*calcLOB1Clinician11Emp3AllowPerc</f>
        <v>0</v>
      </c>
      <c r="G650" s="453">
        <f>calcLOB1Emp3Visits/paramWorkWeeksPYear*calcLOB1Clinician11Emp3AllowPerc</f>
        <v>0</v>
      </c>
      <c r="H650" s="131" t="s">
        <v>3770</v>
      </c>
      <c r="J650" s="131" t="s">
        <v>556</v>
      </c>
      <c r="K650" s="453">
        <f>calcR2LOB1Emp3Visits/paramR2WorkWeeksPYear*calcR2LOB1Clinician11Emp3AllowPerc</f>
        <v>0</v>
      </c>
      <c r="L650" s="453">
        <f>calcR2LOB1Emp3Visits/paramR2WorkWeeksPYear*calcR2LOB1Clinician11Emp3AllowPerc</f>
        <v>0</v>
      </c>
      <c r="M650" s="453">
        <f>calcR2LOB1Emp3Visits/paramR2WorkWeeksPYear*calcR2LOB1Clinician11Emp3AllowPerc</f>
        <v>0</v>
      </c>
      <c r="N650" s="131" t="s">
        <v>6412</v>
      </c>
    </row>
    <row r="651" spans="1:14" ht="12.75" customHeight="1">
      <c r="A651" s="461"/>
      <c r="B651" s="460"/>
      <c r="C651" s="170">
        <v>12</v>
      </c>
      <c r="D651" s="131" t="s">
        <v>556</v>
      </c>
      <c r="E651" s="453">
        <f>calcLOB1Emp3Visits/paramWorkWeeksPYear*calcLOB1Clinician12Emp3AllowPerc</f>
        <v>0</v>
      </c>
      <c r="F651" s="453">
        <f>calcLOB1Emp3Visits/paramWorkWeeksPYear*calcLOB1Clinician12Emp3AllowPerc</f>
        <v>0</v>
      </c>
      <c r="G651" s="453">
        <f>calcLOB1Emp3Visits/paramWorkWeeksPYear*calcLOB1Clinician12Emp3AllowPerc</f>
        <v>0</v>
      </c>
      <c r="H651" s="131" t="s">
        <v>3771</v>
      </c>
      <c r="J651" s="131" t="s">
        <v>556</v>
      </c>
      <c r="K651" s="453">
        <f>calcR2LOB1Emp3Visits/paramR2WorkWeeksPYear*calcR2LOB1Clinician12Emp3AllowPerc</f>
        <v>0</v>
      </c>
      <c r="L651" s="453">
        <f>calcR2LOB1Emp3Visits/paramR2WorkWeeksPYear*calcR2LOB1Clinician12Emp3AllowPerc</f>
        <v>0</v>
      </c>
      <c r="M651" s="453">
        <f>calcR2LOB1Emp3Visits/paramR2WorkWeeksPYear*calcR2LOB1Clinician12Emp3AllowPerc</f>
        <v>0</v>
      </c>
      <c r="N651" s="131" t="s">
        <v>6413</v>
      </c>
    </row>
    <row r="652" spans="1:14" ht="12.75" customHeight="1">
      <c r="A652" s="461"/>
      <c r="B652" s="460"/>
      <c r="D652" s="131" t="s">
        <v>556</v>
      </c>
      <c r="E652" s="453">
        <f>calcLOB1Emp3Visits/paramWorkWeeksPYear*calcLOB1Clinician15Emp3AllowPerc</f>
        <v>338.33195169013078</v>
      </c>
      <c r="F652" s="453">
        <f>calcLOB1Emp3Visits/paramWorkWeeksPYear*calcLOB1Clinician15Emp3AllowPerc</f>
        <v>516.21159726594112</v>
      </c>
      <c r="G652" s="453">
        <f>calcLOB1Emp3Visits/paramWorkWeeksPYear*calcLOB1Clinician15Emp3AllowPerc</f>
        <v>243.11448974890575</v>
      </c>
      <c r="H652" s="131" t="s">
        <v>4056</v>
      </c>
      <c r="J652" s="131" t="s">
        <v>556</v>
      </c>
      <c r="K652" s="453">
        <f>calcR2LOB1Emp3Visits/paramR2WorkWeeksPYear*calcR2LOB1Clinician15Emp3AllowPerc</f>
        <v>330.21801845595121</v>
      </c>
      <c r="L652" s="453">
        <f>calcR2LOB1Emp3Visits/paramR2WorkWeeksPYear*calcR2LOB1Clinician15Emp3AllowPerc</f>
        <v>514.17882742419647</v>
      </c>
      <c r="M652" s="453">
        <f>calcR2LOB1Emp3Visits/paramR2WorkWeeksPYear*calcR2LOB1Clinician15Emp3AllowPerc</f>
        <v>239.47755325779707</v>
      </c>
      <c r="N652" s="131" t="s">
        <v>6414</v>
      </c>
    </row>
    <row r="653" spans="1:14" ht="1.5" customHeight="1">
      <c r="A653" s="461"/>
      <c r="B653" s="460"/>
      <c r="D653" s="449"/>
      <c r="E653" s="751"/>
      <c r="F653" s="751"/>
      <c r="G653" s="751"/>
      <c r="H653" s="131"/>
      <c r="J653" s="449"/>
      <c r="K653" s="450"/>
      <c r="L653" s="450"/>
      <c r="M653" s="450"/>
      <c r="N653" s="131"/>
    </row>
    <row r="654" spans="1:14" ht="12.75" customHeight="1">
      <c r="A654" s="461"/>
      <c r="B654" s="460"/>
      <c r="D654" s="131" t="s">
        <v>13</v>
      </c>
      <c r="E654" s="453">
        <f>SUM(E640:E653)</f>
        <v>443.7</v>
      </c>
      <c r="F654" s="453">
        <f t="shared" ref="F654" si="73">SUM(F640:F653)</f>
        <v>606.9</v>
      </c>
      <c r="G654" s="453">
        <f t="shared" ref="G654" si="74">SUM(G640:G653)</f>
        <v>326.39999999999998</v>
      </c>
      <c r="H654" s="131" t="s">
        <v>8343</v>
      </c>
      <c r="J654" s="131"/>
      <c r="K654" s="453">
        <f>SUM(K640:K653)</f>
        <v>450.5</v>
      </c>
      <c r="L654" s="453">
        <f t="shared" ref="L654" si="75">SUM(L640:L653)</f>
        <v>606.9</v>
      </c>
      <c r="M654" s="453">
        <f t="shared" ref="M654" si="76">SUM(M640:M653)</f>
        <v>326.40000000000009</v>
      </c>
      <c r="N654" s="131" t="s">
        <v>8344</v>
      </c>
    </row>
    <row r="655" spans="1:14" ht="12.75" customHeight="1">
      <c r="A655" s="461"/>
      <c r="B655" s="460"/>
    </row>
    <row r="656" spans="1:14" ht="12.75" customHeight="1">
      <c r="A656" s="461"/>
      <c r="B656" s="460"/>
      <c r="C656" s="131" t="s">
        <v>1588</v>
      </c>
    </row>
    <row r="657" spans="1:14" ht="12.75" customHeight="1">
      <c r="A657" s="461"/>
      <c r="B657" s="460"/>
      <c r="C657" s="170">
        <v>1</v>
      </c>
      <c r="D657" s="131" t="s">
        <v>556</v>
      </c>
      <c r="E657" s="453">
        <f>decLOB1Cln1WeekProdMod_R1</f>
        <v>0</v>
      </c>
      <c r="F657" s="453">
        <f>decLOB1Cln1WeekProdMod_R1</f>
        <v>0</v>
      </c>
      <c r="G657" s="453">
        <f>decLOB1Cln1WeekProdMod_R1</f>
        <v>0</v>
      </c>
      <c r="H657" s="131" t="s">
        <v>3772</v>
      </c>
      <c r="J657" s="131" t="s">
        <v>556</v>
      </c>
      <c r="K657" s="453">
        <f>decLOB1Cln1WeekProdMod_R2</f>
        <v>0</v>
      </c>
      <c r="L657" s="453">
        <f>decLOB1Cln1WeekProdMod_R2</f>
        <v>0</v>
      </c>
      <c r="M657" s="453">
        <f>decLOB1Cln1WeekProdMod_R2</f>
        <v>0</v>
      </c>
      <c r="N657" s="131" t="s">
        <v>6415</v>
      </c>
    </row>
    <row r="658" spans="1:14" ht="12.75" customHeight="1">
      <c r="A658" s="461"/>
      <c r="B658" s="460"/>
      <c r="C658" s="170">
        <v>2</v>
      </c>
      <c r="D658" s="131" t="s">
        <v>556</v>
      </c>
      <c r="E658" s="453">
        <f>decLOB1Cln2WeekProdMod_R1</f>
        <v>0</v>
      </c>
      <c r="F658" s="453">
        <f>decLOB1Cln2WeekProdMod_R1</f>
        <v>0</v>
      </c>
      <c r="G658" s="453">
        <f>decLOB1Cln2WeekProdMod_R1</f>
        <v>0</v>
      </c>
      <c r="H658" s="131" t="s">
        <v>3773</v>
      </c>
      <c r="J658" s="131" t="s">
        <v>556</v>
      </c>
      <c r="K658" s="453">
        <f>decLOB1Cln2WeekProdMod_R2</f>
        <v>0</v>
      </c>
      <c r="L658" s="453">
        <f>decLOB1Cln2WeekProdMod_R2</f>
        <v>0</v>
      </c>
      <c r="M658" s="453">
        <f>decLOB1Cln2WeekProdMod_R2</f>
        <v>0</v>
      </c>
      <c r="N658" s="131" t="s">
        <v>6416</v>
      </c>
    </row>
    <row r="659" spans="1:14" ht="12.75" customHeight="1">
      <c r="A659" s="461"/>
      <c r="B659" s="460"/>
      <c r="C659" s="170">
        <v>3</v>
      </c>
      <c r="D659" s="131" t="s">
        <v>556</v>
      </c>
      <c r="E659" s="453">
        <f>decLOB1Cln3WeekProdMod_R1</f>
        <v>0</v>
      </c>
      <c r="F659" s="453">
        <f>decLOB1Cln3WeekProdMod_R1</f>
        <v>0</v>
      </c>
      <c r="G659" s="453">
        <f>decLOB1Cln3WeekProdMod_R1</f>
        <v>0</v>
      </c>
      <c r="H659" s="131" t="s">
        <v>3774</v>
      </c>
      <c r="J659" s="131" t="s">
        <v>556</v>
      </c>
      <c r="K659" s="453">
        <f>decLOB1Cln3WeekProdMod_R2</f>
        <v>0</v>
      </c>
      <c r="L659" s="453">
        <f>decLOB1Cln3WeekProdMod_R2</f>
        <v>0</v>
      </c>
      <c r="M659" s="453">
        <f>decLOB1Cln3WeekProdMod_R2</f>
        <v>0</v>
      </c>
      <c r="N659" s="131" t="s">
        <v>6417</v>
      </c>
    </row>
    <row r="660" spans="1:14" ht="12.75" customHeight="1">
      <c r="A660" s="461"/>
      <c r="B660" s="460"/>
      <c r="C660" s="170">
        <v>4</v>
      </c>
      <c r="D660" s="131" t="s">
        <v>556</v>
      </c>
      <c r="E660" s="453">
        <f>decLOB1Cln4WeekProdMod_R1</f>
        <v>0</v>
      </c>
      <c r="F660" s="453">
        <f>decLOB1Cln4WeekProdMod_R1</f>
        <v>0</v>
      </c>
      <c r="G660" s="453">
        <f>decLOB1Cln4WeekProdMod_R1</f>
        <v>0</v>
      </c>
      <c r="H660" s="131" t="s">
        <v>3775</v>
      </c>
      <c r="J660" s="131" t="s">
        <v>556</v>
      </c>
      <c r="K660" s="453">
        <f>decLOB1Cln4WeekProdMod_R2</f>
        <v>0</v>
      </c>
      <c r="L660" s="453">
        <f>decLOB1Cln4WeekProdMod_R2</f>
        <v>0</v>
      </c>
      <c r="M660" s="453">
        <f>decLOB1Cln4WeekProdMod_R2</f>
        <v>0</v>
      </c>
      <c r="N660" s="131" t="s">
        <v>6418</v>
      </c>
    </row>
    <row r="661" spans="1:14" ht="12.75" customHeight="1">
      <c r="A661" s="461"/>
      <c r="B661" s="460"/>
      <c r="C661" s="170">
        <v>5</v>
      </c>
      <c r="D661" s="131" t="s">
        <v>556</v>
      </c>
      <c r="E661" s="453">
        <f>decLOB1Cln5WeekProdMod_R1</f>
        <v>0</v>
      </c>
      <c r="F661" s="453">
        <f>decLOB1Cln5WeekProdMod_R1</f>
        <v>0</v>
      </c>
      <c r="G661" s="453">
        <f>decLOB1Cln5WeekProdMod_R1</f>
        <v>0</v>
      </c>
      <c r="H661" s="131" t="s">
        <v>3776</v>
      </c>
      <c r="J661" s="131" t="s">
        <v>556</v>
      </c>
      <c r="K661" s="453">
        <f>decLOB1Cln5WeekProdMod_R2</f>
        <v>0</v>
      </c>
      <c r="L661" s="453">
        <f>decLOB1Cln5WeekProdMod_R2</f>
        <v>0</v>
      </c>
      <c r="M661" s="453">
        <f>decLOB1Cln5WeekProdMod_R2</f>
        <v>0</v>
      </c>
      <c r="N661" s="131" t="s">
        <v>6419</v>
      </c>
    </row>
    <row r="662" spans="1:14" ht="12.75" customHeight="1">
      <c r="A662" s="461"/>
      <c r="B662" s="460"/>
      <c r="C662" s="170">
        <v>6</v>
      </c>
      <c r="D662" s="131" t="s">
        <v>556</v>
      </c>
      <c r="E662" s="453">
        <f>decLOB1Cln6WeekProdMod_R1</f>
        <v>0</v>
      </c>
      <c r="F662" s="453">
        <f>decLOB1Cln6WeekProdMod_R1</f>
        <v>0</v>
      </c>
      <c r="G662" s="453">
        <f>decLOB1Cln6WeekProdMod_R1</f>
        <v>0</v>
      </c>
      <c r="H662" s="131" t="s">
        <v>3777</v>
      </c>
      <c r="J662" s="131" t="s">
        <v>556</v>
      </c>
      <c r="K662" s="453">
        <f>decLOB1Cln6WeekProdMod_R2</f>
        <v>0</v>
      </c>
      <c r="L662" s="453">
        <f>decLOB1Cln6WeekProdMod_R2</f>
        <v>0</v>
      </c>
      <c r="M662" s="453">
        <f>decLOB1Cln6WeekProdMod_R2</f>
        <v>0</v>
      </c>
      <c r="N662" s="131" t="s">
        <v>6420</v>
      </c>
    </row>
    <row r="663" spans="1:14" ht="12.75" customHeight="1">
      <c r="A663" s="461"/>
      <c r="B663" s="460"/>
      <c r="C663" s="170">
        <v>7</v>
      </c>
      <c r="D663" s="131" t="s">
        <v>556</v>
      </c>
      <c r="E663" s="453">
        <f>decLOB1Cln7WeekProdMod_R1</f>
        <v>0</v>
      </c>
      <c r="F663" s="453">
        <f>decLOB1Cln7WeekProdMod_R1</f>
        <v>0</v>
      </c>
      <c r="G663" s="453">
        <f>decLOB1Cln7WeekProdMod_R1</f>
        <v>0</v>
      </c>
      <c r="H663" s="131" t="s">
        <v>3778</v>
      </c>
      <c r="J663" s="131" t="s">
        <v>556</v>
      </c>
      <c r="K663" s="453">
        <f>decLOB1Cln7WeekProdMod_R2</f>
        <v>0</v>
      </c>
      <c r="L663" s="453">
        <f>decLOB1Cln7WeekProdMod_R2</f>
        <v>0</v>
      </c>
      <c r="M663" s="453">
        <f>decLOB1Cln7WeekProdMod_R2</f>
        <v>0</v>
      </c>
      <c r="N663" s="131" t="s">
        <v>6421</v>
      </c>
    </row>
    <row r="664" spans="1:14" ht="12.75" customHeight="1">
      <c r="A664" s="461"/>
      <c r="B664" s="460"/>
      <c r="C664" s="170">
        <v>8</v>
      </c>
      <c r="D664" s="131" t="s">
        <v>556</v>
      </c>
      <c r="E664" s="453">
        <f>decLOB1Cln8WeekProdMod_R1</f>
        <v>0</v>
      </c>
      <c r="F664" s="453">
        <f>decLOB1Cln8WeekProdMod_R1</f>
        <v>0</v>
      </c>
      <c r="G664" s="453">
        <f>decLOB1Cln8WeekProdMod_R1</f>
        <v>0</v>
      </c>
      <c r="H664" s="131" t="s">
        <v>3779</v>
      </c>
      <c r="J664" s="131" t="s">
        <v>556</v>
      </c>
      <c r="K664" s="453">
        <f>decLOB1Cln8WeekProdMod_R2</f>
        <v>0</v>
      </c>
      <c r="L664" s="453">
        <f>decLOB1Cln8WeekProdMod_R2</f>
        <v>0</v>
      </c>
      <c r="M664" s="453">
        <f>decLOB1Cln8WeekProdMod_R2</f>
        <v>0</v>
      </c>
      <c r="N664" s="131" t="s">
        <v>6422</v>
      </c>
    </row>
    <row r="665" spans="1:14" ht="12.75" customHeight="1">
      <c r="A665" s="461"/>
      <c r="B665" s="460"/>
      <c r="C665" s="170">
        <v>9</v>
      </c>
      <c r="D665" s="131" t="s">
        <v>556</v>
      </c>
      <c r="E665" s="453">
        <f>decLOB1Cln9WeekProdMod_R1</f>
        <v>0</v>
      </c>
      <c r="F665" s="453">
        <f>decLOB1Cln9WeekProdMod_R1</f>
        <v>0</v>
      </c>
      <c r="G665" s="453">
        <f>decLOB1Cln9WeekProdMod_R1</f>
        <v>0</v>
      </c>
      <c r="H665" s="131" t="s">
        <v>3780</v>
      </c>
      <c r="J665" s="131" t="s">
        <v>556</v>
      </c>
      <c r="K665" s="453">
        <f>decLOB1Cln9WeekProdMod_R2</f>
        <v>0</v>
      </c>
      <c r="L665" s="453">
        <f>decLOB1Cln9WeekProdMod_R2</f>
        <v>0</v>
      </c>
      <c r="M665" s="453">
        <f>decLOB1Cln9WeekProdMod_R2</f>
        <v>0</v>
      </c>
      <c r="N665" s="131" t="s">
        <v>6423</v>
      </c>
    </row>
    <row r="666" spans="1:14" ht="12.75" customHeight="1">
      <c r="A666" s="461"/>
      <c r="B666" s="460"/>
      <c r="C666" s="170">
        <v>10</v>
      </c>
      <c r="D666" s="131" t="s">
        <v>556</v>
      </c>
      <c r="E666" s="453">
        <f>decLOB1Cln10WeekProdMod_R1</f>
        <v>0</v>
      </c>
      <c r="F666" s="453">
        <f>decLOB1Cln10WeekProdMod_R1</f>
        <v>0</v>
      </c>
      <c r="G666" s="453">
        <f>decLOB1Cln10WeekProdMod_R1</f>
        <v>0</v>
      </c>
      <c r="H666" s="131" t="s">
        <v>3781</v>
      </c>
      <c r="J666" s="131" t="s">
        <v>556</v>
      </c>
      <c r="K666" s="453">
        <f>decLOB1Cln10WeekProdMod_R2</f>
        <v>0</v>
      </c>
      <c r="L666" s="453">
        <f>decLOB1Cln10WeekProdMod_R2</f>
        <v>0</v>
      </c>
      <c r="M666" s="453">
        <f>decLOB1Cln10WeekProdMod_R2</f>
        <v>0</v>
      </c>
      <c r="N666" s="131" t="s">
        <v>6424</v>
      </c>
    </row>
    <row r="667" spans="1:14" ht="12.75" customHeight="1">
      <c r="A667" s="461"/>
      <c r="B667" s="460"/>
      <c r="C667" s="170">
        <v>11</v>
      </c>
      <c r="D667" s="131" t="s">
        <v>556</v>
      </c>
      <c r="E667" s="453">
        <f>decLOB1Cln11WeekProdMod_R1</f>
        <v>0</v>
      </c>
      <c r="F667" s="453">
        <f>decLOB1Cln11WeekProdMod_R1</f>
        <v>0</v>
      </c>
      <c r="G667" s="453">
        <f>decLOB1Cln11WeekProdMod_R1</f>
        <v>0</v>
      </c>
      <c r="H667" s="131" t="s">
        <v>3782</v>
      </c>
      <c r="J667" s="131" t="s">
        <v>556</v>
      </c>
      <c r="K667" s="453">
        <f>decLOB1Cln11WeekProdMod_R2</f>
        <v>0</v>
      </c>
      <c r="L667" s="453">
        <f>decLOB1Cln11WeekProdMod_R2</f>
        <v>0</v>
      </c>
      <c r="M667" s="453">
        <f>decLOB1Cln11WeekProdMod_R2</f>
        <v>0</v>
      </c>
      <c r="N667" s="131" t="s">
        <v>6425</v>
      </c>
    </row>
    <row r="668" spans="1:14" ht="12.75" customHeight="1">
      <c r="A668" s="461"/>
      <c r="B668" s="460"/>
      <c r="C668" s="170">
        <v>12</v>
      </c>
      <c r="D668" s="131" t="s">
        <v>556</v>
      </c>
      <c r="E668" s="453">
        <f>decLOB1Cln12WeekProdMod_R1</f>
        <v>0</v>
      </c>
      <c r="F668" s="453">
        <f>decLOB1Cln12WeekProdMod_R1</f>
        <v>0</v>
      </c>
      <c r="G668" s="453">
        <f>decLOB1Cln12WeekProdMod_R1</f>
        <v>0</v>
      </c>
      <c r="H668" s="131" t="s">
        <v>3783</v>
      </c>
      <c r="J668" s="131" t="s">
        <v>556</v>
      </c>
      <c r="K668" s="453">
        <f>decLOB1Cln12WeekProdMod_R2</f>
        <v>0</v>
      </c>
      <c r="L668" s="453">
        <f>decLOB1Cln12WeekProdMod_R2</f>
        <v>0</v>
      </c>
      <c r="M668" s="453">
        <f>decLOB1Cln12WeekProdMod_R2</f>
        <v>0</v>
      </c>
      <c r="N668" s="131" t="s">
        <v>6426</v>
      </c>
    </row>
    <row r="669" spans="1:14" ht="12.75" customHeight="1">
      <c r="A669" s="461"/>
      <c r="B669" s="460"/>
    </row>
    <row r="670" spans="1:14" ht="12.75" customHeight="1">
      <c r="A670" s="461"/>
      <c r="B670" s="635"/>
      <c r="C670" s="131" t="s">
        <v>1588</v>
      </c>
    </row>
    <row r="671" spans="1:14" ht="12.75" customHeight="1">
      <c r="A671" s="461"/>
      <c r="B671" s="635"/>
      <c r="C671" s="170">
        <v>1</v>
      </c>
      <c r="D671" s="131" t="s">
        <v>556</v>
      </c>
      <c r="E671" s="453">
        <f>IF(calcLOB1Clinician1Emp3BaseProd=0,0,IF(calcLOB1Clinician1Emp3ModifiedProd=0,calcLOB1Clinician1Emp3BaseProd*paramLOB1Disc4Meetings*paramLOB1Meetings*paramLOB1Clinician1Meetings,calcLOB1Clinician1Emp3ModifiedProd))</f>
        <v>0</v>
      </c>
      <c r="F671" s="453">
        <f>IF(calcLOB1Clinician1Emp3BaseProd=0,0,IF(calcLOB1Clinician1Emp3ModifiedProd=0,calcLOB1Clinician1Emp3BaseProd*paramLOB1Disc4Meetings*paramLOB1Meetings*paramLOB1Clinician1Meetings,calcLOB1Clinician1Emp3ModifiedProd))</f>
        <v>0</v>
      </c>
      <c r="G671" s="453">
        <f>IF(calcLOB1Clinician1Emp3BaseProd=0,0,IF(calcLOB1Clinician1Emp3ModifiedProd=0,calcLOB1Clinician1Emp3BaseProd*paramLOB1Disc4Meetings*paramLOB1Meetings*paramLOB1Clinician1Meetings,calcLOB1Clinician1Emp3ModifiedProd))</f>
        <v>0</v>
      </c>
      <c r="H671" s="131" t="s">
        <v>1868</v>
      </c>
      <c r="J671" s="131" t="s">
        <v>556</v>
      </c>
      <c r="K671" s="453">
        <f>IF(calcR2LOB1Clinician1Emp3BaseProd=0,0,IF(calcR2LOB1Clinician1Emp3ModifiedProd=0,calcR2LOB1Clinician1Emp3BaseProd*paramR2LOB1Disc4Meetings*paramR2LOB1Meetings*paramR2LOB1Clinician1Meetings,calcR2LOB1Clinician1Emp3ModifiedProd))</f>
        <v>0</v>
      </c>
      <c r="L671" s="453">
        <f>IF(calcR2LOB1Clinician1Emp3BaseProd=0,0,IF(calcR2LOB1Clinician1Emp3ModifiedProd=0,calcR2LOB1Clinician1Emp3BaseProd*paramR2LOB1Disc4Meetings*paramR2LOB1Meetings*paramR2LOB1Clinician1Meetings,calcR2LOB1Clinician1Emp3ModifiedProd))</f>
        <v>0</v>
      </c>
      <c r="M671" s="453">
        <f>IF(calcR2LOB1Clinician1Emp3BaseProd=0,0,IF(calcR2LOB1Clinician1Emp3ModifiedProd=0,calcR2LOB1Clinician1Emp3BaseProd*paramR2LOB1Disc4Meetings*paramR2LOB1Meetings*paramR2LOB1Clinician1Meetings,calcR2LOB1Clinician1Emp3ModifiedProd))</f>
        <v>0</v>
      </c>
      <c r="N671" s="131" t="s">
        <v>6427</v>
      </c>
    </row>
    <row r="672" spans="1:14" ht="12.75" customHeight="1">
      <c r="A672" s="461"/>
      <c r="B672" s="635"/>
      <c r="C672" s="170">
        <v>2</v>
      </c>
      <c r="D672" s="131" t="s">
        <v>556</v>
      </c>
      <c r="E672" s="453">
        <f>IF(calcLOB1Clinician2Emp3BaseProd=0,0,IF(calcLOB1Clinician2Emp3ModifiedProd=0,calcLOB1Clinician2Emp3BaseProd*paramLOB1Disc4Meetings*paramLOB1Meetings*paramLOB1Clinician2Meetings,calcLOB1Clinician2Emp3ModifiedProd))</f>
        <v>0</v>
      </c>
      <c r="F672" s="453">
        <f>IF(calcLOB1Clinician2Emp3BaseProd=0,0,IF(calcLOB1Clinician2Emp3ModifiedProd=0,calcLOB1Clinician2Emp3BaseProd*paramLOB1Disc4Meetings*paramLOB1Meetings*paramLOB1Clinician2Meetings,calcLOB1Clinician2Emp3ModifiedProd))</f>
        <v>0</v>
      </c>
      <c r="G672" s="453">
        <f>IF(calcLOB1Clinician2Emp3BaseProd=0,0,IF(calcLOB1Clinician2Emp3ModifiedProd=0,calcLOB1Clinician2Emp3BaseProd*paramLOB1Disc4Meetings*paramLOB1Meetings*paramLOB1Clinician2Meetings,calcLOB1Clinician2Emp3ModifiedProd))</f>
        <v>0</v>
      </c>
      <c r="H672" s="131" t="s">
        <v>1869</v>
      </c>
      <c r="J672" s="131" t="s">
        <v>556</v>
      </c>
      <c r="K672" s="453">
        <f>IF(calcR2LOB1Clinician2Emp3BaseProd=0,0,IF(calcR2LOB1Clinician2Emp3ModifiedProd=0,calcR2LOB1Clinician2Emp3BaseProd*paramR2LOB1Disc4Meetings*paramR2LOB1Meetings*paramR2LOB1Clinician2Meetings,calcR2LOB1Clinician2Emp3ModifiedProd))</f>
        <v>0</v>
      </c>
      <c r="L672" s="453">
        <f>IF(calcR2LOB1Clinician2Emp3BaseProd=0,0,IF(calcR2LOB1Clinician2Emp3ModifiedProd=0,calcR2LOB1Clinician2Emp3BaseProd*paramR2LOB1Disc4Meetings*paramR2LOB1Meetings*paramR2LOB1Clinician2Meetings,calcR2LOB1Clinician2Emp3ModifiedProd))</f>
        <v>0</v>
      </c>
      <c r="M672" s="453">
        <f>IF(calcR2LOB1Clinician2Emp3BaseProd=0,0,IF(calcR2LOB1Clinician2Emp3ModifiedProd=0,calcR2LOB1Clinician2Emp3BaseProd*paramR2LOB1Disc4Meetings*paramR2LOB1Meetings*paramR2LOB1Clinician2Meetings,calcR2LOB1Clinician2Emp3ModifiedProd))</f>
        <v>0</v>
      </c>
      <c r="N672" s="131" t="s">
        <v>6428</v>
      </c>
    </row>
    <row r="673" spans="1:14" ht="12.75" customHeight="1">
      <c r="A673" s="461"/>
      <c r="B673" s="635"/>
      <c r="C673" s="170">
        <v>3</v>
      </c>
      <c r="D673" s="131" t="s">
        <v>556</v>
      </c>
      <c r="E673" s="453">
        <f>IF(calcLOB1Clinician3Emp3BaseProd=0,0,IF(calcLOB1Clinician3Emp3ModifiedProd=0,calcLOB1Clinician3Emp3BaseProd*paramLOB1Disc4Meetings*paramLOB1Meetings*paramLOB1Clinician3Meetings,calcLOB1Clinician3Emp3ModifiedProd))</f>
        <v>0</v>
      </c>
      <c r="F673" s="453">
        <f>IF(calcLOB1Clinician3Emp3BaseProd=0,0,IF(calcLOB1Clinician3Emp3ModifiedProd=0,calcLOB1Clinician3Emp3BaseProd*paramLOB1Disc4Meetings*paramLOB1Meetings*paramLOB1Clinician3Meetings,calcLOB1Clinician3Emp3ModifiedProd))</f>
        <v>0</v>
      </c>
      <c r="G673" s="453">
        <f>IF(calcLOB1Clinician3Emp3BaseProd=0,0,IF(calcLOB1Clinician3Emp3ModifiedProd=0,calcLOB1Clinician3Emp3BaseProd*paramLOB1Disc4Meetings*paramLOB1Meetings*paramLOB1Clinician3Meetings,calcLOB1Clinician3Emp3ModifiedProd))</f>
        <v>0</v>
      </c>
      <c r="H673" s="131" t="s">
        <v>1870</v>
      </c>
      <c r="J673" s="131" t="s">
        <v>556</v>
      </c>
      <c r="K673" s="453">
        <f>IF(calcR2LOB1Clinician3Emp3BaseProd=0,0,IF(calcR2LOB1Clinician3Emp3ModifiedProd=0,calcR2LOB1Clinician3Emp3BaseProd*paramR2LOB1Disc4Meetings*paramR2LOB1Meetings*paramR2LOB1Clinician3Meetings,calcR2LOB1Clinician3Emp3ModifiedProd))</f>
        <v>0</v>
      </c>
      <c r="L673" s="453">
        <f>IF(calcR2LOB1Clinician3Emp3BaseProd=0,0,IF(calcR2LOB1Clinician3Emp3ModifiedProd=0,calcR2LOB1Clinician3Emp3BaseProd*paramR2LOB1Disc4Meetings*paramR2LOB1Meetings*paramR2LOB1Clinician3Meetings,calcR2LOB1Clinician3Emp3ModifiedProd))</f>
        <v>0</v>
      </c>
      <c r="M673" s="453">
        <f>IF(calcR2LOB1Clinician3Emp3BaseProd=0,0,IF(calcR2LOB1Clinician3Emp3ModifiedProd=0,calcR2LOB1Clinician3Emp3BaseProd*paramR2LOB1Disc4Meetings*paramR2LOB1Meetings*paramR2LOB1Clinician3Meetings,calcR2LOB1Clinician3Emp3ModifiedProd))</f>
        <v>0</v>
      </c>
      <c r="N673" s="131" t="s">
        <v>6429</v>
      </c>
    </row>
    <row r="674" spans="1:14" ht="12.75" customHeight="1">
      <c r="A674" s="461"/>
      <c r="B674" s="635"/>
      <c r="C674" s="170">
        <v>4</v>
      </c>
      <c r="D674" s="131" t="s">
        <v>556</v>
      </c>
      <c r="E674" s="453">
        <f>IF(calcLOB1Clinician4Emp3BaseProd=0,0,IF(calcLOB1Clinician4Emp3ModifiedProd=0,calcLOB1Clinician4Emp3BaseProd*paramLOB1Disc4Meetings*paramLOB1Meetings*paramLOB1Clinician4Meetings,calcLOB1Clinician4Emp3ModifiedProd))</f>
        <v>0</v>
      </c>
      <c r="F674" s="453">
        <f>IF(calcLOB1Clinician4Emp3BaseProd=0,0,IF(calcLOB1Clinician4Emp3ModifiedProd=0,calcLOB1Clinician4Emp3BaseProd*paramLOB1Disc4Meetings*paramLOB1Meetings*paramLOB1Clinician4Meetings,calcLOB1Clinician4Emp3ModifiedProd))</f>
        <v>0</v>
      </c>
      <c r="G674" s="453">
        <f>IF(calcLOB1Clinician4Emp3BaseProd=0,0,IF(calcLOB1Clinician4Emp3ModifiedProd=0,calcLOB1Clinician4Emp3BaseProd*paramLOB1Disc4Meetings*paramLOB1Meetings*paramLOB1Clinician4Meetings,calcLOB1Clinician4Emp3ModifiedProd))</f>
        <v>0</v>
      </c>
      <c r="H674" s="131" t="s">
        <v>1871</v>
      </c>
      <c r="J674" s="131" t="s">
        <v>556</v>
      </c>
      <c r="K674" s="453">
        <f>IF(calcR2LOB1Clinician4Emp3BaseProd=0,0,IF(calcR2LOB1Clinician4Emp3ModifiedProd=0,calcR2LOB1Clinician4Emp3BaseProd*paramR2LOB1Disc4Meetings*paramR2LOB1Meetings*paramR2LOB1Clinician4Meetings,calcR2LOB1Clinician4Emp3ModifiedProd))</f>
        <v>0</v>
      </c>
      <c r="L674" s="453">
        <f>IF(calcR2LOB1Clinician4Emp3BaseProd=0,0,IF(calcR2LOB1Clinician4Emp3ModifiedProd=0,calcR2LOB1Clinician4Emp3BaseProd*paramR2LOB1Disc4Meetings*paramR2LOB1Meetings*paramR2LOB1Clinician4Meetings,calcR2LOB1Clinician4Emp3ModifiedProd))</f>
        <v>0</v>
      </c>
      <c r="M674" s="453">
        <f>IF(calcR2LOB1Clinician4Emp3BaseProd=0,0,IF(calcR2LOB1Clinician4Emp3ModifiedProd=0,calcR2LOB1Clinician4Emp3BaseProd*paramR2LOB1Disc4Meetings*paramR2LOB1Meetings*paramR2LOB1Clinician4Meetings,calcR2LOB1Clinician4Emp3ModifiedProd))</f>
        <v>0</v>
      </c>
      <c r="N674" s="131" t="s">
        <v>6430</v>
      </c>
    </row>
    <row r="675" spans="1:14" ht="12.75" customHeight="1">
      <c r="A675" s="461"/>
      <c r="B675" s="635"/>
      <c r="C675" s="170">
        <v>5</v>
      </c>
      <c r="D675" s="131" t="s">
        <v>556</v>
      </c>
      <c r="E675" s="453">
        <f>IF(calcLOB1Clinician5Emp3BaseProd=0,0,IF(calcLOB1Clinician5Emp3ModifiedProd=0,calcLOB1Clinician5Emp3BaseProd*paramLOB1Disc4Meetings*paramLOB1Meetings*paramLOB1Clinician5Meetings,calcLOB1Clinician5Emp3ModifiedProd))</f>
        <v>0</v>
      </c>
      <c r="F675" s="453">
        <f>IF(calcLOB1Clinician5Emp3BaseProd=0,0,IF(calcLOB1Clinician5Emp3ModifiedProd=0,calcLOB1Clinician5Emp3BaseProd*paramLOB1Disc4Meetings*paramLOB1Meetings*paramLOB1Clinician5Meetings,calcLOB1Clinician5Emp3ModifiedProd))</f>
        <v>0</v>
      </c>
      <c r="G675" s="453">
        <f>IF(calcLOB1Clinician5Emp3BaseProd=0,0,IF(calcLOB1Clinician5Emp3ModifiedProd=0,calcLOB1Clinician5Emp3BaseProd*paramLOB1Disc4Meetings*paramLOB1Meetings*paramLOB1Clinician5Meetings,calcLOB1Clinician5Emp3ModifiedProd))</f>
        <v>0</v>
      </c>
      <c r="H675" s="131" t="s">
        <v>1872</v>
      </c>
      <c r="J675" s="131" t="s">
        <v>556</v>
      </c>
      <c r="K675" s="453">
        <f>IF(calcR2LOB1Clinician5Emp3BaseProd=0,0,IF(calcR2LOB1Clinician5Emp3ModifiedProd=0,calcR2LOB1Clinician5Emp3BaseProd*paramR2LOB1Disc4Meetings*paramR2LOB1Meetings*paramR2LOB1Clinician5Meetings,calcR2LOB1Clinician5Emp3ModifiedProd))</f>
        <v>0</v>
      </c>
      <c r="L675" s="453">
        <f>IF(calcR2LOB1Clinician5Emp3BaseProd=0,0,IF(calcR2LOB1Clinician5Emp3ModifiedProd=0,calcR2LOB1Clinician5Emp3BaseProd*paramR2LOB1Disc4Meetings*paramR2LOB1Meetings*paramR2LOB1Clinician5Meetings,calcR2LOB1Clinician5Emp3ModifiedProd))</f>
        <v>0</v>
      </c>
      <c r="M675" s="453">
        <f>IF(calcR2LOB1Clinician5Emp3BaseProd=0,0,IF(calcR2LOB1Clinician5Emp3ModifiedProd=0,calcR2LOB1Clinician5Emp3BaseProd*paramR2LOB1Disc4Meetings*paramR2LOB1Meetings*paramR2LOB1Clinician5Meetings,calcR2LOB1Clinician5Emp3ModifiedProd))</f>
        <v>0</v>
      </c>
      <c r="N675" s="131" t="s">
        <v>6431</v>
      </c>
    </row>
    <row r="676" spans="1:14" ht="12.75" customHeight="1">
      <c r="A676" s="461"/>
      <c r="B676" s="635"/>
      <c r="C676" s="170">
        <v>6</v>
      </c>
      <c r="D676" s="131" t="s">
        <v>556</v>
      </c>
      <c r="E676" s="453">
        <f>IF(calcLOB1Clinician6Emp3BaseProd=0,0,IF(calcLOB1Clinician6Emp3ModifiedProd=0,calcLOB1Clinician6Emp3BaseProd*paramLOB1Disc4Meetings*paramLOB1Meetings*paramLOB1Clinician6Meetings,calcLOB1Clinician6Emp3ModifiedProd))</f>
        <v>30</v>
      </c>
      <c r="F676" s="453">
        <f>IF(calcLOB1Clinician6Emp3BaseProd=0,0,IF(calcLOB1Clinician6Emp3ModifiedProd=0,calcLOB1Clinician6Emp3BaseProd*paramLOB1Disc4Meetings*paramLOB1Meetings*paramLOB1Clinician6Meetings,calcLOB1Clinician6Emp3ModifiedProd))</f>
        <v>30</v>
      </c>
      <c r="G676" s="453">
        <f>IF(calcLOB1Clinician6Emp3BaseProd=0,0,IF(calcLOB1Clinician6Emp3ModifiedProd=0,calcLOB1Clinician6Emp3BaseProd*paramLOB1Disc4Meetings*paramLOB1Meetings*paramLOB1Clinician6Meetings,calcLOB1Clinician6Emp3ModifiedProd))</f>
        <v>30</v>
      </c>
      <c r="H676" s="131" t="s">
        <v>1873</v>
      </c>
      <c r="J676" s="131" t="s">
        <v>556</v>
      </c>
      <c r="K676" s="453">
        <f>IF(calcR2LOB1Clinician6Emp3BaseProd=0,0,IF(calcR2LOB1Clinician6Emp3ModifiedProd=0,calcR2LOB1Clinician6Emp3BaseProd*paramR2LOB1Disc4Meetings*paramR2LOB1Meetings*paramR2LOB1Clinician6Meetings,calcR2LOB1Clinician6Emp3ModifiedProd))</f>
        <v>30</v>
      </c>
      <c r="L676" s="453">
        <f>IF(calcR2LOB1Clinician6Emp3BaseProd=0,0,IF(calcR2LOB1Clinician6Emp3ModifiedProd=0,calcR2LOB1Clinician6Emp3BaseProd*paramR2LOB1Disc4Meetings*paramR2LOB1Meetings*paramR2LOB1Clinician6Meetings,calcR2LOB1Clinician6Emp3ModifiedProd))</f>
        <v>30</v>
      </c>
      <c r="M676" s="453">
        <f>IF(calcR2LOB1Clinician6Emp3BaseProd=0,0,IF(calcR2LOB1Clinician6Emp3ModifiedProd=0,calcR2LOB1Clinician6Emp3BaseProd*paramR2LOB1Disc4Meetings*paramR2LOB1Meetings*paramR2LOB1Clinician6Meetings,calcR2LOB1Clinician6Emp3ModifiedProd))</f>
        <v>30</v>
      </c>
      <c r="N676" s="131" t="s">
        <v>6432</v>
      </c>
    </row>
    <row r="677" spans="1:14" ht="12.75" customHeight="1">
      <c r="A677" s="461"/>
      <c r="B677" s="635"/>
      <c r="C677" s="170">
        <v>7</v>
      </c>
      <c r="D677" s="131" t="s">
        <v>556</v>
      </c>
      <c r="E677" s="453">
        <f>IF(calcLOB1Clinician7Emp3BaseProd=0,0,IF(calcLOB1Clinician7Emp3ModifiedProd=0,calcLOB1Clinician7Emp3BaseProd*paramLOB1Disc4Meetings*paramLOB1Meetings*paramLOB1Clinician7Meetings,calcLOB1Clinician7Emp3ModifiedProd))</f>
        <v>28</v>
      </c>
      <c r="F677" s="453">
        <f>IF(calcLOB1Clinician7Emp3BaseProd=0,0,IF(calcLOB1Clinician7Emp3ModifiedProd=0,calcLOB1Clinician7Emp3BaseProd*paramLOB1Disc4Meetings*paramLOB1Meetings*paramLOB1Clinician7Meetings,calcLOB1Clinician7Emp3ModifiedProd))</f>
        <v>28</v>
      </c>
      <c r="G677" s="453">
        <f>IF(calcLOB1Clinician7Emp3BaseProd=0,0,IF(calcLOB1Clinician7Emp3ModifiedProd=0,calcLOB1Clinician7Emp3BaseProd*paramLOB1Disc4Meetings*paramLOB1Meetings*paramLOB1Clinician7Meetings,calcLOB1Clinician7Emp3ModifiedProd))</f>
        <v>28</v>
      </c>
      <c r="H677" s="131" t="s">
        <v>1874</v>
      </c>
      <c r="J677" s="131" t="s">
        <v>556</v>
      </c>
      <c r="K677" s="453">
        <f>IF(calcR2LOB1Clinician7Emp3BaseProd=0,0,IF(calcR2LOB1Clinician7Emp3ModifiedProd=0,calcR2LOB1Clinician7Emp3BaseProd*paramR2LOB1Disc4Meetings*paramR2LOB1Meetings*paramR2LOB1Clinician7Meetings,calcR2LOB1Clinician7Emp3ModifiedProd))</f>
        <v>28</v>
      </c>
      <c r="L677" s="453">
        <f>IF(calcR2LOB1Clinician7Emp3BaseProd=0,0,IF(calcR2LOB1Clinician7Emp3ModifiedProd=0,calcR2LOB1Clinician7Emp3BaseProd*paramR2LOB1Disc4Meetings*paramR2LOB1Meetings*paramR2LOB1Clinician7Meetings,calcR2LOB1Clinician7Emp3ModifiedProd))</f>
        <v>28</v>
      </c>
      <c r="M677" s="453">
        <f>IF(calcR2LOB1Clinician7Emp3BaseProd=0,0,IF(calcR2LOB1Clinician7Emp3ModifiedProd=0,calcR2LOB1Clinician7Emp3BaseProd*paramR2LOB1Disc4Meetings*paramR2LOB1Meetings*paramR2LOB1Clinician7Meetings,calcR2LOB1Clinician7Emp3ModifiedProd))</f>
        <v>28</v>
      </c>
      <c r="N677" s="131" t="s">
        <v>6433</v>
      </c>
    </row>
    <row r="678" spans="1:14" ht="12.75" customHeight="1">
      <c r="A678" s="461"/>
      <c r="B678" s="635"/>
      <c r="C678" s="170">
        <v>8</v>
      </c>
      <c r="D678" s="131" t="s">
        <v>556</v>
      </c>
      <c r="E678" s="453">
        <f>IF(calcLOB1Clinician8Emp3BaseProd=0,0,IF(calcLOB1Clinician8Emp3ModifiedProd=0,calcLOB1Clinician8Emp3BaseProd*paramLOB1Disc4Meetings*paramLOB1Meetings*paramLOB1Clinician8Meetings,calcLOB1Clinician8Emp3ModifiedProd))</f>
        <v>29</v>
      </c>
      <c r="F678" s="453">
        <f>IF(calcLOB1Clinician8Emp3BaseProd=0,0,IF(calcLOB1Clinician8Emp3ModifiedProd=0,calcLOB1Clinician8Emp3BaseProd*paramLOB1Disc4Meetings*paramLOB1Meetings*paramLOB1Clinician8Meetings,calcLOB1Clinician8Emp3ModifiedProd))</f>
        <v>29</v>
      </c>
      <c r="G678" s="453">
        <f>IF(calcLOB1Clinician8Emp3BaseProd=0,0,IF(calcLOB1Clinician8Emp3ModifiedProd=0,calcLOB1Clinician8Emp3BaseProd*paramLOB1Disc4Meetings*paramLOB1Meetings*paramLOB1Clinician8Meetings,calcLOB1Clinician8Emp3ModifiedProd))</f>
        <v>29</v>
      </c>
      <c r="H678" s="131" t="s">
        <v>1875</v>
      </c>
      <c r="J678" s="131" t="s">
        <v>556</v>
      </c>
      <c r="K678" s="453">
        <f>IF(calcR2LOB1Clinician8Emp3BaseProd=0,0,IF(calcR2LOB1Clinician8Emp3ModifiedProd=0,calcR2LOB1Clinician8Emp3BaseProd*paramR2LOB1Disc4Meetings*paramR2LOB1Meetings*paramR2LOB1Clinician8Meetings,calcR2LOB1Clinician8Emp3ModifiedProd))</f>
        <v>29</v>
      </c>
      <c r="L678" s="453">
        <f>IF(calcR2LOB1Clinician8Emp3BaseProd=0,0,IF(calcR2LOB1Clinician8Emp3ModifiedProd=0,calcR2LOB1Clinician8Emp3BaseProd*paramR2LOB1Disc4Meetings*paramR2LOB1Meetings*paramR2LOB1Clinician8Meetings,calcR2LOB1Clinician8Emp3ModifiedProd))</f>
        <v>29</v>
      </c>
      <c r="M678" s="453">
        <f>IF(calcR2LOB1Clinician8Emp3BaseProd=0,0,IF(calcR2LOB1Clinician8Emp3ModifiedProd=0,calcR2LOB1Clinician8Emp3BaseProd*paramR2LOB1Disc4Meetings*paramR2LOB1Meetings*paramR2LOB1Clinician8Meetings,calcR2LOB1Clinician8Emp3ModifiedProd))</f>
        <v>29</v>
      </c>
      <c r="N678" s="131" t="s">
        <v>6434</v>
      </c>
    </row>
    <row r="679" spans="1:14" ht="12.75" customHeight="1">
      <c r="A679" s="461"/>
      <c r="B679" s="635"/>
      <c r="C679" s="170">
        <v>9</v>
      </c>
      <c r="D679" s="131" t="s">
        <v>556</v>
      </c>
      <c r="E679" s="453">
        <f>IF(calcLOB1Clinician9Emp3BaseProd=0,0,IF(calcLOB1Clinician9Emp3ModifiedProd=0,calcLOB1Clinician9Emp3BaseProd*paramLOB1Disc4Meetings*paramLOB1Meetings*paramLOB1Clinician9Meetings,calcLOB1Clinician9Emp3ModifiedProd))</f>
        <v>15.773195876288661</v>
      </c>
      <c r="F679" s="453">
        <f>IF(calcLOB1Clinician9Emp3BaseProd=0,0,IF(calcLOB1Clinician9Emp3ModifiedProd=0,calcLOB1Clinician9Emp3BaseProd*paramLOB1Disc4Meetings*paramLOB1Meetings*paramLOB1Clinician9Meetings,calcLOB1Clinician9Emp3ModifiedProd))</f>
        <v>15.773195876288661</v>
      </c>
      <c r="G679" s="453">
        <f>IF(calcLOB1Clinician9Emp3BaseProd=0,0,IF(calcLOB1Clinician9Emp3ModifiedProd=0,calcLOB1Clinician9Emp3BaseProd*paramLOB1Disc4Meetings*paramLOB1Meetings*paramLOB1Clinician9Meetings,calcLOB1Clinician9Emp3ModifiedProd))</f>
        <v>15.773195876288661</v>
      </c>
      <c r="H679" s="131" t="s">
        <v>1876</v>
      </c>
      <c r="J679" s="131" t="s">
        <v>556</v>
      </c>
      <c r="K679" s="453">
        <f>IF(calcR2LOB1Clinician9Emp3BaseProd=0,0,IF(calcR2LOB1Clinician9Emp3ModifiedProd=0,calcR2LOB1Clinician9Emp3BaseProd*paramR2LOB1Disc4Meetings*paramR2LOB1Meetings*paramR2LOB1Clinician9Meetings,calcR2LOB1Clinician9Emp3ModifiedProd))</f>
        <v>15.773195876288661</v>
      </c>
      <c r="L679" s="453">
        <f>IF(calcR2LOB1Clinician9Emp3BaseProd=0,0,IF(calcR2LOB1Clinician9Emp3ModifiedProd=0,calcR2LOB1Clinician9Emp3BaseProd*paramR2LOB1Disc4Meetings*paramR2LOB1Meetings*paramR2LOB1Clinician9Meetings,calcR2LOB1Clinician9Emp3ModifiedProd))</f>
        <v>15.773195876288661</v>
      </c>
      <c r="M679" s="453">
        <f>IF(calcR2LOB1Clinician9Emp3BaseProd=0,0,IF(calcR2LOB1Clinician9Emp3ModifiedProd=0,calcR2LOB1Clinician9Emp3BaseProd*paramR2LOB1Disc4Meetings*paramR2LOB1Meetings*paramR2LOB1Clinician9Meetings,calcR2LOB1Clinician9Emp3ModifiedProd))</f>
        <v>15.773195876288661</v>
      </c>
      <c r="N679" s="131" t="s">
        <v>6435</v>
      </c>
    </row>
    <row r="680" spans="1:14" ht="12.75" customHeight="1">
      <c r="A680" s="461"/>
      <c r="B680" s="635"/>
      <c r="C680" s="170">
        <v>10</v>
      </c>
      <c r="D680" s="131" t="s">
        <v>556</v>
      </c>
      <c r="E680" s="453">
        <f>IF(calcLOB1Clinician10Emp3BaseProd=0,0,IF(calcLOB1Clinician10Emp3ModifiedProd=0,calcLOB1Clinician10Emp3BaseProd*paramLOB1Disc4Meetings*paramLOB1Meetings*paramLOB1Clinician10Meetings,calcLOB1Clinician10Emp3ModifiedProd))</f>
        <v>0</v>
      </c>
      <c r="F680" s="453">
        <f>IF(calcLOB1Clinician10Emp3BaseProd=0,0,IF(calcLOB1Clinician10Emp3ModifiedProd=0,calcLOB1Clinician10Emp3BaseProd*paramLOB1Disc4Meetings*paramLOB1Meetings*paramLOB1Clinician10Meetings,calcLOB1Clinician10Emp3ModifiedProd))</f>
        <v>0</v>
      </c>
      <c r="G680" s="453">
        <f>IF(calcLOB1Clinician10Emp3BaseProd=0,0,IF(calcLOB1Clinician10Emp3ModifiedProd=0,calcLOB1Clinician10Emp3BaseProd*paramLOB1Disc4Meetings*paramLOB1Meetings*paramLOB1Clinician10Meetings,calcLOB1Clinician10Emp3ModifiedProd))</f>
        <v>0</v>
      </c>
      <c r="H680" s="131" t="s">
        <v>1877</v>
      </c>
      <c r="J680" s="131" t="s">
        <v>556</v>
      </c>
      <c r="K680" s="453">
        <f>IF(calcR2LOB1Clinician10Emp3BaseProd=0,0,IF(calcR2LOB1Clinician10Emp3ModifiedProd=0,calcR2LOB1Clinician10Emp3BaseProd*paramR2LOB1Disc4Meetings*paramR2LOB1Meetings*paramR2LOB1Clinician10Meetings,calcR2LOB1Clinician10Emp3ModifiedProd))</f>
        <v>0</v>
      </c>
      <c r="L680" s="453">
        <f>IF(calcR2LOB1Clinician10Emp3BaseProd=0,0,IF(calcR2LOB1Clinician10Emp3ModifiedProd=0,calcR2LOB1Clinician10Emp3BaseProd*paramR2LOB1Disc4Meetings*paramR2LOB1Meetings*paramR2LOB1Clinician10Meetings,calcR2LOB1Clinician10Emp3ModifiedProd))</f>
        <v>0</v>
      </c>
      <c r="M680" s="453">
        <f>IF(calcR2LOB1Clinician10Emp3BaseProd=0,0,IF(calcR2LOB1Clinician10Emp3ModifiedProd=0,calcR2LOB1Clinician10Emp3BaseProd*paramR2LOB1Disc4Meetings*paramR2LOB1Meetings*paramR2LOB1Clinician10Meetings,calcR2LOB1Clinician10Emp3ModifiedProd))</f>
        <v>0</v>
      </c>
      <c r="N680" s="131" t="s">
        <v>6436</v>
      </c>
    </row>
    <row r="681" spans="1:14" ht="12.75" customHeight="1">
      <c r="A681" s="461"/>
      <c r="B681" s="635"/>
      <c r="C681" s="170">
        <v>11</v>
      </c>
      <c r="D681" s="131" t="s">
        <v>556</v>
      </c>
      <c r="E681" s="453">
        <f>IF(calcLOB1Clinician11Emp3BaseProd=0,0,IF(calcLOB1Clinician11Emp3ModifiedProd=0,calcLOB1Clinician11Emp3BaseProd*paramLOB1Disc4Meetings*paramLOB1Meetings*paramLOB1Clinician11Meetings,calcLOB1Clinician11Emp3ModifiedProd))</f>
        <v>0</v>
      </c>
      <c r="F681" s="453">
        <f>IF(calcLOB1Clinician11Emp3BaseProd=0,0,IF(calcLOB1Clinician11Emp3ModifiedProd=0,calcLOB1Clinician11Emp3BaseProd*paramLOB1Disc4Meetings*paramLOB1Meetings*paramLOB1Clinician11Meetings,calcLOB1Clinician11Emp3ModifiedProd))</f>
        <v>0</v>
      </c>
      <c r="G681" s="453">
        <f>IF(calcLOB1Clinician11Emp3BaseProd=0,0,IF(calcLOB1Clinician11Emp3ModifiedProd=0,calcLOB1Clinician11Emp3BaseProd*paramLOB1Disc4Meetings*paramLOB1Meetings*paramLOB1Clinician11Meetings,calcLOB1Clinician11Emp3ModifiedProd))</f>
        <v>0</v>
      </c>
      <c r="H681" s="131" t="s">
        <v>1878</v>
      </c>
      <c r="J681" s="131" t="s">
        <v>556</v>
      </c>
      <c r="K681" s="453">
        <f>IF(calcR2LOB1Clinician11Emp3BaseProd=0,0,IF(calcR2LOB1Clinician11Emp3ModifiedProd=0,calcR2LOB1Clinician11Emp3BaseProd*paramR2LOB1Disc4Meetings*paramR2LOB1Meetings*paramR2LOB1Clinician11Meetings,calcR2LOB1Clinician11Emp3ModifiedProd))</f>
        <v>0</v>
      </c>
      <c r="L681" s="453">
        <f>IF(calcR2LOB1Clinician11Emp3BaseProd=0,0,IF(calcR2LOB1Clinician11Emp3ModifiedProd=0,calcR2LOB1Clinician11Emp3BaseProd*paramR2LOB1Disc4Meetings*paramR2LOB1Meetings*paramR2LOB1Clinician11Meetings,calcR2LOB1Clinician11Emp3ModifiedProd))</f>
        <v>0</v>
      </c>
      <c r="M681" s="453">
        <f>IF(calcR2LOB1Clinician11Emp3BaseProd=0,0,IF(calcR2LOB1Clinician11Emp3ModifiedProd=0,calcR2LOB1Clinician11Emp3BaseProd*paramR2LOB1Disc4Meetings*paramR2LOB1Meetings*paramR2LOB1Clinician11Meetings,calcR2LOB1Clinician11Emp3ModifiedProd))</f>
        <v>0</v>
      </c>
      <c r="N681" s="131" t="s">
        <v>6437</v>
      </c>
    </row>
    <row r="682" spans="1:14" ht="12.75" customHeight="1">
      <c r="A682" s="461"/>
      <c r="B682" s="635"/>
      <c r="C682" s="170">
        <v>12</v>
      </c>
      <c r="D682" s="131" t="s">
        <v>556</v>
      </c>
      <c r="E682" s="453">
        <f>IF(calcLOB1Clinician12Emp3BaseProd=0,0,IF(calcLOB1Clinician12Emp3ModifiedProd=0,calcLOB1Clinician12Emp3BaseProd*paramLOB1Disc4Meetings*paramLOB1Meetings*paramLOB1Clinician12Meetings,calcLOB1Clinician12Emp3ModifiedProd))</f>
        <v>0</v>
      </c>
      <c r="F682" s="453">
        <f>IF(calcLOB1Clinician12Emp3BaseProd=0,0,IF(calcLOB1Clinician12Emp3ModifiedProd=0,calcLOB1Clinician12Emp3BaseProd*paramLOB1Disc4Meetings*paramLOB1Meetings*paramLOB1Clinician12Meetings,calcLOB1Clinician12Emp3ModifiedProd))</f>
        <v>0</v>
      </c>
      <c r="G682" s="453">
        <f>IF(calcLOB1Clinician12Emp3BaseProd=0,0,IF(calcLOB1Clinician12Emp3ModifiedProd=0,calcLOB1Clinician12Emp3BaseProd*paramLOB1Disc4Meetings*paramLOB1Meetings*paramLOB1Clinician12Meetings,calcLOB1Clinician12Emp3ModifiedProd))</f>
        <v>0</v>
      </c>
      <c r="H682" s="131" t="s">
        <v>1879</v>
      </c>
      <c r="J682" s="131" t="s">
        <v>556</v>
      </c>
      <c r="K682" s="453">
        <f>IF(calcR2LOB1Clinician12Emp3BaseProd=0,0,IF(calcR2LOB1Clinician12Emp3ModifiedProd=0,calcR2LOB1Clinician12Emp3BaseProd*paramR2LOB1Disc4Meetings*paramR2LOB1Meetings*paramR2LOB1Clinician12Meetings,calcR2LOB1Clinician12Emp3ModifiedProd))</f>
        <v>0</v>
      </c>
      <c r="L682" s="453">
        <f>IF(calcR2LOB1Clinician12Emp3BaseProd=0,0,IF(calcR2LOB1Clinician12Emp3ModifiedProd=0,calcR2LOB1Clinician12Emp3BaseProd*paramR2LOB1Disc4Meetings*paramR2LOB1Meetings*paramR2LOB1Clinician12Meetings,calcR2LOB1Clinician12Emp3ModifiedProd))</f>
        <v>0</v>
      </c>
      <c r="M682" s="453">
        <f>IF(calcR2LOB1Clinician12Emp3BaseProd=0,0,IF(calcR2LOB1Clinician12Emp3ModifiedProd=0,calcR2LOB1Clinician12Emp3BaseProd*paramR2LOB1Disc4Meetings*paramR2LOB1Meetings*paramR2LOB1Clinician12Meetings,calcR2LOB1Clinician12Emp3ModifiedProd))</f>
        <v>0</v>
      </c>
      <c r="N682" s="131" t="s">
        <v>6438</v>
      </c>
    </row>
    <row r="683" spans="1:14" ht="12.75" customHeight="1">
      <c r="A683" s="461"/>
      <c r="B683" s="635"/>
      <c r="D683" s="131" t="s">
        <v>556</v>
      </c>
      <c r="E683" s="453">
        <f>cbalLOB1AvgProdClinician15</f>
        <v>282.15000000000003</v>
      </c>
      <c r="F683" s="453">
        <f>cbalLOB1AvgProdClinician15</f>
        <v>569.92162499999995</v>
      </c>
      <c r="G683" s="453">
        <f>cbalLOB1AvgProdClinician15</f>
        <v>283.14749999999998</v>
      </c>
      <c r="H683" s="131" t="s">
        <v>4057</v>
      </c>
      <c r="J683" s="131" t="s">
        <v>556</v>
      </c>
      <c r="K683" s="453">
        <f>cbalR2LOB1AvgProdClinician15</f>
        <v>232.78237971546903</v>
      </c>
      <c r="L683" s="453">
        <f>cbalR2LOB1AvgProdClinician15</f>
        <v>566.61414896549536</v>
      </c>
      <c r="M683" s="453">
        <f>cbalR2LOB1AvgProdClinician15</f>
        <v>265.50461820778116</v>
      </c>
      <c r="N683" s="131" t="s">
        <v>6439</v>
      </c>
    </row>
    <row r="684" spans="1:14" ht="1.5" customHeight="1">
      <c r="A684" s="461"/>
      <c r="B684" s="635"/>
      <c r="D684" s="449"/>
      <c r="E684" s="450"/>
      <c r="F684" s="450"/>
      <c r="G684" s="450"/>
      <c r="H684" s="131"/>
      <c r="J684" s="449"/>
      <c r="K684" s="450"/>
      <c r="L684" s="450"/>
      <c r="M684" s="450"/>
      <c r="N684" s="131"/>
    </row>
    <row r="685" spans="1:14" ht="12.75" customHeight="1">
      <c r="A685" s="461"/>
      <c r="B685" s="635"/>
      <c r="D685" s="131" t="s">
        <v>1587</v>
      </c>
      <c r="E685" s="448">
        <f>SUM(E671:E684)</f>
        <v>384.92319587628867</v>
      </c>
      <c r="F685" s="448">
        <f t="shared" ref="F685" si="77">SUM(F671:F684)</f>
        <v>672.69482087628865</v>
      </c>
      <c r="G685" s="448">
        <f t="shared" ref="G685" si="78">SUM(G671:G684)</f>
        <v>385.92069587628862</v>
      </c>
      <c r="H685" s="131" t="s">
        <v>8349</v>
      </c>
      <c r="J685" s="131" t="s">
        <v>1587</v>
      </c>
      <c r="K685" s="448">
        <f>SUM(K671:K684)</f>
        <v>335.5555755917577</v>
      </c>
      <c r="L685" s="448">
        <f t="shared" ref="L685" si="79">SUM(L671:L684)</f>
        <v>669.38734484178406</v>
      </c>
      <c r="M685" s="448">
        <f t="shared" ref="M685" si="80">SUM(M671:M684)</f>
        <v>368.27781408406986</v>
      </c>
      <c r="N685" s="131" t="s">
        <v>8350</v>
      </c>
    </row>
    <row r="686" spans="1:14" ht="12.75" customHeight="1">
      <c r="A686" s="461"/>
      <c r="B686" s="460"/>
    </row>
    <row r="687" spans="1:14" ht="12.75" customHeight="1">
      <c r="A687" s="461"/>
      <c r="B687" s="635"/>
      <c r="C687" s="131" t="s">
        <v>1615</v>
      </c>
    </row>
    <row r="688" spans="1:14" ht="12.75" customHeight="1">
      <c r="A688" s="461"/>
      <c r="B688" s="635"/>
      <c r="C688" s="170">
        <v>1</v>
      </c>
      <c r="D688" s="131" t="s">
        <v>556</v>
      </c>
      <c r="E688" s="539">
        <f>IF(calcLOB1Clinician1Emp3BaseProd=0,0,cbalLOB1AvgMissPercClinician1*paramLOB1Disc4Missed*paramLOB1Clinician1Missed)</f>
        <v>0</v>
      </c>
      <c r="F688" s="539">
        <f>IF(calcLOB1Clinician1Emp3BaseProd=0,0,cbalLOB1AvgMissPercClinician1*paramLOB1Disc4Missed*paramLOB1Clinician1Missed)</f>
        <v>0</v>
      </c>
      <c r="G688" s="539">
        <f>IF(calcLOB1Clinician1Emp3BaseProd=0,0,cbalLOB1AvgMissPercClinician1*paramLOB1Disc4Missed*paramLOB1Clinician1Missed)</f>
        <v>0</v>
      </c>
      <c r="H688" s="131" t="s">
        <v>5149</v>
      </c>
      <c r="J688" s="131" t="s">
        <v>556</v>
      </c>
      <c r="K688" s="539">
        <f>IF(calcR2LOB1Clinician1Emp3BaseProd=0,0,cbalR2LOB1AvgMissPercClinician1*paramR2LOB1Disc4Missed*paramR2LOB1Clinician1Missed)</f>
        <v>0</v>
      </c>
      <c r="L688" s="539">
        <f>IF(calcR2LOB1Clinician1Emp3BaseProd=0,0,cbalR2LOB1AvgMissPercClinician1*paramR2LOB1Disc4Missed*paramR2LOB1Clinician1Missed)</f>
        <v>0</v>
      </c>
      <c r="M688" s="539">
        <f>IF(calcR2LOB1Clinician1Emp3BaseProd=0,0,cbalR2LOB1AvgMissPercClinician1*paramR2LOB1Disc4Missed*paramR2LOB1Clinician1Missed)</f>
        <v>0</v>
      </c>
      <c r="N688" s="131" t="s">
        <v>6440</v>
      </c>
    </row>
    <row r="689" spans="1:14" ht="12.75" customHeight="1">
      <c r="A689" s="461"/>
      <c r="B689" s="635"/>
      <c r="C689" s="170">
        <v>2</v>
      </c>
      <c r="D689" s="131" t="s">
        <v>556</v>
      </c>
      <c r="E689" s="539">
        <f>IF(calcLOB1Clinician2Emp3BaseProd=0,0,cbalLOB1AvgMissPercClinician2*paramLOB1Disc4Missed*paramLOB1Clinician2Missed)</f>
        <v>0</v>
      </c>
      <c r="F689" s="539">
        <f>IF(calcLOB1Clinician2Emp3BaseProd=0,0,cbalLOB1AvgMissPercClinician2*paramLOB1Disc4Missed*paramLOB1Clinician2Missed)</f>
        <v>0</v>
      </c>
      <c r="G689" s="539">
        <f>IF(calcLOB1Clinician2Emp3BaseProd=0,0,cbalLOB1AvgMissPercClinician2*paramLOB1Disc4Missed*paramLOB1Clinician2Missed)</f>
        <v>0</v>
      </c>
      <c r="H689" s="131" t="s">
        <v>5150</v>
      </c>
      <c r="J689" s="131" t="s">
        <v>556</v>
      </c>
      <c r="K689" s="539">
        <f>IF(calcR2LOB1Clinician2Emp3BaseProd=0,0,cbalR2LOB1AvgMissPercClinician2*paramR2LOB1Disc4Missed*paramR2LOB1Clinician2Missed)</f>
        <v>0</v>
      </c>
      <c r="L689" s="539">
        <f>IF(calcR2LOB1Clinician2Emp3BaseProd=0,0,cbalR2LOB1AvgMissPercClinician2*paramR2LOB1Disc4Missed*paramR2LOB1Clinician2Missed)</f>
        <v>0</v>
      </c>
      <c r="M689" s="539">
        <f>IF(calcR2LOB1Clinician2Emp3BaseProd=0,0,cbalR2LOB1AvgMissPercClinician2*paramR2LOB1Disc4Missed*paramR2LOB1Clinician2Missed)</f>
        <v>0</v>
      </c>
      <c r="N689" s="131" t="s">
        <v>6441</v>
      </c>
    </row>
    <row r="690" spans="1:14" ht="12.75" customHeight="1">
      <c r="A690" s="461"/>
      <c r="B690" s="635"/>
      <c r="C690" s="170">
        <v>3</v>
      </c>
      <c r="D690" s="131" t="s">
        <v>556</v>
      </c>
      <c r="E690" s="539">
        <f>IF(calcLOB1Clinician3Emp3BaseProd=0,0,cbalLOB1AvgMissPercClinician3*paramLOB1Disc4Missed*paramLOB1Clinician3Missed)</f>
        <v>0</v>
      </c>
      <c r="F690" s="539">
        <f>IF(calcLOB1Clinician3Emp3BaseProd=0,0,cbalLOB1AvgMissPercClinician3*paramLOB1Disc4Missed*paramLOB1Clinician3Missed)</f>
        <v>0</v>
      </c>
      <c r="G690" s="539">
        <f>IF(calcLOB1Clinician3Emp3BaseProd=0,0,cbalLOB1AvgMissPercClinician3*paramLOB1Disc4Missed*paramLOB1Clinician3Missed)</f>
        <v>0</v>
      </c>
      <c r="H690" s="131" t="s">
        <v>5151</v>
      </c>
      <c r="J690" s="131" t="s">
        <v>556</v>
      </c>
      <c r="K690" s="539">
        <f>IF(calcR2LOB1Clinician3Emp3BaseProd=0,0,cbalR2LOB1AvgMissPercClinician3*paramR2LOB1Disc4Missed*paramR2LOB1Clinician3Missed)</f>
        <v>0</v>
      </c>
      <c r="L690" s="539">
        <f>IF(calcR2LOB1Clinician3Emp3BaseProd=0,0,cbalR2LOB1AvgMissPercClinician3*paramR2LOB1Disc4Missed*paramR2LOB1Clinician3Missed)</f>
        <v>0</v>
      </c>
      <c r="M690" s="539">
        <f>IF(calcR2LOB1Clinician3Emp3BaseProd=0,0,cbalR2LOB1AvgMissPercClinician3*paramR2LOB1Disc4Missed*paramR2LOB1Clinician3Missed)</f>
        <v>0</v>
      </c>
      <c r="N690" s="131" t="s">
        <v>6442</v>
      </c>
    </row>
    <row r="691" spans="1:14" ht="12.75" customHeight="1">
      <c r="A691" s="461"/>
      <c r="B691" s="635"/>
      <c r="C691" s="170">
        <v>4</v>
      </c>
      <c r="D691" s="131" t="s">
        <v>556</v>
      </c>
      <c r="E691" s="539">
        <f>IF(calcLOB1Clinician4Emp3BaseProd=0,0,cbalLOB1AvgMissPercClinician4*paramLOB1Disc4Missed*paramLOB1Clinician4Missed)</f>
        <v>0</v>
      </c>
      <c r="F691" s="539">
        <f>IF(calcLOB1Clinician4Emp3BaseProd=0,0,cbalLOB1AvgMissPercClinician4*paramLOB1Disc4Missed*paramLOB1Clinician4Missed)</f>
        <v>0</v>
      </c>
      <c r="G691" s="539">
        <f>IF(calcLOB1Clinician4Emp3BaseProd=0,0,cbalLOB1AvgMissPercClinician4*paramLOB1Disc4Missed*paramLOB1Clinician4Missed)</f>
        <v>0</v>
      </c>
      <c r="H691" s="131" t="s">
        <v>5152</v>
      </c>
      <c r="J691" s="131" t="s">
        <v>556</v>
      </c>
      <c r="K691" s="539">
        <f>IF(calcR2LOB1Clinician4Emp3BaseProd=0,0,cbalR2LOB1AvgMissPercClinician4*paramR2LOB1Disc4Missed*paramR2LOB1Clinician4Missed)</f>
        <v>0</v>
      </c>
      <c r="L691" s="539">
        <f>IF(calcR2LOB1Clinician4Emp3BaseProd=0,0,cbalR2LOB1AvgMissPercClinician4*paramR2LOB1Disc4Missed*paramR2LOB1Clinician4Missed)</f>
        <v>0</v>
      </c>
      <c r="M691" s="539">
        <f>IF(calcR2LOB1Clinician4Emp3BaseProd=0,0,cbalR2LOB1AvgMissPercClinician4*paramR2LOB1Disc4Missed*paramR2LOB1Clinician4Missed)</f>
        <v>0</v>
      </c>
      <c r="N691" s="131" t="s">
        <v>6443</v>
      </c>
    </row>
    <row r="692" spans="1:14" ht="12.75" customHeight="1">
      <c r="A692" s="461"/>
      <c r="B692" s="635"/>
      <c r="C692" s="170">
        <v>5</v>
      </c>
      <c r="D692" s="131" t="s">
        <v>556</v>
      </c>
      <c r="E692" s="539">
        <f>IF(calcLOB1Clinician5Emp3BaseProd=0,0,cbalLOB1AvgMissPercClinician5*paramLOB1Disc4Missed*paramLOB1Clinician5Missed)</f>
        <v>0</v>
      </c>
      <c r="F692" s="539">
        <f>IF(calcLOB1Clinician5Emp3BaseProd=0,0,cbalLOB1AvgMissPercClinician5*paramLOB1Disc4Missed*paramLOB1Clinician5Missed)</f>
        <v>0</v>
      </c>
      <c r="G692" s="539">
        <f>IF(calcLOB1Clinician5Emp3BaseProd=0,0,cbalLOB1AvgMissPercClinician5*paramLOB1Disc4Missed*paramLOB1Clinician5Missed)</f>
        <v>0</v>
      </c>
      <c r="H692" s="131" t="s">
        <v>5153</v>
      </c>
      <c r="J692" s="131" t="s">
        <v>556</v>
      </c>
      <c r="K692" s="539">
        <f>IF(calcR2LOB1Clinician5Emp3BaseProd=0,0,cbalR2LOB1AvgMissPercClinician5*paramR2LOB1Disc4Missed*paramR2LOB1Clinician5Missed)</f>
        <v>0</v>
      </c>
      <c r="L692" s="539">
        <f>IF(calcR2LOB1Clinician5Emp3BaseProd=0,0,cbalR2LOB1AvgMissPercClinician5*paramR2LOB1Disc4Missed*paramR2LOB1Clinician5Missed)</f>
        <v>0</v>
      </c>
      <c r="M692" s="539">
        <f>IF(calcR2LOB1Clinician5Emp3BaseProd=0,0,cbalR2LOB1AvgMissPercClinician5*paramR2LOB1Disc4Missed*paramR2LOB1Clinician5Missed)</f>
        <v>0</v>
      </c>
      <c r="N692" s="131" t="s">
        <v>6444</v>
      </c>
    </row>
    <row r="693" spans="1:14" ht="12.75" customHeight="1">
      <c r="A693" s="461"/>
      <c r="B693" s="635"/>
      <c r="C693" s="170">
        <v>6</v>
      </c>
      <c r="D693" s="131" t="s">
        <v>556</v>
      </c>
      <c r="E693" s="539">
        <f>IF(calcLOB1Clinician6Emp3BaseProd=0,0,cbalLOB1AvgMissPercClinician6*paramLOB1Disc4Missed*paramLOB1Clinician6Missed)</f>
        <v>0.13</v>
      </c>
      <c r="F693" s="539">
        <f>IF(calcLOB1Clinician6Emp3BaseProd=0,0,cbalLOB1AvgMissPercClinician6*paramLOB1Disc4Missed*paramLOB1Clinician6Missed)</f>
        <v>0.13</v>
      </c>
      <c r="G693" s="539">
        <f>IF(calcLOB1Clinician6Emp3BaseProd=0,0,cbalLOB1AvgMissPercClinician6*paramLOB1Disc4Missed*paramLOB1Clinician6Missed)</f>
        <v>0.13</v>
      </c>
      <c r="H693" s="131" t="s">
        <v>5154</v>
      </c>
      <c r="J693" s="131" t="s">
        <v>556</v>
      </c>
      <c r="K693" s="539">
        <f>IF(calcR2LOB1Clinician6Emp3BaseProd=0,0,cbalR2LOB1AvgMissPercClinician6*paramR2LOB1Disc4Missed*paramR2LOB1Clinician6Missed)</f>
        <v>0.13</v>
      </c>
      <c r="L693" s="539">
        <f>IF(calcR2LOB1Clinician6Emp3BaseProd=0,0,cbalR2LOB1AvgMissPercClinician6*paramR2LOB1Disc4Missed*paramR2LOB1Clinician6Missed)</f>
        <v>0.13</v>
      </c>
      <c r="M693" s="539">
        <f>IF(calcR2LOB1Clinician6Emp3BaseProd=0,0,cbalR2LOB1AvgMissPercClinician6*paramR2LOB1Disc4Missed*paramR2LOB1Clinician6Missed)</f>
        <v>0.13</v>
      </c>
      <c r="N693" s="131" t="s">
        <v>6445</v>
      </c>
    </row>
    <row r="694" spans="1:14" ht="12.75" customHeight="1">
      <c r="A694" s="461"/>
      <c r="B694" s="635"/>
      <c r="C694" s="170">
        <v>7</v>
      </c>
      <c r="D694" s="131" t="s">
        <v>556</v>
      </c>
      <c r="E694" s="539">
        <f>IF(calcLOB1Clinician7Emp3BaseProd=0,0,cbalLOB1AvgMissPercClinician7*paramLOB1Disc4Missed*paramLOB1Clinician7Missed)</f>
        <v>0.06</v>
      </c>
      <c r="F694" s="539">
        <f>IF(calcLOB1Clinician7Emp3BaseProd=0,0,cbalLOB1AvgMissPercClinician7*paramLOB1Disc4Missed*paramLOB1Clinician7Missed)</f>
        <v>0.06</v>
      </c>
      <c r="G694" s="539">
        <f>IF(calcLOB1Clinician7Emp3BaseProd=0,0,cbalLOB1AvgMissPercClinician7*paramLOB1Disc4Missed*paramLOB1Clinician7Missed)</f>
        <v>0.06</v>
      </c>
      <c r="H694" s="131" t="s">
        <v>5155</v>
      </c>
      <c r="J694" s="131" t="s">
        <v>556</v>
      </c>
      <c r="K694" s="539">
        <f>IF(calcR2LOB1Clinician7Emp3BaseProd=0,0,cbalR2LOB1AvgMissPercClinician7*paramR2LOB1Disc4Missed*paramR2LOB1Clinician7Missed)</f>
        <v>0.06</v>
      </c>
      <c r="L694" s="539">
        <f>IF(calcR2LOB1Clinician7Emp3BaseProd=0,0,cbalR2LOB1AvgMissPercClinician7*paramR2LOB1Disc4Missed*paramR2LOB1Clinician7Missed)</f>
        <v>0.06</v>
      </c>
      <c r="M694" s="539">
        <f>IF(calcR2LOB1Clinician7Emp3BaseProd=0,0,cbalR2LOB1AvgMissPercClinician7*paramR2LOB1Disc4Missed*paramR2LOB1Clinician7Missed)</f>
        <v>0.06</v>
      </c>
      <c r="N694" s="131" t="s">
        <v>6446</v>
      </c>
    </row>
    <row r="695" spans="1:14" ht="12.75" customHeight="1">
      <c r="A695" s="461"/>
      <c r="B695" s="635"/>
      <c r="C695" s="170">
        <v>8</v>
      </c>
      <c r="D695" s="131" t="s">
        <v>556</v>
      </c>
      <c r="E695" s="539">
        <f>IF(calcLOB1Clinician8Emp3BaseProd=0,0,cbalLOB1AvgMissPercClinician8*paramLOB1Disc4Missed*paramLOB1Clinician8Missed)</f>
        <v>0.14000000000000001</v>
      </c>
      <c r="F695" s="539">
        <f>IF(calcLOB1Clinician8Emp3BaseProd=0,0,cbalLOB1AvgMissPercClinician8*paramLOB1Disc4Missed*paramLOB1Clinician8Missed)</f>
        <v>0.14000000000000001</v>
      </c>
      <c r="G695" s="539">
        <f>IF(calcLOB1Clinician8Emp3BaseProd=0,0,cbalLOB1AvgMissPercClinician8*paramLOB1Disc4Missed*paramLOB1Clinician8Missed)</f>
        <v>0.14000000000000001</v>
      </c>
      <c r="H695" s="131" t="s">
        <v>5156</v>
      </c>
      <c r="J695" s="131" t="s">
        <v>556</v>
      </c>
      <c r="K695" s="539">
        <f>IF(calcR2LOB1Clinician8Emp3BaseProd=0,0,cbalR2LOB1AvgMissPercClinician8*paramR2LOB1Disc4Missed*paramR2LOB1Clinician8Missed)</f>
        <v>0.14000000000000001</v>
      </c>
      <c r="L695" s="539">
        <f>IF(calcR2LOB1Clinician8Emp3BaseProd=0,0,cbalR2LOB1AvgMissPercClinician8*paramR2LOB1Disc4Missed*paramR2LOB1Clinician8Missed)</f>
        <v>0.14000000000000001</v>
      </c>
      <c r="M695" s="539">
        <f>IF(calcR2LOB1Clinician8Emp3BaseProd=0,0,cbalR2LOB1AvgMissPercClinician8*paramR2LOB1Disc4Missed*paramR2LOB1Clinician8Missed)</f>
        <v>0.14000000000000001</v>
      </c>
      <c r="N695" s="131" t="s">
        <v>6447</v>
      </c>
    </row>
    <row r="696" spans="1:14" ht="12.75" customHeight="1">
      <c r="A696" s="461"/>
      <c r="B696" s="635"/>
      <c r="C696" s="170">
        <v>9</v>
      </c>
      <c r="D696" s="131" t="s">
        <v>556</v>
      </c>
      <c r="E696" s="539">
        <f>IF(calcLOB1Clinician9Emp3BaseProd=0,0,cbalLOB1AvgMissPercClinician9*paramLOB1Disc4Missed*paramLOB1Clinician9Missed)</f>
        <v>0.03</v>
      </c>
      <c r="F696" s="539">
        <f>IF(calcLOB1Clinician9Emp3BaseProd=0,0,cbalLOB1AvgMissPercClinician9*paramLOB1Disc4Missed*paramLOB1Clinician9Missed)</f>
        <v>0.03</v>
      </c>
      <c r="G696" s="539">
        <f>IF(calcLOB1Clinician9Emp3BaseProd=0,0,cbalLOB1AvgMissPercClinician9*paramLOB1Disc4Missed*paramLOB1Clinician9Missed)</f>
        <v>0.03</v>
      </c>
      <c r="H696" s="131" t="s">
        <v>5157</v>
      </c>
      <c r="J696" s="131" t="s">
        <v>556</v>
      </c>
      <c r="K696" s="539">
        <f>IF(calcR2LOB1Clinician9Emp3BaseProd=0,0,cbalR2LOB1AvgMissPercClinician9*paramR2LOB1Disc4Missed*paramR2LOB1Clinician9Missed)</f>
        <v>0.03</v>
      </c>
      <c r="L696" s="539">
        <f>IF(calcR2LOB1Clinician9Emp3BaseProd=0,0,cbalR2LOB1AvgMissPercClinician9*paramR2LOB1Disc4Missed*paramR2LOB1Clinician9Missed)</f>
        <v>0.03</v>
      </c>
      <c r="M696" s="539">
        <f>IF(calcR2LOB1Clinician9Emp3BaseProd=0,0,cbalR2LOB1AvgMissPercClinician9*paramR2LOB1Disc4Missed*paramR2LOB1Clinician9Missed)</f>
        <v>0.03</v>
      </c>
      <c r="N696" s="131" t="s">
        <v>6448</v>
      </c>
    </row>
    <row r="697" spans="1:14" ht="12.75" customHeight="1">
      <c r="A697" s="461"/>
      <c r="B697" s="635"/>
      <c r="C697" s="170">
        <v>10</v>
      </c>
      <c r="D697" s="131" t="s">
        <v>556</v>
      </c>
      <c r="E697" s="539">
        <f>IF(calcLOB1Clinician10Emp3BaseProd=0,0,cbalLOB1AvgMissPercClinician10*paramLOB1Disc4Missed*paramLOB1Clinician10Missed)</f>
        <v>0</v>
      </c>
      <c r="F697" s="539">
        <f>IF(calcLOB1Clinician10Emp3BaseProd=0,0,cbalLOB1AvgMissPercClinician10*paramLOB1Disc4Missed*paramLOB1Clinician10Missed)</f>
        <v>0</v>
      </c>
      <c r="G697" s="539">
        <f>IF(calcLOB1Clinician10Emp3BaseProd=0,0,cbalLOB1AvgMissPercClinician10*paramLOB1Disc4Missed*paramLOB1Clinician10Missed)</f>
        <v>0</v>
      </c>
      <c r="H697" s="131" t="s">
        <v>5158</v>
      </c>
      <c r="J697" s="131" t="s">
        <v>556</v>
      </c>
      <c r="K697" s="539">
        <f>IF(calcR2LOB1Clinician10Emp3BaseProd=0,0,cbalR2LOB1AvgMissPercClinician10*paramR2LOB1Disc4Missed*paramR2LOB1Clinician10Missed)</f>
        <v>0</v>
      </c>
      <c r="L697" s="539">
        <f>IF(calcR2LOB1Clinician10Emp3BaseProd=0,0,cbalR2LOB1AvgMissPercClinician10*paramR2LOB1Disc4Missed*paramR2LOB1Clinician10Missed)</f>
        <v>0</v>
      </c>
      <c r="M697" s="539">
        <f>IF(calcR2LOB1Clinician10Emp3BaseProd=0,0,cbalR2LOB1AvgMissPercClinician10*paramR2LOB1Disc4Missed*paramR2LOB1Clinician10Missed)</f>
        <v>0</v>
      </c>
      <c r="N697" s="131" t="s">
        <v>6449</v>
      </c>
    </row>
    <row r="698" spans="1:14" ht="12.75" customHeight="1">
      <c r="A698" s="461"/>
      <c r="B698" s="635"/>
      <c r="C698" s="170">
        <v>11</v>
      </c>
      <c r="D698" s="131" t="s">
        <v>556</v>
      </c>
      <c r="E698" s="539">
        <f>IF(calcLOB1Clinician11Emp3BaseProd=0,0,cbalLOB1AvgMissPercClinician11*paramLOB1Disc4Missed*paramLOB1Clinician11Missed)</f>
        <v>0</v>
      </c>
      <c r="F698" s="539">
        <f>IF(calcLOB1Clinician11Emp3BaseProd=0,0,cbalLOB1AvgMissPercClinician11*paramLOB1Disc4Missed*paramLOB1Clinician11Missed)</f>
        <v>0</v>
      </c>
      <c r="G698" s="539">
        <f>IF(calcLOB1Clinician11Emp3BaseProd=0,0,cbalLOB1AvgMissPercClinician11*paramLOB1Disc4Missed*paramLOB1Clinician11Missed)</f>
        <v>0</v>
      </c>
      <c r="H698" s="131" t="s">
        <v>5159</v>
      </c>
      <c r="J698" s="131" t="s">
        <v>556</v>
      </c>
      <c r="K698" s="539">
        <f>IF(calcR2LOB1Clinician11Emp3BaseProd=0,0,cbalR2LOB1AvgMissPercClinician11*paramR2LOB1Disc4Missed*paramR2LOB1Clinician11Missed)</f>
        <v>0</v>
      </c>
      <c r="L698" s="539">
        <f>IF(calcR2LOB1Clinician11Emp3BaseProd=0,0,cbalR2LOB1AvgMissPercClinician11*paramR2LOB1Disc4Missed*paramR2LOB1Clinician11Missed)</f>
        <v>0</v>
      </c>
      <c r="M698" s="539">
        <f>IF(calcR2LOB1Clinician11Emp3BaseProd=0,0,cbalR2LOB1AvgMissPercClinician11*paramR2LOB1Disc4Missed*paramR2LOB1Clinician11Missed)</f>
        <v>0</v>
      </c>
      <c r="N698" s="131" t="s">
        <v>6450</v>
      </c>
    </row>
    <row r="699" spans="1:14" ht="12.75" customHeight="1">
      <c r="A699" s="461"/>
      <c r="B699" s="635"/>
      <c r="C699" s="170">
        <v>12</v>
      </c>
      <c r="D699" s="131" t="s">
        <v>556</v>
      </c>
      <c r="E699" s="539">
        <f>IF(calcLOB1Clinician12Emp3BaseProd=0,0,cbalLOB1AvgMissPercClinician12*paramLOB1Disc4Missed*paramLOB1Clinician12Missed)</f>
        <v>0</v>
      </c>
      <c r="F699" s="539">
        <f>IF(calcLOB1Clinician12Emp3BaseProd=0,0,cbalLOB1AvgMissPercClinician12*paramLOB1Disc4Missed*paramLOB1Clinician12Missed)</f>
        <v>0</v>
      </c>
      <c r="G699" s="539">
        <f>IF(calcLOB1Clinician12Emp3BaseProd=0,0,cbalLOB1AvgMissPercClinician12*paramLOB1Disc4Missed*paramLOB1Clinician12Missed)</f>
        <v>0</v>
      </c>
      <c r="H699" s="131" t="s">
        <v>5160</v>
      </c>
      <c r="J699" s="131" t="s">
        <v>556</v>
      </c>
      <c r="K699" s="539">
        <f>IF(calcR2LOB1Clinician12Emp3BaseProd=0,0,cbalR2LOB1AvgMissPercClinician12*paramR2LOB1Disc4Missed*paramR2LOB1Clinician12Missed)</f>
        <v>0</v>
      </c>
      <c r="L699" s="539">
        <f>IF(calcR2LOB1Clinician12Emp3BaseProd=0,0,cbalR2LOB1AvgMissPercClinician12*paramR2LOB1Disc4Missed*paramR2LOB1Clinician12Missed)</f>
        <v>0</v>
      </c>
      <c r="M699" s="539">
        <f>IF(calcR2LOB1Clinician12Emp3BaseProd=0,0,cbalR2LOB1AvgMissPercClinician12*paramR2LOB1Disc4Missed*paramR2LOB1Clinician12Missed)</f>
        <v>0</v>
      </c>
      <c r="N699" s="131" t="s">
        <v>6451</v>
      </c>
    </row>
    <row r="700" spans="1:14" ht="12.75" customHeight="1">
      <c r="A700" s="461"/>
      <c r="B700" s="635"/>
      <c r="D700" s="131" t="s">
        <v>556</v>
      </c>
      <c r="E700" s="644">
        <f>IF(calcLOB1Clinician15Emp3BaseProd=0,0,cbalLOB1AvgMissPercClinician15*paramLOB1Disc4Missed)</f>
        <v>0.05</v>
      </c>
      <c r="F700" s="644">
        <f>IF(calcLOB1Clinician15Emp3BaseProd=0,0,cbalLOB1AvgMissPercClinician15*paramLOB1Disc4Missed)</f>
        <v>0.05</v>
      </c>
      <c r="G700" s="644">
        <f>IF(calcLOB1Clinician15Emp3BaseProd=0,0,cbalLOB1AvgMissPercClinician15*paramLOB1Disc4Missed)</f>
        <v>0.05</v>
      </c>
      <c r="H700" s="131" t="s">
        <v>5161</v>
      </c>
      <c r="J700" s="131" t="s">
        <v>556</v>
      </c>
      <c r="K700" s="644">
        <f>IF(calcR2LOB1Clinician15Emp3BaseProd=0,0,cbalR2LOB1AvgMissPercClinician15*paramR2LOB1Disc4Missed)</f>
        <v>0.05</v>
      </c>
      <c r="L700" s="644">
        <f>IF(calcR2LOB1Clinician15Emp3BaseProd=0,0,cbalR2LOB1AvgMissPercClinician15*paramR2LOB1Disc4Missed)</f>
        <v>0.05</v>
      </c>
      <c r="M700" s="644">
        <f>IF(calcR2LOB1Clinician15Emp3BaseProd=0,0,cbalR2LOB1AvgMissPercClinician15*paramR2LOB1Disc4Missed)</f>
        <v>0.05</v>
      </c>
      <c r="N700" s="131" t="s">
        <v>6452</v>
      </c>
    </row>
    <row r="701" spans="1:14" ht="12.75" customHeight="1">
      <c r="A701" s="461"/>
      <c r="B701" s="635"/>
      <c r="D701" s="131"/>
      <c r="E701" s="452"/>
      <c r="F701" s="452"/>
      <c r="G701" s="452"/>
      <c r="J701" s="131"/>
      <c r="K701" s="452"/>
      <c r="L701" s="452"/>
      <c r="M701" s="452"/>
    </row>
    <row r="702" spans="1:14" ht="12.75" customHeight="1">
      <c r="A702" s="461"/>
      <c r="B702" s="460"/>
      <c r="C702" s="131" t="s">
        <v>1615</v>
      </c>
    </row>
    <row r="703" spans="1:14" ht="12.75" customHeight="1">
      <c r="A703" s="461"/>
      <c r="B703" s="460"/>
      <c r="C703" s="170">
        <v>1</v>
      </c>
      <c r="D703" s="131" t="s">
        <v>556</v>
      </c>
      <c r="E703" s="539">
        <f>IF(calcLOB1Clinician1Emp3BaseProd=0,0,cbalLOB1AvgMissPercClinician1+(calcLOB1Clinician1Emp3GrossProd/calcLOB1Clinician1Emp3BaseProd-1)/paramTimeConversion)</f>
        <v>0</v>
      </c>
      <c r="F703" s="539">
        <f>IF(calcLOB1Clinician1Emp3BaseProd=0,0,cbalLOB1AvgMissPercClinician1+(calcLOB1Clinician1Emp3GrossProd/calcLOB1Clinician1Emp3BaseProd-1)/paramTimeConversion)</f>
        <v>0</v>
      </c>
      <c r="G703" s="539">
        <f>IF(calcLOB1Clinician1Emp3BaseProd=0,0,cbalLOB1AvgMissPercClinician1+(calcLOB1Clinician1Emp3GrossProd/calcLOB1Clinician1Emp3BaseProd-1)/paramTimeConversion)</f>
        <v>0</v>
      </c>
      <c r="H703" s="131" t="s">
        <v>3879</v>
      </c>
      <c r="J703" s="131" t="s">
        <v>556</v>
      </c>
      <c r="K703" s="539">
        <f>IF(calcR2LOB1Clinician1Emp3BaseProd=0,0,cbalR2LOB1AvgMissPercClinician1+(calcR2LOB1Clinician1Emp3GrossProd/calcR2LOB1Clinician1Emp3BaseProd-1)/paramR2TimeConversion)</f>
        <v>0</v>
      </c>
      <c r="L703" s="539">
        <f>IF(calcR2LOB1Clinician1Emp3BaseProd=0,0,cbalR2LOB1AvgMissPercClinician1+(calcR2LOB1Clinician1Emp3GrossProd/calcR2LOB1Clinician1Emp3BaseProd-1)/paramR2TimeConversion)</f>
        <v>0</v>
      </c>
      <c r="M703" s="539">
        <f>IF(calcR2LOB1Clinician1Emp3BaseProd=0,0,cbalR2LOB1AvgMissPercClinician1+(calcR2LOB1Clinician1Emp3GrossProd/calcR2LOB1Clinician1Emp3BaseProd-1)/paramR2TimeConversion)</f>
        <v>0</v>
      </c>
      <c r="N703" s="131" t="s">
        <v>6453</v>
      </c>
    </row>
    <row r="704" spans="1:14" ht="12.75" customHeight="1">
      <c r="A704" s="461"/>
      <c r="B704" s="460"/>
      <c r="C704" s="170">
        <v>2</v>
      </c>
      <c r="D704" s="131" t="s">
        <v>556</v>
      </c>
      <c r="E704" s="539">
        <f>IF(calcLOB1Clinician2Emp3BaseProd=0,0,cbalLOB1AvgMissPercClinician2+(calcLOB1Clinician2Emp3GrossProd/calcLOB1Clinician2Emp3BaseProd-1)/paramTimeConversion)</f>
        <v>0</v>
      </c>
      <c r="F704" s="539">
        <f>IF(calcLOB1Clinician2Emp3BaseProd=0,0,cbalLOB1AvgMissPercClinician2+(calcLOB1Clinician2Emp3GrossProd/calcLOB1Clinician2Emp3BaseProd-1)/paramTimeConversion)</f>
        <v>0</v>
      </c>
      <c r="G704" s="539">
        <f>IF(calcLOB1Clinician2Emp3BaseProd=0,0,cbalLOB1AvgMissPercClinician2+(calcLOB1Clinician2Emp3GrossProd/calcLOB1Clinician2Emp3BaseProd-1)/paramTimeConversion)</f>
        <v>0</v>
      </c>
      <c r="H704" s="131" t="s">
        <v>3880</v>
      </c>
      <c r="J704" s="131" t="s">
        <v>556</v>
      </c>
      <c r="K704" s="539">
        <f>IF(calcR2LOB1Clinician2Emp3BaseProd=0,0,cbalR2LOB1AvgMissPercClinician2+(calcR2LOB1Clinician2Emp3GrossProd/calcR2LOB1Clinician2Emp3BaseProd-1)/paramR2TimeConversion)</f>
        <v>0</v>
      </c>
      <c r="L704" s="539">
        <f>IF(calcR2LOB1Clinician2Emp3BaseProd=0,0,cbalR2LOB1AvgMissPercClinician2+(calcR2LOB1Clinician2Emp3GrossProd/calcR2LOB1Clinician2Emp3BaseProd-1)/paramR2TimeConversion)</f>
        <v>0</v>
      </c>
      <c r="M704" s="539">
        <f>IF(calcR2LOB1Clinician2Emp3BaseProd=0,0,cbalR2LOB1AvgMissPercClinician2+(calcR2LOB1Clinician2Emp3GrossProd/calcR2LOB1Clinician2Emp3BaseProd-1)/paramR2TimeConversion)</f>
        <v>0</v>
      </c>
      <c r="N704" s="131" t="s">
        <v>6454</v>
      </c>
    </row>
    <row r="705" spans="1:14" ht="12.75" customHeight="1">
      <c r="A705" s="461"/>
      <c r="B705" s="460"/>
      <c r="C705" s="170">
        <v>3</v>
      </c>
      <c r="D705" s="131" t="s">
        <v>556</v>
      </c>
      <c r="E705" s="539">
        <f>IF(calcLOB1Clinician3Emp3BaseProd=0,0,cbalLOB1AvgMissPercClinician3+(calcLOB1Clinician3Emp3GrossProd/calcLOB1Clinician3Emp3BaseProd-1)/paramTimeConversion)</f>
        <v>0</v>
      </c>
      <c r="F705" s="539">
        <f>IF(calcLOB1Clinician3Emp3BaseProd=0,0,cbalLOB1AvgMissPercClinician3+(calcLOB1Clinician3Emp3GrossProd/calcLOB1Clinician3Emp3BaseProd-1)/paramTimeConversion)</f>
        <v>0</v>
      </c>
      <c r="G705" s="539">
        <f>IF(calcLOB1Clinician3Emp3BaseProd=0,0,cbalLOB1AvgMissPercClinician3+(calcLOB1Clinician3Emp3GrossProd/calcLOB1Clinician3Emp3BaseProd-1)/paramTimeConversion)</f>
        <v>0</v>
      </c>
      <c r="H705" s="131" t="s">
        <v>3881</v>
      </c>
      <c r="J705" s="131" t="s">
        <v>556</v>
      </c>
      <c r="K705" s="539">
        <f>IF(calcR2LOB1Clinician3Emp3BaseProd=0,0,cbalR2LOB1AvgMissPercClinician3+(calcR2LOB1Clinician3Emp3GrossProd/calcR2LOB1Clinician3Emp3BaseProd-1)/paramR2TimeConversion)</f>
        <v>0</v>
      </c>
      <c r="L705" s="539">
        <f>IF(calcR2LOB1Clinician3Emp3BaseProd=0,0,cbalR2LOB1AvgMissPercClinician3+(calcR2LOB1Clinician3Emp3GrossProd/calcR2LOB1Clinician3Emp3BaseProd-1)/paramR2TimeConversion)</f>
        <v>0</v>
      </c>
      <c r="M705" s="539">
        <f>IF(calcR2LOB1Clinician3Emp3BaseProd=0,0,cbalR2LOB1AvgMissPercClinician3+(calcR2LOB1Clinician3Emp3GrossProd/calcR2LOB1Clinician3Emp3BaseProd-1)/paramR2TimeConversion)</f>
        <v>0</v>
      </c>
      <c r="N705" s="131" t="s">
        <v>6455</v>
      </c>
    </row>
    <row r="706" spans="1:14" ht="12.75" customHeight="1">
      <c r="A706" s="461"/>
      <c r="B706" s="460"/>
      <c r="C706" s="170">
        <v>4</v>
      </c>
      <c r="D706" s="131" t="s">
        <v>556</v>
      </c>
      <c r="E706" s="539">
        <f>IF(calcLOB1Clinician4Emp3BaseProd=0,0,cbalLOB1AvgMissPercClinician4+(calcLOB1Clinician4Emp3GrossProd/calcLOB1Clinician4Emp3BaseProd-1)/paramTimeConversion)</f>
        <v>0</v>
      </c>
      <c r="F706" s="539">
        <f>IF(calcLOB1Clinician4Emp3BaseProd=0,0,cbalLOB1AvgMissPercClinician4+(calcLOB1Clinician4Emp3GrossProd/calcLOB1Clinician4Emp3BaseProd-1)/paramTimeConversion)</f>
        <v>0</v>
      </c>
      <c r="G706" s="539">
        <f>IF(calcLOB1Clinician4Emp3BaseProd=0,0,cbalLOB1AvgMissPercClinician4+(calcLOB1Clinician4Emp3GrossProd/calcLOB1Clinician4Emp3BaseProd-1)/paramTimeConversion)</f>
        <v>0</v>
      </c>
      <c r="H706" s="131" t="s">
        <v>3882</v>
      </c>
      <c r="J706" s="131" t="s">
        <v>556</v>
      </c>
      <c r="K706" s="539">
        <f>IF(calcR2LOB1Clinician4Emp3BaseProd=0,0,cbalR2LOB1AvgMissPercClinician4+(calcR2LOB1Clinician4Emp3GrossProd/calcR2LOB1Clinician4Emp3BaseProd-1)/paramR2TimeConversion)</f>
        <v>0</v>
      </c>
      <c r="L706" s="539">
        <f>IF(calcR2LOB1Clinician4Emp3BaseProd=0,0,cbalR2LOB1AvgMissPercClinician4+(calcR2LOB1Clinician4Emp3GrossProd/calcR2LOB1Clinician4Emp3BaseProd-1)/paramR2TimeConversion)</f>
        <v>0</v>
      </c>
      <c r="M706" s="539">
        <f>IF(calcR2LOB1Clinician4Emp3BaseProd=0,0,cbalR2LOB1AvgMissPercClinician4+(calcR2LOB1Clinician4Emp3GrossProd/calcR2LOB1Clinician4Emp3BaseProd-1)/paramR2TimeConversion)</f>
        <v>0</v>
      </c>
      <c r="N706" s="131" t="s">
        <v>6456</v>
      </c>
    </row>
    <row r="707" spans="1:14" ht="12.75" customHeight="1">
      <c r="A707" s="461"/>
      <c r="B707" s="460"/>
      <c r="C707" s="170">
        <v>5</v>
      </c>
      <c r="D707" s="131" t="s">
        <v>556</v>
      </c>
      <c r="E707" s="539">
        <f>IF(calcLOB1Clinician5Emp3BaseProd=0,0,cbalLOB1AvgMissPercClinician5+(calcLOB1Clinician5Emp3GrossProd/calcLOB1Clinician5Emp3BaseProd-1)/paramTimeConversion)</f>
        <v>0</v>
      </c>
      <c r="F707" s="539">
        <f>IF(calcLOB1Clinician5Emp3BaseProd=0,0,cbalLOB1AvgMissPercClinician5+(calcLOB1Clinician5Emp3GrossProd/calcLOB1Clinician5Emp3BaseProd-1)/paramTimeConversion)</f>
        <v>0</v>
      </c>
      <c r="G707" s="539">
        <f>IF(calcLOB1Clinician5Emp3BaseProd=0,0,cbalLOB1AvgMissPercClinician5+(calcLOB1Clinician5Emp3GrossProd/calcLOB1Clinician5Emp3BaseProd-1)/paramTimeConversion)</f>
        <v>0</v>
      </c>
      <c r="H707" s="131" t="s">
        <v>3883</v>
      </c>
      <c r="J707" s="131" t="s">
        <v>556</v>
      </c>
      <c r="K707" s="539">
        <f>IF(calcR2LOB1Clinician5Emp3BaseProd=0,0,cbalR2LOB1AvgMissPercClinician5+(calcR2LOB1Clinician5Emp3GrossProd/calcR2LOB1Clinician5Emp3BaseProd-1)/paramR2TimeConversion)</f>
        <v>0</v>
      </c>
      <c r="L707" s="539">
        <f>IF(calcR2LOB1Clinician5Emp3BaseProd=0,0,cbalR2LOB1AvgMissPercClinician5+(calcR2LOB1Clinician5Emp3GrossProd/calcR2LOB1Clinician5Emp3BaseProd-1)/paramR2TimeConversion)</f>
        <v>0</v>
      </c>
      <c r="M707" s="539">
        <f>IF(calcR2LOB1Clinician5Emp3BaseProd=0,0,cbalR2LOB1AvgMissPercClinician5+(calcR2LOB1Clinician5Emp3GrossProd/calcR2LOB1Clinician5Emp3BaseProd-1)/paramR2TimeConversion)</f>
        <v>0</v>
      </c>
      <c r="N707" s="131" t="s">
        <v>6457</v>
      </c>
    </row>
    <row r="708" spans="1:14" ht="12.75" customHeight="1">
      <c r="A708" s="461"/>
      <c r="B708" s="460"/>
      <c r="C708" s="170">
        <v>6</v>
      </c>
      <c r="D708" s="131" t="s">
        <v>556</v>
      </c>
      <c r="E708" s="539">
        <f>IF(calcLOB1Clinician6Emp3BaseProd=0,0,cbalLOB1AvgMissPercClinician6+(calcLOB1Clinician6Emp3GrossProd/calcLOB1Clinician6Emp3BaseProd-1)/paramTimeConversion)</f>
        <v>0.13</v>
      </c>
      <c r="F708" s="539">
        <f>IF(calcLOB1Clinician6Emp3BaseProd=0,0,cbalLOB1AvgMissPercClinician6+(calcLOB1Clinician6Emp3GrossProd/calcLOB1Clinician6Emp3BaseProd-1)/paramTimeConversion)</f>
        <v>0.13</v>
      </c>
      <c r="G708" s="539">
        <f>IF(calcLOB1Clinician6Emp3BaseProd=0,0,cbalLOB1AvgMissPercClinician6+(calcLOB1Clinician6Emp3GrossProd/calcLOB1Clinician6Emp3BaseProd-1)/paramTimeConversion)</f>
        <v>0.13</v>
      </c>
      <c r="H708" s="131" t="s">
        <v>3884</v>
      </c>
      <c r="J708" s="131" t="s">
        <v>556</v>
      </c>
      <c r="K708" s="539">
        <f>IF(calcR2LOB1Clinician6Emp3BaseProd=0,0,cbalR2LOB1AvgMissPercClinician6+(calcR2LOB1Clinician6Emp3GrossProd/calcR2LOB1Clinician6Emp3BaseProd-1)/paramR2TimeConversion)</f>
        <v>0.13</v>
      </c>
      <c r="L708" s="539">
        <f>IF(calcR2LOB1Clinician6Emp3BaseProd=0,0,cbalR2LOB1AvgMissPercClinician6+(calcR2LOB1Clinician6Emp3GrossProd/calcR2LOB1Clinician6Emp3BaseProd-1)/paramR2TimeConversion)</f>
        <v>0.13</v>
      </c>
      <c r="M708" s="539">
        <f>IF(calcR2LOB1Clinician6Emp3BaseProd=0,0,cbalR2LOB1AvgMissPercClinician6+(calcR2LOB1Clinician6Emp3GrossProd/calcR2LOB1Clinician6Emp3BaseProd-1)/paramR2TimeConversion)</f>
        <v>0.13</v>
      </c>
      <c r="N708" s="131" t="s">
        <v>6458</v>
      </c>
    </row>
    <row r="709" spans="1:14" ht="12.75" customHeight="1">
      <c r="A709" s="461"/>
      <c r="B709" s="460"/>
      <c r="C709" s="170">
        <v>7</v>
      </c>
      <c r="D709" s="131" t="s">
        <v>556</v>
      </c>
      <c r="E709" s="539">
        <f>IF(calcLOB1Clinician7Emp3BaseProd=0,0,cbalLOB1AvgMissPercClinician7+(calcLOB1Clinician7Emp3GrossProd/calcLOB1Clinician7Emp3BaseProd-1)/paramTimeConversion)</f>
        <v>0.06</v>
      </c>
      <c r="F709" s="539">
        <f>IF(calcLOB1Clinician7Emp3BaseProd=0,0,cbalLOB1AvgMissPercClinician7+(calcLOB1Clinician7Emp3GrossProd/calcLOB1Clinician7Emp3BaseProd-1)/paramTimeConversion)</f>
        <v>0.06</v>
      </c>
      <c r="G709" s="539">
        <f>IF(calcLOB1Clinician7Emp3BaseProd=0,0,cbalLOB1AvgMissPercClinician7+(calcLOB1Clinician7Emp3GrossProd/calcLOB1Clinician7Emp3BaseProd-1)/paramTimeConversion)</f>
        <v>0.06</v>
      </c>
      <c r="H709" s="131" t="s">
        <v>3885</v>
      </c>
      <c r="J709" s="131" t="s">
        <v>556</v>
      </c>
      <c r="K709" s="539">
        <f>IF(calcR2LOB1Clinician7Emp3BaseProd=0,0,cbalR2LOB1AvgMissPercClinician7+(calcR2LOB1Clinician7Emp3GrossProd/calcR2LOB1Clinician7Emp3BaseProd-1)/paramR2TimeConversion)</f>
        <v>0.06</v>
      </c>
      <c r="L709" s="539">
        <f>IF(calcR2LOB1Clinician7Emp3BaseProd=0,0,cbalR2LOB1AvgMissPercClinician7+(calcR2LOB1Clinician7Emp3GrossProd/calcR2LOB1Clinician7Emp3BaseProd-1)/paramR2TimeConversion)</f>
        <v>0.06</v>
      </c>
      <c r="M709" s="539">
        <f>IF(calcR2LOB1Clinician7Emp3BaseProd=0,0,cbalR2LOB1AvgMissPercClinician7+(calcR2LOB1Clinician7Emp3GrossProd/calcR2LOB1Clinician7Emp3BaseProd-1)/paramR2TimeConversion)</f>
        <v>0.06</v>
      </c>
      <c r="N709" s="131" t="s">
        <v>6459</v>
      </c>
    </row>
    <row r="710" spans="1:14" ht="12.75" customHeight="1">
      <c r="A710" s="461"/>
      <c r="B710" s="460"/>
      <c r="C710" s="170">
        <v>8</v>
      </c>
      <c r="D710" s="131" t="s">
        <v>556</v>
      </c>
      <c r="E710" s="539">
        <f>IF(calcLOB1Clinician8Emp3BaseProd=0,0,cbalLOB1AvgMissPercClinician8+(calcLOB1Clinician8Emp3GrossProd/calcLOB1Clinician8Emp3BaseProd-1)/paramTimeConversion)</f>
        <v>0.14000000000000001</v>
      </c>
      <c r="F710" s="539">
        <f>IF(calcLOB1Clinician8Emp3BaseProd=0,0,cbalLOB1AvgMissPercClinician8+(calcLOB1Clinician8Emp3GrossProd/calcLOB1Clinician8Emp3BaseProd-1)/paramTimeConversion)</f>
        <v>0.14000000000000001</v>
      </c>
      <c r="G710" s="539">
        <f>IF(calcLOB1Clinician8Emp3BaseProd=0,0,cbalLOB1AvgMissPercClinician8+(calcLOB1Clinician8Emp3GrossProd/calcLOB1Clinician8Emp3BaseProd-1)/paramTimeConversion)</f>
        <v>0.14000000000000001</v>
      </c>
      <c r="H710" s="131" t="s">
        <v>3886</v>
      </c>
      <c r="J710" s="131" t="s">
        <v>556</v>
      </c>
      <c r="K710" s="539">
        <f>IF(calcR2LOB1Clinician8Emp3BaseProd=0,0,cbalR2LOB1AvgMissPercClinician8+(calcR2LOB1Clinician8Emp3GrossProd/calcR2LOB1Clinician8Emp3BaseProd-1)/paramR2TimeConversion)</f>
        <v>0.14000000000000001</v>
      </c>
      <c r="L710" s="539">
        <f>IF(calcR2LOB1Clinician8Emp3BaseProd=0,0,cbalR2LOB1AvgMissPercClinician8+(calcR2LOB1Clinician8Emp3GrossProd/calcR2LOB1Clinician8Emp3BaseProd-1)/paramR2TimeConversion)</f>
        <v>0.14000000000000001</v>
      </c>
      <c r="M710" s="539">
        <f>IF(calcR2LOB1Clinician8Emp3BaseProd=0,0,cbalR2LOB1AvgMissPercClinician8+(calcR2LOB1Clinician8Emp3GrossProd/calcR2LOB1Clinician8Emp3BaseProd-1)/paramR2TimeConversion)</f>
        <v>0.14000000000000001</v>
      </c>
      <c r="N710" s="131" t="s">
        <v>6460</v>
      </c>
    </row>
    <row r="711" spans="1:14" ht="12.75" customHeight="1">
      <c r="A711" s="461"/>
      <c r="B711" s="460"/>
      <c r="C711" s="170">
        <v>9</v>
      </c>
      <c r="D711" s="131" t="s">
        <v>556</v>
      </c>
      <c r="E711" s="539">
        <f>IF(calcLOB1Clinician9Emp3BaseProd=0,0,cbalLOB1AvgMissPercClinician9+(calcLOB1Clinician9Emp3GrossProd/calcLOB1Clinician9Emp3BaseProd-1)/paramTimeConversion)</f>
        <v>0.03</v>
      </c>
      <c r="F711" s="539">
        <f>IF(calcLOB1Clinician9Emp3BaseProd=0,0,cbalLOB1AvgMissPercClinician9+(calcLOB1Clinician9Emp3GrossProd/calcLOB1Clinician9Emp3BaseProd-1)/paramTimeConversion)</f>
        <v>0.03</v>
      </c>
      <c r="G711" s="539">
        <f>IF(calcLOB1Clinician9Emp3BaseProd=0,0,cbalLOB1AvgMissPercClinician9+(calcLOB1Clinician9Emp3GrossProd/calcLOB1Clinician9Emp3BaseProd-1)/paramTimeConversion)</f>
        <v>0.03</v>
      </c>
      <c r="H711" s="131" t="s">
        <v>3887</v>
      </c>
      <c r="J711" s="131" t="s">
        <v>556</v>
      </c>
      <c r="K711" s="539">
        <f>IF(calcR2LOB1Clinician9Emp3BaseProd=0,0,cbalR2LOB1AvgMissPercClinician9+(calcR2LOB1Clinician9Emp3GrossProd/calcR2LOB1Clinician9Emp3BaseProd-1)/paramR2TimeConversion)</f>
        <v>0.03</v>
      </c>
      <c r="L711" s="539">
        <f>IF(calcR2LOB1Clinician9Emp3BaseProd=0,0,cbalR2LOB1AvgMissPercClinician9+(calcR2LOB1Clinician9Emp3GrossProd/calcR2LOB1Clinician9Emp3BaseProd-1)/paramR2TimeConversion)</f>
        <v>0.03</v>
      </c>
      <c r="M711" s="539">
        <f>IF(calcR2LOB1Clinician9Emp3BaseProd=0,0,cbalR2LOB1AvgMissPercClinician9+(calcR2LOB1Clinician9Emp3GrossProd/calcR2LOB1Clinician9Emp3BaseProd-1)/paramR2TimeConversion)</f>
        <v>0.03</v>
      </c>
      <c r="N711" s="131" t="s">
        <v>6461</v>
      </c>
    </row>
    <row r="712" spans="1:14" ht="12.75" customHeight="1">
      <c r="A712" s="461"/>
      <c r="B712" s="460"/>
      <c r="C712" s="170">
        <v>10</v>
      </c>
      <c r="D712" s="131" t="s">
        <v>556</v>
      </c>
      <c r="E712" s="539">
        <f>IF(calcLOB1Clinician10Emp3BaseProd=0,0,cbalLOB1AvgMissPercClinician10+(calcLOB1Clinician10Emp3GrossProd/calcLOB1Clinician10Emp3BaseProd-1)/paramTimeConversion)</f>
        <v>0</v>
      </c>
      <c r="F712" s="539">
        <f>IF(calcLOB1Clinician10Emp3BaseProd=0,0,cbalLOB1AvgMissPercClinician10+(calcLOB1Clinician10Emp3GrossProd/calcLOB1Clinician10Emp3BaseProd-1)/paramTimeConversion)</f>
        <v>0</v>
      </c>
      <c r="G712" s="539">
        <f>IF(calcLOB1Clinician10Emp3BaseProd=0,0,cbalLOB1AvgMissPercClinician10+(calcLOB1Clinician10Emp3GrossProd/calcLOB1Clinician10Emp3BaseProd-1)/paramTimeConversion)</f>
        <v>0</v>
      </c>
      <c r="H712" s="131" t="s">
        <v>3888</v>
      </c>
      <c r="J712" s="131" t="s">
        <v>556</v>
      </c>
      <c r="K712" s="539">
        <f>IF(calcR2LOB1Clinician10Emp3BaseProd=0,0,cbalR2LOB1AvgMissPercClinician10+(calcR2LOB1Clinician10Emp3GrossProd/calcR2LOB1Clinician10Emp3BaseProd-1)/paramR2TimeConversion)</f>
        <v>0</v>
      </c>
      <c r="L712" s="539">
        <f>IF(calcR2LOB1Clinician10Emp3BaseProd=0,0,cbalR2LOB1AvgMissPercClinician10+(calcR2LOB1Clinician10Emp3GrossProd/calcR2LOB1Clinician10Emp3BaseProd-1)/paramR2TimeConversion)</f>
        <v>0</v>
      </c>
      <c r="M712" s="539">
        <f>IF(calcR2LOB1Clinician10Emp3BaseProd=0,0,cbalR2LOB1AvgMissPercClinician10+(calcR2LOB1Clinician10Emp3GrossProd/calcR2LOB1Clinician10Emp3BaseProd-1)/paramR2TimeConversion)</f>
        <v>0</v>
      </c>
      <c r="N712" s="131" t="s">
        <v>6462</v>
      </c>
    </row>
    <row r="713" spans="1:14" ht="12.75" customHeight="1">
      <c r="A713" s="461"/>
      <c r="B713" s="460"/>
      <c r="C713" s="170">
        <v>11</v>
      </c>
      <c r="D713" s="131" t="s">
        <v>556</v>
      </c>
      <c r="E713" s="539">
        <f>IF(calcLOB1Clinician11Emp3BaseProd=0,0,cbalLOB1AvgMissPercClinician11+(calcLOB1Clinician11Emp3GrossProd/calcLOB1Clinician11Emp3BaseProd-1)/paramTimeConversion)</f>
        <v>0</v>
      </c>
      <c r="F713" s="539">
        <f>IF(calcLOB1Clinician11Emp3BaseProd=0,0,cbalLOB1AvgMissPercClinician11+(calcLOB1Clinician11Emp3GrossProd/calcLOB1Clinician11Emp3BaseProd-1)/paramTimeConversion)</f>
        <v>0</v>
      </c>
      <c r="G713" s="539">
        <f>IF(calcLOB1Clinician11Emp3BaseProd=0,0,cbalLOB1AvgMissPercClinician11+(calcLOB1Clinician11Emp3GrossProd/calcLOB1Clinician11Emp3BaseProd-1)/paramTimeConversion)</f>
        <v>0</v>
      </c>
      <c r="H713" s="131" t="s">
        <v>3889</v>
      </c>
      <c r="J713" s="131" t="s">
        <v>556</v>
      </c>
      <c r="K713" s="539">
        <f>IF(calcR2LOB1Clinician11Emp3BaseProd=0,0,cbalR2LOB1AvgMissPercClinician11+(calcR2LOB1Clinician11Emp3GrossProd/calcR2LOB1Clinician11Emp3BaseProd-1)/paramR2TimeConversion)</f>
        <v>0</v>
      </c>
      <c r="L713" s="539">
        <f>IF(calcR2LOB1Clinician11Emp3BaseProd=0,0,cbalR2LOB1AvgMissPercClinician11+(calcR2LOB1Clinician11Emp3GrossProd/calcR2LOB1Clinician11Emp3BaseProd-1)/paramR2TimeConversion)</f>
        <v>0</v>
      </c>
      <c r="M713" s="539">
        <f>IF(calcR2LOB1Clinician11Emp3BaseProd=0,0,cbalR2LOB1AvgMissPercClinician11+(calcR2LOB1Clinician11Emp3GrossProd/calcR2LOB1Clinician11Emp3BaseProd-1)/paramR2TimeConversion)</f>
        <v>0</v>
      </c>
      <c r="N713" s="131" t="s">
        <v>6463</v>
      </c>
    </row>
    <row r="714" spans="1:14" ht="12.75" customHeight="1">
      <c r="A714" s="461"/>
      <c r="B714" s="460"/>
      <c r="C714" s="170">
        <v>12</v>
      </c>
      <c r="D714" s="131" t="s">
        <v>556</v>
      </c>
      <c r="E714" s="539">
        <f>IF(calcLOB1Clinician12Emp3BaseProd=0,0,cbalLOB1AvgMissPercClinician12+(calcLOB1Clinician12Emp3GrossProd/calcLOB1Clinician12Emp3BaseProd-1)/paramTimeConversion)</f>
        <v>0</v>
      </c>
      <c r="F714" s="539">
        <f>IF(calcLOB1Clinician12Emp3BaseProd=0,0,cbalLOB1AvgMissPercClinician12+(calcLOB1Clinician12Emp3GrossProd/calcLOB1Clinician12Emp3BaseProd-1)/paramTimeConversion)</f>
        <v>0</v>
      </c>
      <c r="G714" s="539">
        <f>IF(calcLOB1Clinician12Emp3BaseProd=0,0,cbalLOB1AvgMissPercClinician12+(calcLOB1Clinician12Emp3GrossProd/calcLOB1Clinician12Emp3BaseProd-1)/paramTimeConversion)</f>
        <v>0</v>
      </c>
      <c r="H714" s="131" t="s">
        <v>3890</v>
      </c>
      <c r="J714" s="131" t="s">
        <v>556</v>
      </c>
      <c r="K714" s="539">
        <f>IF(calcR2LOB1Clinician12Emp3BaseProd=0,0,cbalR2LOB1AvgMissPercClinician12+(calcR2LOB1Clinician12Emp3GrossProd/calcR2LOB1Clinician12Emp3BaseProd-1)/paramR2TimeConversion)</f>
        <v>0</v>
      </c>
      <c r="L714" s="539">
        <f>IF(calcR2LOB1Clinician12Emp3BaseProd=0,0,cbalR2LOB1AvgMissPercClinician12+(calcR2LOB1Clinician12Emp3GrossProd/calcR2LOB1Clinician12Emp3BaseProd-1)/paramR2TimeConversion)</f>
        <v>0</v>
      </c>
      <c r="M714" s="539">
        <f>IF(calcR2LOB1Clinician12Emp3BaseProd=0,0,cbalR2LOB1AvgMissPercClinician12+(calcR2LOB1Clinician12Emp3GrossProd/calcR2LOB1Clinician12Emp3BaseProd-1)/paramR2TimeConversion)</f>
        <v>0</v>
      </c>
      <c r="N714" s="131" t="s">
        <v>6464</v>
      </c>
    </row>
    <row r="715" spans="1:14" ht="12.75" customHeight="1">
      <c r="A715" s="461"/>
      <c r="B715" s="460"/>
      <c r="D715" s="131" t="s">
        <v>556</v>
      </c>
      <c r="E715" s="539">
        <f>IF(calcLOB1Clinician15Emp3BaseProd=0,0,cbalLOB1AvgMissPercClinician15+(calcLOB1Clinician15Emp3GrossProd/calcLOB1Clinician15Emp3BaseProd-1)/paramTimeConversion)</f>
        <v>3.7916666666666675E-2</v>
      </c>
      <c r="F715" s="539">
        <f>IF(calcLOB1Clinician15Emp3BaseProd=0,0,cbalLOB1AvgMissPercClinician15+(calcLOB1Clinician15Emp3GrossProd/calcLOB1Clinician15Emp3BaseProd-1)/paramTimeConversion)</f>
        <v>4.785208333333333E-2</v>
      </c>
      <c r="G715" s="539">
        <f>IF(calcLOB1Clinician15Emp3BaseProd=0,0,cbalLOB1AvgMissPercClinician15+(calcLOB1Clinician15Emp3GrossProd/calcLOB1Clinician15Emp3BaseProd-1)/paramTimeConversion)</f>
        <v>4.5318749999999998E-2</v>
      </c>
      <c r="H715" s="131" t="s">
        <v>4058</v>
      </c>
      <c r="J715" s="131" t="s">
        <v>556</v>
      </c>
      <c r="K715" s="539">
        <f>IF(calcR2LOB1Clinician15Emp3BaseProd=0,0,cbalR2LOB1AvgMissPercClinician15+(calcR2LOB1Clinician15Emp3GrossProd/calcR2LOB1Clinician15Emp3BaseProd-1)/paramR2TimeConversion)</f>
        <v>3.5419215463249158E-2</v>
      </c>
      <c r="L715" s="539">
        <f>IF(calcR2LOB1Clinician15Emp3BaseProd=0,0,cbalR2LOB1AvgMissPercClinician15+(calcR2LOB1Clinician15Emp3GrossProd/calcR2LOB1Clinician15Emp3BaseProd-1)/paramR2TimeConversion)</f>
        <v>4.9516384375000014E-2</v>
      </c>
      <c r="M715" s="539">
        <f>IF(calcR2LOB1Clinician15Emp3BaseProd=0,0,cbalR2LOB1AvgMissPercClinician15+(calcR2LOB1Clinician15Emp3GrossProd/calcR2LOB1Clinician15Emp3BaseProd-1)/paramR2TimeConversion)</f>
        <v>4.4807511458333317E-2</v>
      </c>
      <c r="N715" s="131" t="s">
        <v>6465</v>
      </c>
    </row>
    <row r="716" spans="1:14" ht="12.75" customHeight="1">
      <c r="A716" s="461"/>
      <c r="B716" s="460"/>
      <c r="D716" s="131"/>
      <c r="E716" s="452"/>
      <c r="F716" s="452"/>
      <c r="G716" s="452"/>
      <c r="J716" s="131"/>
      <c r="K716" s="452"/>
      <c r="L716" s="452"/>
      <c r="M716" s="452"/>
    </row>
    <row r="717" spans="1:14" ht="12.75" customHeight="1">
      <c r="A717" s="461"/>
      <c r="B717" s="460"/>
      <c r="C717" s="131" t="s">
        <v>1615</v>
      </c>
    </row>
    <row r="718" spans="1:14" ht="12.75" customHeight="1">
      <c r="A718" s="461"/>
      <c r="B718" s="460"/>
      <c r="C718" s="170">
        <v>1</v>
      </c>
      <c r="D718" s="131" t="s">
        <v>556</v>
      </c>
      <c r="E718" s="540">
        <f>calcLOB1Clinician1Emp3AvgMissPerc*calcLOB1Clinician1Emp3GrossProd*paramLOB1Disc4Missed*paramLOB1Clinician1Missed</f>
        <v>0</v>
      </c>
      <c r="F718" s="540">
        <f>calcLOB1Clinician1Emp3AvgMissPerc*calcLOB1Clinician1Emp3GrossProd*paramLOB1Disc4Missed*paramLOB1Clinician1Missed</f>
        <v>0</v>
      </c>
      <c r="G718" s="540">
        <f>calcLOB1Clinician1Emp3AvgMissPerc*calcLOB1Clinician1Emp3GrossProd*paramLOB1Disc4Missed*paramLOB1Clinician1Missed</f>
        <v>0</v>
      </c>
      <c r="H718" s="131" t="s">
        <v>1880</v>
      </c>
      <c r="J718" s="131" t="s">
        <v>556</v>
      </c>
      <c r="K718" s="540">
        <f>calcR2LOB1Clinician1Emp3AvgMissPerc*calcR2LOB1Clinician1Emp3GrossProd*paramR2LOB1Disc4Missed*paramR2LOB1Clinician1Missed</f>
        <v>0</v>
      </c>
      <c r="L718" s="540">
        <f>calcR2LOB1Clinician1Emp3AvgMissPerc*calcR2LOB1Clinician1Emp3GrossProd*paramR2LOB1Disc4Missed*paramR2LOB1Clinician1Missed</f>
        <v>0</v>
      </c>
      <c r="M718" s="540">
        <f>calcR2LOB1Clinician1Emp3AvgMissPerc*calcR2LOB1Clinician1Emp3GrossProd*paramR2LOB1Disc4Missed*paramR2LOB1Clinician1Missed</f>
        <v>0</v>
      </c>
      <c r="N718" s="131" t="s">
        <v>6466</v>
      </c>
    </row>
    <row r="719" spans="1:14" ht="12.75" customHeight="1">
      <c r="A719" s="461"/>
      <c r="B719" s="460"/>
      <c r="C719" s="170">
        <v>2</v>
      </c>
      <c r="D719" s="131" t="s">
        <v>556</v>
      </c>
      <c r="E719" s="540">
        <f>calcLOB1Clinician2Emp3AvgMissPerc*calcLOB1Clinician2Emp3GrossProd*paramLOB1Disc4Missed*paramLOB1Clinician2Missed</f>
        <v>0</v>
      </c>
      <c r="F719" s="540">
        <f>calcLOB1Clinician2Emp3AvgMissPerc*calcLOB1Clinician2Emp3GrossProd*paramLOB1Disc4Missed*paramLOB1Clinician2Missed</f>
        <v>0</v>
      </c>
      <c r="G719" s="540">
        <f>calcLOB1Clinician2Emp3AvgMissPerc*calcLOB1Clinician2Emp3GrossProd*paramLOB1Disc4Missed*paramLOB1Clinician2Missed</f>
        <v>0</v>
      </c>
      <c r="H719" s="131" t="s">
        <v>1881</v>
      </c>
      <c r="J719" s="131" t="s">
        <v>556</v>
      </c>
      <c r="K719" s="540">
        <f>calcR2LOB1Clinician2Emp3AvgMissPerc*calcR2LOB1Clinician2Emp3GrossProd*paramR2LOB1Disc4Missed*paramR2LOB1Clinician2Missed</f>
        <v>0</v>
      </c>
      <c r="L719" s="540">
        <f>calcR2LOB1Clinician2Emp3AvgMissPerc*calcR2LOB1Clinician2Emp3GrossProd*paramR2LOB1Disc4Missed*paramR2LOB1Clinician2Missed</f>
        <v>0</v>
      </c>
      <c r="M719" s="540">
        <f>calcR2LOB1Clinician2Emp3AvgMissPerc*calcR2LOB1Clinician2Emp3GrossProd*paramR2LOB1Disc4Missed*paramR2LOB1Clinician2Missed</f>
        <v>0</v>
      </c>
      <c r="N719" s="131" t="s">
        <v>6467</v>
      </c>
    </row>
    <row r="720" spans="1:14" ht="12.75" customHeight="1">
      <c r="A720" s="461"/>
      <c r="B720" s="460"/>
      <c r="C720" s="170">
        <v>3</v>
      </c>
      <c r="D720" s="131" t="s">
        <v>556</v>
      </c>
      <c r="E720" s="540">
        <f>calcLOB1Clinician3Emp3AvgMissPerc*calcLOB1Clinician3Emp3GrossProd*paramLOB1Disc4Missed*paramLOB1Clinician3Missed</f>
        <v>0</v>
      </c>
      <c r="F720" s="540">
        <f>calcLOB1Clinician3Emp3AvgMissPerc*calcLOB1Clinician3Emp3GrossProd*paramLOB1Disc4Missed*paramLOB1Clinician3Missed</f>
        <v>0</v>
      </c>
      <c r="G720" s="540">
        <f>calcLOB1Clinician3Emp3AvgMissPerc*calcLOB1Clinician3Emp3GrossProd*paramLOB1Disc4Missed*paramLOB1Clinician3Missed</f>
        <v>0</v>
      </c>
      <c r="H720" s="131" t="s">
        <v>1882</v>
      </c>
      <c r="J720" s="131" t="s">
        <v>556</v>
      </c>
      <c r="K720" s="540">
        <f>calcR2LOB1Clinician3Emp3AvgMissPerc*calcR2LOB1Clinician3Emp3GrossProd*paramR2LOB1Disc4Missed*paramR2LOB1Clinician3Missed</f>
        <v>0</v>
      </c>
      <c r="L720" s="540">
        <f>calcR2LOB1Clinician3Emp3AvgMissPerc*calcR2LOB1Clinician3Emp3GrossProd*paramR2LOB1Disc4Missed*paramR2LOB1Clinician3Missed</f>
        <v>0</v>
      </c>
      <c r="M720" s="540">
        <f>calcR2LOB1Clinician3Emp3AvgMissPerc*calcR2LOB1Clinician3Emp3GrossProd*paramR2LOB1Disc4Missed*paramR2LOB1Clinician3Missed</f>
        <v>0</v>
      </c>
      <c r="N720" s="131" t="s">
        <v>6468</v>
      </c>
    </row>
    <row r="721" spans="1:14" ht="12.75" customHeight="1">
      <c r="A721" s="461"/>
      <c r="B721" s="460"/>
      <c r="C721" s="170">
        <v>4</v>
      </c>
      <c r="D721" s="131" t="s">
        <v>556</v>
      </c>
      <c r="E721" s="540">
        <f>calcLOB1Clinician4Emp3AvgMissPerc*calcLOB1Clinician4Emp3GrossProd*paramLOB1Disc4Missed*paramLOB1Clinician4Missed</f>
        <v>0</v>
      </c>
      <c r="F721" s="540">
        <f>calcLOB1Clinician4Emp3AvgMissPerc*calcLOB1Clinician4Emp3GrossProd*paramLOB1Disc4Missed*paramLOB1Clinician4Missed</f>
        <v>0</v>
      </c>
      <c r="G721" s="540">
        <f>calcLOB1Clinician4Emp3AvgMissPerc*calcLOB1Clinician4Emp3GrossProd*paramLOB1Disc4Missed*paramLOB1Clinician4Missed</f>
        <v>0</v>
      </c>
      <c r="H721" s="131" t="s">
        <v>1883</v>
      </c>
      <c r="J721" s="131" t="s">
        <v>556</v>
      </c>
      <c r="K721" s="540">
        <f>calcR2LOB1Clinician4Emp3AvgMissPerc*calcR2LOB1Clinician4Emp3GrossProd*paramR2LOB1Disc4Missed*paramR2LOB1Clinician4Missed</f>
        <v>0</v>
      </c>
      <c r="L721" s="540">
        <f>calcR2LOB1Clinician4Emp3AvgMissPerc*calcR2LOB1Clinician4Emp3GrossProd*paramR2LOB1Disc4Missed*paramR2LOB1Clinician4Missed</f>
        <v>0</v>
      </c>
      <c r="M721" s="540">
        <f>calcR2LOB1Clinician4Emp3AvgMissPerc*calcR2LOB1Clinician4Emp3GrossProd*paramR2LOB1Disc4Missed*paramR2LOB1Clinician4Missed</f>
        <v>0</v>
      </c>
      <c r="N721" s="131" t="s">
        <v>6469</v>
      </c>
    </row>
    <row r="722" spans="1:14" ht="12.75" customHeight="1">
      <c r="A722" s="461"/>
      <c r="B722" s="460"/>
      <c r="C722" s="170">
        <v>5</v>
      </c>
      <c r="D722" s="131" t="s">
        <v>556</v>
      </c>
      <c r="E722" s="540">
        <f>calcLOB1Clinician5Emp3AvgMissPerc*calcLOB1Clinician5Emp3GrossProd*paramLOB1Disc4Missed*paramLOB1Clinician5Missed</f>
        <v>0</v>
      </c>
      <c r="F722" s="540">
        <f>calcLOB1Clinician5Emp3AvgMissPerc*calcLOB1Clinician5Emp3GrossProd*paramLOB1Disc4Missed*paramLOB1Clinician5Missed</f>
        <v>0</v>
      </c>
      <c r="G722" s="540">
        <f>calcLOB1Clinician5Emp3AvgMissPerc*calcLOB1Clinician5Emp3GrossProd*paramLOB1Disc4Missed*paramLOB1Clinician5Missed</f>
        <v>0</v>
      </c>
      <c r="H722" s="131" t="s">
        <v>1884</v>
      </c>
      <c r="J722" s="131" t="s">
        <v>556</v>
      </c>
      <c r="K722" s="540">
        <f>calcR2LOB1Clinician5Emp3AvgMissPerc*calcR2LOB1Clinician5Emp3GrossProd*paramR2LOB1Disc4Missed*paramR2LOB1Clinician5Missed</f>
        <v>0</v>
      </c>
      <c r="L722" s="540">
        <f>calcR2LOB1Clinician5Emp3AvgMissPerc*calcR2LOB1Clinician5Emp3GrossProd*paramR2LOB1Disc4Missed*paramR2LOB1Clinician5Missed</f>
        <v>0</v>
      </c>
      <c r="M722" s="540">
        <f>calcR2LOB1Clinician5Emp3AvgMissPerc*calcR2LOB1Clinician5Emp3GrossProd*paramR2LOB1Disc4Missed*paramR2LOB1Clinician5Missed</f>
        <v>0</v>
      </c>
      <c r="N722" s="131" t="s">
        <v>6470</v>
      </c>
    </row>
    <row r="723" spans="1:14" ht="12.75" customHeight="1">
      <c r="A723" s="461"/>
      <c r="B723" s="460"/>
      <c r="C723" s="170">
        <v>6</v>
      </c>
      <c r="D723" s="131" t="s">
        <v>556</v>
      </c>
      <c r="E723" s="540">
        <f>calcLOB1Clinician6Emp3AvgMissPerc*calcLOB1Clinician6Emp3GrossProd*paramLOB1Disc4Missed*paramLOB1Clinician6Missed</f>
        <v>3.9000000000000004</v>
      </c>
      <c r="F723" s="540">
        <f>calcLOB1Clinician6Emp3AvgMissPerc*calcLOB1Clinician6Emp3GrossProd*paramLOB1Disc4Missed*paramLOB1Clinician6Missed</f>
        <v>3.9000000000000004</v>
      </c>
      <c r="G723" s="540">
        <f>calcLOB1Clinician6Emp3AvgMissPerc*calcLOB1Clinician6Emp3GrossProd*paramLOB1Disc4Missed*paramLOB1Clinician6Missed</f>
        <v>3.9000000000000004</v>
      </c>
      <c r="H723" s="131" t="s">
        <v>1885</v>
      </c>
      <c r="J723" s="131" t="s">
        <v>556</v>
      </c>
      <c r="K723" s="540">
        <f>calcR2LOB1Clinician6Emp3AvgMissPerc*calcR2LOB1Clinician6Emp3GrossProd*paramR2LOB1Disc4Missed*paramR2LOB1Clinician6Missed</f>
        <v>3.9000000000000004</v>
      </c>
      <c r="L723" s="540">
        <f>calcR2LOB1Clinician6Emp3AvgMissPerc*calcR2LOB1Clinician6Emp3GrossProd*paramR2LOB1Disc4Missed*paramR2LOB1Clinician6Missed</f>
        <v>3.9000000000000004</v>
      </c>
      <c r="M723" s="540">
        <f>calcR2LOB1Clinician6Emp3AvgMissPerc*calcR2LOB1Clinician6Emp3GrossProd*paramR2LOB1Disc4Missed*paramR2LOB1Clinician6Missed</f>
        <v>3.9000000000000004</v>
      </c>
      <c r="N723" s="131" t="s">
        <v>6471</v>
      </c>
    </row>
    <row r="724" spans="1:14" ht="12.75" customHeight="1">
      <c r="A724" s="461"/>
      <c r="B724" s="460"/>
      <c r="C724" s="170">
        <v>7</v>
      </c>
      <c r="D724" s="131" t="s">
        <v>556</v>
      </c>
      <c r="E724" s="540">
        <f>calcLOB1Clinician7Emp3AvgMissPerc*calcLOB1Clinician7Emp3GrossProd*paramLOB1Disc4Missed*paramLOB1Clinician7Missed</f>
        <v>1.68</v>
      </c>
      <c r="F724" s="540">
        <f>calcLOB1Clinician7Emp3AvgMissPerc*calcLOB1Clinician7Emp3GrossProd*paramLOB1Disc4Missed*paramLOB1Clinician7Missed</f>
        <v>1.68</v>
      </c>
      <c r="G724" s="540">
        <f>calcLOB1Clinician7Emp3AvgMissPerc*calcLOB1Clinician7Emp3GrossProd*paramLOB1Disc4Missed*paramLOB1Clinician7Missed</f>
        <v>1.68</v>
      </c>
      <c r="H724" s="131" t="s">
        <v>1886</v>
      </c>
      <c r="J724" s="131" t="s">
        <v>556</v>
      </c>
      <c r="K724" s="540">
        <f>calcR2LOB1Clinician7Emp3AvgMissPerc*calcR2LOB1Clinician7Emp3GrossProd*paramR2LOB1Disc4Missed*paramR2LOB1Clinician7Missed</f>
        <v>1.68</v>
      </c>
      <c r="L724" s="540">
        <f>calcR2LOB1Clinician7Emp3AvgMissPerc*calcR2LOB1Clinician7Emp3GrossProd*paramR2LOB1Disc4Missed*paramR2LOB1Clinician7Missed</f>
        <v>1.68</v>
      </c>
      <c r="M724" s="540">
        <f>calcR2LOB1Clinician7Emp3AvgMissPerc*calcR2LOB1Clinician7Emp3GrossProd*paramR2LOB1Disc4Missed*paramR2LOB1Clinician7Missed</f>
        <v>1.68</v>
      </c>
      <c r="N724" s="131" t="s">
        <v>6472</v>
      </c>
    </row>
    <row r="725" spans="1:14" ht="12.75" customHeight="1">
      <c r="A725" s="461"/>
      <c r="B725" s="460"/>
      <c r="C725" s="170">
        <v>8</v>
      </c>
      <c r="D725" s="131" t="s">
        <v>556</v>
      </c>
      <c r="E725" s="540">
        <f>calcLOB1Clinician8Emp3AvgMissPerc*calcLOB1Clinician8Emp3GrossProd*paramLOB1Disc4Missed*paramLOB1Clinician8Missed</f>
        <v>4.0600000000000005</v>
      </c>
      <c r="F725" s="540">
        <f>calcLOB1Clinician8Emp3AvgMissPerc*calcLOB1Clinician8Emp3GrossProd*paramLOB1Disc4Missed*paramLOB1Clinician8Missed</f>
        <v>4.0600000000000005</v>
      </c>
      <c r="G725" s="540">
        <f>calcLOB1Clinician8Emp3AvgMissPerc*calcLOB1Clinician8Emp3GrossProd*paramLOB1Disc4Missed*paramLOB1Clinician8Missed</f>
        <v>4.0600000000000005</v>
      </c>
      <c r="H725" s="131" t="s">
        <v>1887</v>
      </c>
      <c r="J725" s="131" t="s">
        <v>556</v>
      </c>
      <c r="K725" s="540">
        <f>calcR2LOB1Clinician8Emp3AvgMissPerc*calcR2LOB1Clinician8Emp3GrossProd*paramR2LOB1Disc4Missed*paramR2LOB1Clinician8Missed</f>
        <v>4.0600000000000005</v>
      </c>
      <c r="L725" s="540">
        <f>calcR2LOB1Clinician8Emp3AvgMissPerc*calcR2LOB1Clinician8Emp3GrossProd*paramR2LOB1Disc4Missed*paramR2LOB1Clinician8Missed</f>
        <v>4.0600000000000005</v>
      </c>
      <c r="M725" s="540">
        <f>calcR2LOB1Clinician8Emp3AvgMissPerc*calcR2LOB1Clinician8Emp3GrossProd*paramR2LOB1Disc4Missed*paramR2LOB1Clinician8Missed</f>
        <v>4.0600000000000005</v>
      </c>
      <c r="N725" s="131" t="s">
        <v>6473</v>
      </c>
    </row>
    <row r="726" spans="1:14" ht="12.75" customHeight="1">
      <c r="A726" s="461"/>
      <c r="B726" s="460"/>
      <c r="C726" s="170">
        <v>9</v>
      </c>
      <c r="D726" s="131" t="s">
        <v>556</v>
      </c>
      <c r="E726" s="540">
        <f>calcLOB1Clinician9Emp3AvgMissPerc*calcLOB1Clinician9Emp3GrossProd*paramLOB1Disc4Missed*paramLOB1Clinician9Missed</f>
        <v>0.47319587628865978</v>
      </c>
      <c r="F726" s="540">
        <f>calcLOB1Clinician9Emp3AvgMissPerc*calcLOB1Clinician9Emp3GrossProd*paramLOB1Disc4Missed*paramLOB1Clinician9Missed</f>
        <v>0.47319587628865978</v>
      </c>
      <c r="G726" s="540">
        <f>calcLOB1Clinician9Emp3AvgMissPerc*calcLOB1Clinician9Emp3GrossProd*paramLOB1Disc4Missed*paramLOB1Clinician9Missed</f>
        <v>0.47319587628865978</v>
      </c>
      <c r="H726" s="131" t="s">
        <v>1888</v>
      </c>
      <c r="J726" s="131" t="s">
        <v>556</v>
      </c>
      <c r="K726" s="540">
        <f>calcR2LOB1Clinician9Emp3AvgMissPerc*calcR2LOB1Clinician9Emp3GrossProd*paramR2LOB1Disc4Missed*paramR2LOB1Clinician9Missed</f>
        <v>0.47319587628865978</v>
      </c>
      <c r="L726" s="540">
        <f>calcR2LOB1Clinician9Emp3AvgMissPerc*calcR2LOB1Clinician9Emp3GrossProd*paramR2LOB1Disc4Missed*paramR2LOB1Clinician9Missed</f>
        <v>0.47319587628865978</v>
      </c>
      <c r="M726" s="540">
        <f>calcR2LOB1Clinician9Emp3AvgMissPerc*calcR2LOB1Clinician9Emp3GrossProd*paramR2LOB1Disc4Missed*paramR2LOB1Clinician9Missed</f>
        <v>0.47319587628865978</v>
      </c>
      <c r="N726" s="131" t="s">
        <v>6474</v>
      </c>
    </row>
    <row r="727" spans="1:14" ht="12.75" customHeight="1">
      <c r="A727" s="461"/>
      <c r="B727" s="460"/>
      <c r="C727" s="170">
        <v>10</v>
      </c>
      <c r="D727" s="131" t="s">
        <v>556</v>
      </c>
      <c r="E727" s="540">
        <f>calcLOB1Clinician10Emp3AvgMissPerc*calcLOB1Clinician10Emp3GrossProd*paramLOB1Disc4Missed*paramLOB1Clinician10Missed</f>
        <v>0</v>
      </c>
      <c r="F727" s="540">
        <f>calcLOB1Clinician10Emp3AvgMissPerc*calcLOB1Clinician10Emp3GrossProd*paramLOB1Disc4Missed*paramLOB1Clinician10Missed</f>
        <v>0</v>
      </c>
      <c r="G727" s="540">
        <f>calcLOB1Clinician10Emp3AvgMissPerc*calcLOB1Clinician10Emp3GrossProd*paramLOB1Disc4Missed*paramLOB1Clinician10Missed</f>
        <v>0</v>
      </c>
      <c r="H727" s="131" t="s">
        <v>1889</v>
      </c>
      <c r="J727" s="131" t="s">
        <v>556</v>
      </c>
      <c r="K727" s="540">
        <f>calcR2LOB1Clinician10Emp3AvgMissPerc*calcR2LOB1Clinician10Emp3GrossProd*paramR2LOB1Disc4Missed*paramR2LOB1Clinician10Missed</f>
        <v>0</v>
      </c>
      <c r="L727" s="540">
        <f>calcR2LOB1Clinician10Emp3AvgMissPerc*calcR2LOB1Clinician10Emp3GrossProd*paramR2LOB1Disc4Missed*paramR2LOB1Clinician10Missed</f>
        <v>0</v>
      </c>
      <c r="M727" s="540">
        <f>calcR2LOB1Clinician10Emp3AvgMissPerc*calcR2LOB1Clinician10Emp3GrossProd*paramR2LOB1Disc4Missed*paramR2LOB1Clinician10Missed</f>
        <v>0</v>
      </c>
      <c r="N727" s="131" t="s">
        <v>6475</v>
      </c>
    </row>
    <row r="728" spans="1:14" ht="12.75" customHeight="1">
      <c r="A728" s="461"/>
      <c r="B728" s="460"/>
      <c r="C728" s="170">
        <v>11</v>
      </c>
      <c r="D728" s="131" t="s">
        <v>556</v>
      </c>
      <c r="E728" s="540">
        <f>calcLOB1Clinician11Emp3AvgMissPerc*calcLOB1Clinician11Emp3GrossProd*paramLOB1Disc4Missed*paramLOB1Clinician11Missed</f>
        <v>0</v>
      </c>
      <c r="F728" s="540">
        <f>calcLOB1Clinician11Emp3AvgMissPerc*calcLOB1Clinician11Emp3GrossProd*paramLOB1Disc4Missed*paramLOB1Clinician11Missed</f>
        <v>0</v>
      </c>
      <c r="G728" s="540">
        <f>calcLOB1Clinician11Emp3AvgMissPerc*calcLOB1Clinician11Emp3GrossProd*paramLOB1Disc4Missed*paramLOB1Clinician11Missed</f>
        <v>0</v>
      </c>
      <c r="H728" s="131" t="s">
        <v>1890</v>
      </c>
      <c r="J728" s="131" t="s">
        <v>556</v>
      </c>
      <c r="K728" s="540">
        <f>calcR2LOB1Clinician11Emp3AvgMissPerc*calcR2LOB1Clinician11Emp3GrossProd*paramR2LOB1Disc4Missed*paramR2LOB1Clinician11Missed</f>
        <v>0</v>
      </c>
      <c r="L728" s="540">
        <f>calcR2LOB1Clinician11Emp3AvgMissPerc*calcR2LOB1Clinician11Emp3GrossProd*paramR2LOB1Disc4Missed*paramR2LOB1Clinician11Missed</f>
        <v>0</v>
      </c>
      <c r="M728" s="540">
        <f>calcR2LOB1Clinician11Emp3AvgMissPerc*calcR2LOB1Clinician11Emp3GrossProd*paramR2LOB1Disc4Missed*paramR2LOB1Clinician11Missed</f>
        <v>0</v>
      </c>
      <c r="N728" s="131" t="s">
        <v>6476</v>
      </c>
    </row>
    <row r="729" spans="1:14" ht="12.75" customHeight="1">
      <c r="A729" s="461"/>
      <c r="B729" s="460"/>
      <c r="C729" s="170">
        <v>12</v>
      </c>
      <c r="D729" s="131" t="s">
        <v>556</v>
      </c>
      <c r="E729" s="540">
        <f>calcLOB1Clinician12Emp3AvgMissPerc*calcLOB1Clinician12Emp3GrossProd*paramLOB1Disc4Missed*paramLOB1Clinician12Missed</f>
        <v>0</v>
      </c>
      <c r="F729" s="540">
        <f>calcLOB1Clinician12Emp3AvgMissPerc*calcLOB1Clinician12Emp3GrossProd*paramLOB1Disc4Missed*paramLOB1Clinician12Missed</f>
        <v>0</v>
      </c>
      <c r="G729" s="540">
        <f>calcLOB1Clinician12Emp3AvgMissPerc*calcLOB1Clinician12Emp3GrossProd*paramLOB1Disc4Missed*paramLOB1Clinician12Missed</f>
        <v>0</v>
      </c>
      <c r="H729" s="131" t="s">
        <v>1891</v>
      </c>
      <c r="J729" s="131" t="s">
        <v>556</v>
      </c>
      <c r="K729" s="540">
        <f>calcR2LOB1Clinician12Emp3AvgMissPerc*calcR2LOB1Clinician12Emp3GrossProd*paramR2LOB1Disc4Missed*paramR2LOB1Clinician12Missed</f>
        <v>0</v>
      </c>
      <c r="L729" s="540">
        <f>calcR2LOB1Clinician12Emp3AvgMissPerc*calcR2LOB1Clinician12Emp3GrossProd*paramR2LOB1Disc4Missed*paramR2LOB1Clinician12Missed</f>
        <v>0</v>
      </c>
      <c r="M729" s="540">
        <f>calcR2LOB1Clinician12Emp3AvgMissPerc*calcR2LOB1Clinician12Emp3GrossProd*paramR2LOB1Disc4Missed*paramR2LOB1Clinician12Missed</f>
        <v>0</v>
      </c>
      <c r="N729" s="131" t="s">
        <v>6477</v>
      </c>
    </row>
    <row r="730" spans="1:14" ht="12.75" customHeight="1">
      <c r="A730" s="461"/>
      <c r="B730" s="460"/>
      <c r="D730" s="131" t="s">
        <v>556</v>
      </c>
      <c r="E730" s="540">
        <f>calcLOB1Clinician15Emp3AvgMissPerc*calcLOB1Clinician15Emp3GrossProd*paramLOB1Disc4Missed</f>
        <v>10.698187500000003</v>
      </c>
      <c r="F730" s="540">
        <f>calcLOB1Clinician15Emp3AvgMissPerc*calcLOB1Clinician15Emp3GrossProd*paramLOB1Disc4Missed</f>
        <v>27.271937092968745</v>
      </c>
      <c r="G730" s="540">
        <f>calcLOB1Clinician15Emp3AvgMissPerc*calcLOB1Clinician15Emp3GrossProd*paramLOB1Disc4Missed</f>
        <v>12.831890765624998</v>
      </c>
      <c r="H730" s="131" t="s">
        <v>4060</v>
      </c>
      <c r="J730" s="131" t="s">
        <v>556</v>
      </c>
      <c r="K730" s="540">
        <f>calcR2LOB1Clinician15Emp3AvgMissPerc*calcR2LOB1Clinician15Emp3GrossProd*paramR2LOB1Disc4Missed</f>
        <v>8.2449692631900788</v>
      </c>
      <c r="L730" s="540">
        <f>calcR2LOB1Clinician15Emp3AvgMissPerc*calcR2LOB1Clinician15Emp3GrossProd*paramR2LOB1Disc4Missed</f>
        <v>28.056683992488985</v>
      </c>
      <c r="M730" s="540">
        <f>calcR2LOB1Clinician15Emp3AvgMissPerc*calcR2LOB1Clinician15Emp3GrossProd*paramR2LOB1Disc4Missed</f>
        <v>11.896601222585566</v>
      </c>
      <c r="N730" s="131" t="s">
        <v>6478</v>
      </c>
    </row>
    <row r="731" spans="1:14" ht="12.75" customHeight="1">
      <c r="A731" s="461"/>
      <c r="B731" s="460"/>
      <c r="D731" s="131"/>
      <c r="E731" s="452"/>
      <c r="F731" s="452"/>
      <c r="G731" s="452"/>
      <c r="J731" s="131"/>
      <c r="K731" s="452"/>
      <c r="L731" s="452"/>
      <c r="M731" s="452"/>
    </row>
    <row r="732" spans="1:14" ht="12.75" customHeight="1">
      <c r="A732" s="461"/>
      <c r="B732" s="460"/>
      <c r="C732" s="131" t="s">
        <v>1617</v>
      </c>
    </row>
    <row r="733" spans="1:14" ht="12.75" customHeight="1">
      <c r="A733" s="461"/>
      <c r="B733" s="460"/>
      <c r="C733" s="170">
        <v>1</v>
      </c>
      <c r="D733" s="131" t="s">
        <v>556</v>
      </c>
      <c r="E733" s="453">
        <f>calcLOB1Clinician1Emp3GrossProd-calcLOB1Clinician1Emp3MissVisits</f>
        <v>0</v>
      </c>
      <c r="F733" s="453">
        <f>calcLOB1Clinician1Emp3GrossProd-calcLOB1Clinician1Emp3MissVisits</f>
        <v>0</v>
      </c>
      <c r="G733" s="453">
        <f>calcLOB1Clinician1Emp3GrossProd-calcLOB1Clinician1Emp3MissVisits</f>
        <v>0</v>
      </c>
      <c r="H733" s="131" t="s">
        <v>1892</v>
      </c>
      <c r="J733" s="131" t="s">
        <v>556</v>
      </c>
      <c r="K733" s="453">
        <f>calcR2LOB1Clinician1Emp3GrossProd-calcR2LOB1Clinician1Emp3MissVisits</f>
        <v>0</v>
      </c>
      <c r="L733" s="453">
        <f>calcR2LOB1Clinician1Emp3GrossProd-calcR2LOB1Clinician1Emp3MissVisits</f>
        <v>0</v>
      </c>
      <c r="M733" s="453">
        <f>calcR2LOB1Clinician1Emp3GrossProd-calcR2LOB1Clinician1Emp3MissVisits</f>
        <v>0</v>
      </c>
      <c r="N733" s="131" t="s">
        <v>6479</v>
      </c>
    </row>
    <row r="734" spans="1:14" ht="12.75" customHeight="1">
      <c r="A734" s="461"/>
      <c r="B734" s="460"/>
      <c r="C734" s="170">
        <v>2</v>
      </c>
      <c r="D734" s="131" t="s">
        <v>556</v>
      </c>
      <c r="E734" s="453">
        <f>calcLOB1Clinician2Emp3GrossProd-calcLOB1Clinician2Emp3MissVisits</f>
        <v>0</v>
      </c>
      <c r="F734" s="453">
        <f>calcLOB1Clinician2Emp3GrossProd-calcLOB1Clinician2Emp3MissVisits</f>
        <v>0</v>
      </c>
      <c r="G734" s="453">
        <f>calcLOB1Clinician2Emp3GrossProd-calcLOB1Clinician2Emp3MissVisits</f>
        <v>0</v>
      </c>
      <c r="H734" s="131" t="s">
        <v>1893</v>
      </c>
      <c r="J734" s="131" t="s">
        <v>556</v>
      </c>
      <c r="K734" s="453">
        <f>calcR2LOB1Clinician2Emp3GrossProd-calcR2LOB1Clinician2Emp3MissVisits</f>
        <v>0</v>
      </c>
      <c r="L734" s="453">
        <f>calcR2LOB1Clinician2Emp3GrossProd-calcR2LOB1Clinician2Emp3MissVisits</f>
        <v>0</v>
      </c>
      <c r="M734" s="453">
        <f>calcR2LOB1Clinician2Emp3GrossProd-calcR2LOB1Clinician2Emp3MissVisits</f>
        <v>0</v>
      </c>
      <c r="N734" s="131" t="s">
        <v>6480</v>
      </c>
    </row>
    <row r="735" spans="1:14" ht="12.75" customHeight="1">
      <c r="A735" s="461"/>
      <c r="B735" s="460"/>
      <c r="C735" s="170">
        <v>3</v>
      </c>
      <c r="D735" s="131" t="s">
        <v>556</v>
      </c>
      <c r="E735" s="453">
        <f>calcLOB1Clinician3Emp3GrossProd-calcLOB1Clinician3Emp3MissVisits</f>
        <v>0</v>
      </c>
      <c r="F735" s="453">
        <f>calcLOB1Clinician3Emp3GrossProd-calcLOB1Clinician3Emp3MissVisits</f>
        <v>0</v>
      </c>
      <c r="G735" s="453">
        <f>calcLOB1Clinician3Emp3GrossProd-calcLOB1Clinician3Emp3MissVisits</f>
        <v>0</v>
      </c>
      <c r="H735" s="131" t="s">
        <v>1894</v>
      </c>
      <c r="J735" s="131" t="s">
        <v>556</v>
      </c>
      <c r="K735" s="453">
        <f>calcR2LOB1Clinician3Emp3GrossProd-calcR2LOB1Clinician3Emp3MissVisits</f>
        <v>0</v>
      </c>
      <c r="L735" s="453">
        <f>calcR2LOB1Clinician3Emp3GrossProd-calcR2LOB1Clinician3Emp3MissVisits</f>
        <v>0</v>
      </c>
      <c r="M735" s="453">
        <f>calcR2LOB1Clinician3Emp3GrossProd-calcR2LOB1Clinician3Emp3MissVisits</f>
        <v>0</v>
      </c>
      <c r="N735" s="131" t="s">
        <v>6481</v>
      </c>
    </row>
    <row r="736" spans="1:14" ht="12.75" customHeight="1">
      <c r="A736" s="461"/>
      <c r="B736" s="460"/>
      <c r="C736" s="170">
        <v>4</v>
      </c>
      <c r="D736" s="131" t="s">
        <v>556</v>
      </c>
      <c r="E736" s="453">
        <f>calcLOB1Clinician4Emp3GrossProd-calcLOB1Clinician4Emp3MissVisits</f>
        <v>0</v>
      </c>
      <c r="F736" s="453">
        <f>calcLOB1Clinician4Emp3GrossProd-calcLOB1Clinician4Emp3MissVisits</f>
        <v>0</v>
      </c>
      <c r="G736" s="453">
        <f>calcLOB1Clinician4Emp3GrossProd-calcLOB1Clinician4Emp3MissVisits</f>
        <v>0</v>
      </c>
      <c r="H736" s="131" t="s">
        <v>1895</v>
      </c>
      <c r="J736" s="131" t="s">
        <v>556</v>
      </c>
      <c r="K736" s="453">
        <f>calcR2LOB1Clinician4Emp3GrossProd-calcR2LOB1Clinician4Emp3MissVisits</f>
        <v>0</v>
      </c>
      <c r="L736" s="453">
        <f>calcR2LOB1Clinician4Emp3GrossProd-calcR2LOB1Clinician4Emp3MissVisits</f>
        <v>0</v>
      </c>
      <c r="M736" s="453">
        <f>calcR2LOB1Clinician4Emp3GrossProd-calcR2LOB1Clinician4Emp3MissVisits</f>
        <v>0</v>
      </c>
      <c r="N736" s="131" t="s">
        <v>6482</v>
      </c>
    </row>
    <row r="737" spans="1:14" ht="12.75" customHeight="1">
      <c r="A737" s="461"/>
      <c r="B737" s="460"/>
      <c r="C737" s="170">
        <v>5</v>
      </c>
      <c r="D737" s="131" t="s">
        <v>556</v>
      </c>
      <c r="E737" s="453">
        <f>calcLOB1Clinician5Emp3GrossProd-calcLOB1Clinician5Emp3MissVisits</f>
        <v>0</v>
      </c>
      <c r="F737" s="453">
        <f>calcLOB1Clinician5Emp3GrossProd-calcLOB1Clinician5Emp3MissVisits</f>
        <v>0</v>
      </c>
      <c r="G737" s="453">
        <f>calcLOB1Clinician5Emp3GrossProd-calcLOB1Clinician5Emp3MissVisits</f>
        <v>0</v>
      </c>
      <c r="H737" s="131" t="s">
        <v>1896</v>
      </c>
      <c r="J737" s="131" t="s">
        <v>556</v>
      </c>
      <c r="K737" s="453">
        <f>calcR2LOB1Clinician5Emp3GrossProd-calcR2LOB1Clinician5Emp3MissVisits</f>
        <v>0</v>
      </c>
      <c r="L737" s="453">
        <f>calcR2LOB1Clinician5Emp3GrossProd-calcR2LOB1Clinician5Emp3MissVisits</f>
        <v>0</v>
      </c>
      <c r="M737" s="453">
        <f>calcR2LOB1Clinician5Emp3GrossProd-calcR2LOB1Clinician5Emp3MissVisits</f>
        <v>0</v>
      </c>
      <c r="N737" s="131" t="s">
        <v>6483</v>
      </c>
    </row>
    <row r="738" spans="1:14" ht="12.75" customHeight="1">
      <c r="A738" s="461"/>
      <c r="B738" s="460"/>
      <c r="C738" s="170">
        <v>6</v>
      </c>
      <c r="D738" s="131" t="s">
        <v>556</v>
      </c>
      <c r="E738" s="453">
        <f>calcLOB1Clinician6Emp3GrossProd-calcLOB1Clinician6Emp3MissVisits</f>
        <v>26.1</v>
      </c>
      <c r="F738" s="453">
        <f>calcLOB1Clinician6Emp3GrossProd-calcLOB1Clinician6Emp3MissVisits</f>
        <v>26.1</v>
      </c>
      <c r="G738" s="453">
        <f>calcLOB1Clinician6Emp3GrossProd-calcLOB1Clinician6Emp3MissVisits</f>
        <v>26.1</v>
      </c>
      <c r="H738" s="131" t="s">
        <v>1897</v>
      </c>
      <c r="J738" s="131" t="s">
        <v>556</v>
      </c>
      <c r="K738" s="453">
        <f>calcR2LOB1Clinician6Emp3GrossProd-calcR2LOB1Clinician6Emp3MissVisits</f>
        <v>26.1</v>
      </c>
      <c r="L738" s="453">
        <f>calcR2LOB1Clinician6Emp3GrossProd-calcR2LOB1Clinician6Emp3MissVisits</f>
        <v>26.1</v>
      </c>
      <c r="M738" s="453">
        <f>calcR2LOB1Clinician6Emp3GrossProd-calcR2LOB1Clinician6Emp3MissVisits</f>
        <v>26.1</v>
      </c>
      <c r="N738" s="131" t="s">
        <v>6484</v>
      </c>
    </row>
    <row r="739" spans="1:14" ht="12.75" customHeight="1">
      <c r="A739" s="461"/>
      <c r="B739" s="460"/>
      <c r="C739" s="170">
        <v>7</v>
      </c>
      <c r="D739" s="131" t="s">
        <v>556</v>
      </c>
      <c r="E739" s="453">
        <f>calcLOB1Clinician7Emp3GrossProd-calcLOB1Clinician7Emp3MissVisits</f>
        <v>26.32</v>
      </c>
      <c r="F739" s="453">
        <f>calcLOB1Clinician7Emp3GrossProd-calcLOB1Clinician7Emp3MissVisits</f>
        <v>26.32</v>
      </c>
      <c r="G739" s="453">
        <f>calcLOB1Clinician7Emp3GrossProd-calcLOB1Clinician7Emp3MissVisits</f>
        <v>26.32</v>
      </c>
      <c r="H739" s="131" t="s">
        <v>1898</v>
      </c>
      <c r="J739" s="131" t="s">
        <v>556</v>
      </c>
      <c r="K739" s="453">
        <f>calcR2LOB1Clinician7Emp3GrossProd-calcR2LOB1Clinician7Emp3MissVisits</f>
        <v>26.32</v>
      </c>
      <c r="L739" s="453">
        <f>calcR2LOB1Clinician7Emp3GrossProd-calcR2LOB1Clinician7Emp3MissVisits</f>
        <v>26.32</v>
      </c>
      <c r="M739" s="453">
        <f>calcR2LOB1Clinician7Emp3GrossProd-calcR2LOB1Clinician7Emp3MissVisits</f>
        <v>26.32</v>
      </c>
      <c r="N739" s="131" t="s">
        <v>6485</v>
      </c>
    </row>
    <row r="740" spans="1:14" ht="12.75" customHeight="1">
      <c r="A740" s="461"/>
      <c r="B740" s="460"/>
      <c r="C740" s="170">
        <v>8</v>
      </c>
      <c r="D740" s="131" t="s">
        <v>556</v>
      </c>
      <c r="E740" s="453">
        <f>calcLOB1Clinician8Emp3GrossProd-calcLOB1Clinician8Emp3MissVisits</f>
        <v>24.939999999999998</v>
      </c>
      <c r="F740" s="453">
        <f>calcLOB1Clinician8Emp3GrossProd-calcLOB1Clinician8Emp3MissVisits</f>
        <v>24.939999999999998</v>
      </c>
      <c r="G740" s="453">
        <f>calcLOB1Clinician8Emp3GrossProd-calcLOB1Clinician8Emp3MissVisits</f>
        <v>24.939999999999998</v>
      </c>
      <c r="H740" s="131" t="s">
        <v>1899</v>
      </c>
      <c r="J740" s="131" t="s">
        <v>556</v>
      </c>
      <c r="K740" s="453">
        <f>calcR2LOB1Clinician8Emp3GrossProd-calcR2LOB1Clinician8Emp3MissVisits</f>
        <v>24.939999999999998</v>
      </c>
      <c r="L740" s="453">
        <f>calcR2LOB1Clinician8Emp3GrossProd-calcR2LOB1Clinician8Emp3MissVisits</f>
        <v>24.939999999999998</v>
      </c>
      <c r="M740" s="453">
        <f>calcR2LOB1Clinician8Emp3GrossProd-calcR2LOB1Clinician8Emp3MissVisits</f>
        <v>24.939999999999998</v>
      </c>
      <c r="N740" s="131" t="s">
        <v>6486</v>
      </c>
    </row>
    <row r="741" spans="1:14" ht="12.75" customHeight="1">
      <c r="A741" s="461"/>
      <c r="B741" s="460"/>
      <c r="C741" s="170">
        <v>9</v>
      </c>
      <c r="D741" s="131" t="s">
        <v>556</v>
      </c>
      <c r="E741" s="453">
        <f>calcLOB1Clinician9Emp3GrossProd-calcLOB1Clinician9Emp3MissVisits</f>
        <v>15.3</v>
      </c>
      <c r="F741" s="453">
        <f>calcLOB1Clinician9Emp3GrossProd-calcLOB1Clinician9Emp3MissVisits</f>
        <v>15.3</v>
      </c>
      <c r="G741" s="453">
        <f>calcLOB1Clinician9Emp3GrossProd-calcLOB1Clinician9Emp3MissVisits</f>
        <v>15.3</v>
      </c>
      <c r="H741" s="131" t="s">
        <v>1900</v>
      </c>
      <c r="J741" s="131" t="s">
        <v>556</v>
      </c>
      <c r="K741" s="453">
        <f>calcR2LOB1Clinician9Emp3GrossProd-calcR2LOB1Clinician9Emp3MissVisits</f>
        <v>15.3</v>
      </c>
      <c r="L741" s="453">
        <f>calcR2LOB1Clinician9Emp3GrossProd-calcR2LOB1Clinician9Emp3MissVisits</f>
        <v>15.3</v>
      </c>
      <c r="M741" s="453">
        <f>calcR2LOB1Clinician9Emp3GrossProd-calcR2LOB1Clinician9Emp3MissVisits</f>
        <v>15.3</v>
      </c>
      <c r="N741" s="131" t="s">
        <v>6487</v>
      </c>
    </row>
    <row r="742" spans="1:14" ht="12.75" customHeight="1">
      <c r="A742" s="461"/>
      <c r="B742" s="460"/>
      <c r="C742" s="170">
        <v>10</v>
      </c>
      <c r="D742" s="131" t="s">
        <v>556</v>
      </c>
      <c r="E742" s="453">
        <f>calcLOB1Clinician10Emp3GrossProd-calcLOB1Clinician10Emp3MissVisits</f>
        <v>0</v>
      </c>
      <c r="F742" s="453">
        <f>calcLOB1Clinician10Emp3GrossProd-calcLOB1Clinician10Emp3MissVisits</f>
        <v>0</v>
      </c>
      <c r="G742" s="453">
        <f>calcLOB1Clinician10Emp3GrossProd-calcLOB1Clinician10Emp3MissVisits</f>
        <v>0</v>
      </c>
      <c r="H742" s="131" t="s">
        <v>1901</v>
      </c>
      <c r="J742" s="131" t="s">
        <v>556</v>
      </c>
      <c r="K742" s="453">
        <f>calcR2LOB1Clinician10Emp3GrossProd-calcR2LOB1Clinician10Emp3MissVisits</f>
        <v>0</v>
      </c>
      <c r="L742" s="453">
        <f>calcR2LOB1Clinician10Emp3GrossProd-calcR2LOB1Clinician10Emp3MissVisits</f>
        <v>0</v>
      </c>
      <c r="M742" s="453">
        <f>calcR2LOB1Clinician10Emp3GrossProd-calcR2LOB1Clinician10Emp3MissVisits</f>
        <v>0</v>
      </c>
      <c r="N742" s="131" t="s">
        <v>6488</v>
      </c>
    </row>
    <row r="743" spans="1:14" ht="12.75" customHeight="1">
      <c r="A743" s="461"/>
      <c r="B743" s="460"/>
      <c r="C743" s="170">
        <v>11</v>
      </c>
      <c r="D743" s="131" t="s">
        <v>556</v>
      </c>
      <c r="E743" s="453">
        <f>calcLOB1Clinician11Emp3GrossProd-calcLOB1Clinician11Emp3MissVisits</f>
        <v>0</v>
      </c>
      <c r="F743" s="453">
        <f>calcLOB1Clinician11Emp3GrossProd-calcLOB1Clinician11Emp3MissVisits</f>
        <v>0</v>
      </c>
      <c r="G743" s="453">
        <f>calcLOB1Clinician11Emp3GrossProd-calcLOB1Clinician11Emp3MissVisits</f>
        <v>0</v>
      </c>
      <c r="H743" s="131" t="s">
        <v>1902</v>
      </c>
      <c r="J743" s="131" t="s">
        <v>556</v>
      </c>
      <c r="K743" s="453">
        <f>calcR2LOB1Clinician11Emp3GrossProd-calcR2LOB1Clinician11Emp3MissVisits</f>
        <v>0</v>
      </c>
      <c r="L743" s="453">
        <f>calcR2LOB1Clinician11Emp3GrossProd-calcR2LOB1Clinician11Emp3MissVisits</f>
        <v>0</v>
      </c>
      <c r="M743" s="453">
        <f>calcR2LOB1Clinician11Emp3GrossProd-calcR2LOB1Clinician11Emp3MissVisits</f>
        <v>0</v>
      </c>
      <c r="N743" s="131" t="s">
        <v>6489</v>
      </c>
    </row>
    <row r="744" spans="1:14" ht="12.75" customHeight="1">
      <c r="A744" s="461"/>
      <c r="B744" s="460"/>
      <c r="C744" s="170">
        <v>12</v>
      </c>
      <c r="D744" s="131" t="s">
        <v>556</v>
      </c>
      <c r="E744" s="453">
        <f>calcLOB1Clinician12Emp3GrossProd-calcLOB1Clinician12Emp3MissVisits</f>
        <v>0</v>
      </c>
      <c r="F744" s="453">
        <f>calcLOB1Clinician12Emp3GrossProd-calcLOB1Clinician12Emp3MissVisits</f>
        <v>0</v>
      </c>
      <c r="G744" s="453">
        <f>calcLOB1Clinician12Emp3GrossProd-calcLOB1Clinician12Emp3MissVisits</f>
        <v>0</v>
      </c>
      <c r="H744" s="131" t="s">
        <v>1903</v>
      </c>
      <c r="J744" s="131" t="s">
        <v>556</v>
      </c>
      <c r="K744" s="453">
        <f>calcR2LOB1Clinician12Emp3GrossProd-calcR2LOB1Clinician12Emp3MissVisits</f>
        <v>0</v>
      </c>
      <c r="L744" s="453">
        <f>calcR2LOB1Clinician12Emp3GrossProd-calcR2LOB1Clinician12Emp3MissVisits</f>
        <v>0</v>
      </c>
      <c r="M744" s="453">
        <f>calcR2LOB1Clinician12Emp3GrossProd-calcR2LOB1Clinician12Emp3MissVisits</f>
        <v>0</v>
      </c>
      <c r="N744" s="131" t="s">
        <v>6490</v>
      </c>
    </row>
    <row r="745" spans="1:14" ht="12.75" customHeight="1">
      <c r="A745" s="461"/>
      <c r="B745" s="460"/>
      <c r="D745" s="131" t="s">
        <v>556</v>
      </c>
      <c r="E745" s="453">
        <f>cbalLOB1AvgProdClinician15</f>
        <v>282.15000000000003</v>
      </c>
      <c r="F745" s="453">
        <f>cbalLOB1AvgProdClinician15</f>
        <v>569.92162499999995</v>
      </c>
      <c r="G745" s="453">
        <f>cbalLOB1AvgProdClinician15</f>
        <v>283.14749999999998</v>
      </c>
      <c r="H745" s="131" t="s">
        <v>4059</v>
      </c>
      <c r="J745" s="131" t="s">
        <v>556</v>
      </c>
      <c r="K745" s="453">
        <f>cbalR2LOB1AvgProdClinician15</f>
        <v>232.78237971546903</v>
      </c>
      <c r="L745" s="453">
        <f>cbalR2LOB1AvgProdClinician15</f>
        <v>566.61414896549536</v>
      </c>
      <c r="M745" s="453">
        <f>cbalR2LOB1AvgProdClinician15</f>
        <v>265.50461820778116</v>
      </c>
      <c r="N745" s="131" t="s">
        <v>6491</v>
      </c>
    </row>
    <row r="746" spans="1:14" ht="1.5" customHeight="1">
      <c r="A746" s="461"/>
      <c r="B746" s="460"/>
      <c r="D746" s="449"/>
      <c r="E746" s="450"/>
      <c r="F746" s="450"/>
      <c r="G746" s="450"/>
      <c r="H746" s="131"/>
      <c r="J746" s="449"/>
      <c r="K746" s="450"/>
      <c r="L746" s="450"/>
      <c r="M746" s="450"/>
      <c r="N746" s="131"/>
    </row>
    <row r="747" spans="1:14" ht="12.75" customHeight="1">
      <c r="A747" s="461"/>
      <c r="B747" s="460"/>
      <c r="D747" s="131" t="s">
        <v>2632</v>
      </c>
      <c r="E747" s="448">
        <f>SUM(E733:E746)</f>
        <v>374.81000000000006</v>
      </c>
      <c r="F747" s="448">
        <f t="shared" ref="F747" si="81">SUM(F733:F746)</f>
        <v>662.58162499999992</v>
      </c>
      <c r="G747" s="448">
        <f t="shared" ref="G747" si="82">SUM(G733:G746)</f>
        <v>375.8075</v>
      </c>
      <c r="H747" s="131" t="s">
        <v>2634</v>
      </c>
      <c r="J747" s="131" t="s">
        <v>2632</v>
      </c>
      <c r="K747" s="448">
        <f>SUM(K733:K746)</f>
        <v>325.44237971546903</v>
      </c>
      <c r="L747" s="448">
        <f t="shared" ref="L747:M747" si="83">SUM(L733:L746)</f>
        <v>659.27414896549533</v>
      </c>
      <c r="M747" s="448">
        <f t="shared" si="83"/>
        <v>358.16461820778113</v>
      </c>
      <c r="N747" s="131" t="s">
        <v>6492</v>
      </c>
    </row>
    <row r="748" spans="1:14" ht="12.75" customHeight="1">
      <c r="A748" s="461"/>
      <c r="B748" s="460"/>
    </row>
    <row r="749" spans="1:14" ht="12.75" customHeight="1">
      <c r="A749" s="461"/>
      <c r="B749" s="460"/>
      <c r="C749" s="131" t="s">
        <v>1618</v>
      </c>
    </row>
    <row r="750" spans="1:14" ht="12.75" customHeight="1">
      <c r="A750" s="461"/>
      <c r="B750" s="460"/>
      <c r="C750" s="170">
        <v>1</v>
      </c>
      <c r="D750" s="131" t="s">
        <v>556</v>
      </c>
      <c r="E750" s="453">
        <f>MAX(0,calcLOB1Clinician1Emp3GrossProd-30)</f>
        <v>0</v>
      </c>
      <c r="F750" s="453">
        <f>MAX(0,calcLOB1Clinician1Emp3GrossProd-30)</f>
        <v>0</v>
      </c>
      <c r="G750" s="453">
        <f>MAX(0,calcLOB1Clinician1Emp3GrossProd-30)</f>
        <v>0</v>
      </c>
      <c r="H750" s="131" t="s">
        <v>1904</v>
      </c>
      <c r="J750" s="131" t="s">
        <v>556</v>
      </c>
      <c r="K750" s="453">
        <f>MAX(0,calcR2LOB1Clinician1Emp3GrossProd-30)</f>
        <v>0</v>
      </c>
      <c r="L750" s="453">
        <f>MAX(0,calcR2LOB1Clinician1Emp3GrossProd-30)</f>
        <v>0</v>
      </c>
      <c r="M750" s="453">
        <f>MAX(0,calcR2LOB1Clinician1Emp3GrossProd-30)</f>
        <v>0</v>
      </c>
      <c r="N750" s="131" t="s">
        <v>6493</v>
      </c>
    </row>
    <row r="751" spans="1:14" ht="12.75" customHeight="1">
      <c r="A751" s="461"/>
      <c r="B751" s="460"/>
      <c r="C751" s="170">
        <v>2</v>
      </c>
      <c r="D751" s="131" t="s">
        <v>556</v>
      </c>
      <c r="E751" s="453">
        <f>MAX(0,calcLOB1Clinician2Emp3GrossProd-30)</f>
        <v>0</v>
      </c>
      <c r="F751" s="453">
        <f>MAX(0,calcLOB1Clinician2Emp3GrossProd-30)</f>
        <v>0</v>
      </c>
      <c r="G751" s="453">
        <f>MAX(0,calcLOB1Clinician2Emp3GrossProd-30)</f>
        <v>0</v>
      </c>
      <c r="H751" s="131" t="s">
        <v>1905</v>
      </c>
      <c r="J751" s="131" t="s">
        <v>556</v>
      </c>
      <c r="K751" s="453">
        <f>MAX(0,calcR2LOB1Clinician2Emp3GrossProd-30)</f>
        <v>0</v>
      </c>
      <c r="L751" s="453">
        <f>MAX(0,calcR2LOB1Clinician2Emp3GrossProd-30)</f>
        <v>0</v>
      </c>
      <c r="M751" s="453">
        <f>MAX(0,calcR2LOB1Clinician2Emp3GrossProd-30)</f>
        <v>0</v>
      </c>
      <c r="N751" s="131" t="s">
        <v>6494</v>
      </c>
    </row>
    <row r="752" spans="1:14" ht="12.75" customHeight="1">
      <c r="A752" s="461"/>
      <c r="B752" s="460"/>
      <c r="C752" s="170">
        <v>3</v>
      </c>
      <c r="D752" s="131" t="s">
        <v>556</v>
      </c>
      <c r="E752" s="453">
        <f>MAX(0,calcLOB1Clinician3Emp3GrossProd-30)</f>
        <v>0</v>
      </c>
      <c r="F752" s="453">
        <f>MAX(0,calcLOB1Clinician3Emp3GrossProd-30)</f>
        <v>0</v>
      </c>
      <c r="G752" s="453">
        <f>MAX(0,calcLOB1Clinician3Emp3GrossProd-30)</f>
        <v>0</v>
      </c>
      <c r="H752" s="131" t="s">
        <v>1906</v>
      </c>
      <c r="J752" s="131" t="s">
        <v>556</v>
      </c>
      <c r="K752" s="453">
        <f>MAX(0,calcR2LOB1Clinician3Emp3GrossProd-30)</f>
        <v>0</v>
      </c>
      <c r="L752" s="453">
        <f>MAX(0,calcR2LOB1Clinician3Emp3GrossProd-30)</f>
        <v>0</v>
      </c>
      <c r="M752" s="453">
        <f>MAX(0,calcR2LOB1Clinician3Emp3GrossProd-30)</f>
        <v>0</v>
      </c>
      <c r="N752" s="131" t="s">
        <v>6495</v>
      </c>
    </row>
    <row r="753" spans="1:14" ht="12.75" customHeight="1">
      <c r="A753" s="461"/>
      <c r="B753" s="460"/>
      <c r="C753" s="170">
        <v>4</v>
      </c>
      <c r="D753" s="131" t="s">
        <v>556</v>
      </c>
      <c r="E753" s="453">
        <f>MAX(0,calcLOB1Clinician4Emp3GrossProd-30)</f>
        <v>0</v>
      </c>
      <c r="F753" s="453">
        <f>MAX(0,calcLOB1Clinician4Emp3GrossProd-30)</f>
        <v>0</v>
      </c>
      <c r="G753" s="453">
        <f>MAX(0,calcLOB1Clinician4Emp3GrossProd-30)</f>
        <v>0</v>
      </c>
      <c r="H753" s="131" t="s">
        <v>1907</v>
      </c>
      <c r="J753" s="131" t="s">
        <v>556</v>
      </c>
      <c r="K753" s="453">
        <f>MAX(0,calcR2LOB1Clinician4Emp3GrossProd-30)</f>
        <v>0</v>
      </c>
      <c r="L753" s="453">
        <f>MAX(0,calcR2LOB1Clinician4Emp3GrossProd-30)</f>
        <v>0</v>
      </c>
      <c r="M753" s="453">
        <f>MAX(0,calcR2LOB1Clinician4Emp3GrossProd-30)</f>
        <v>0</v>
      </c>
      <c r="N753" s="131" t="s">
        <v>6496</v>
      </c>
    </row>
    <row r="754" spans="1:14" ht="12.75" customHeight="1">
      <c r="A754" s="461"/>
      <c r="B754" s="460"/>
      <c r="C754" s="170">
        <v>5</v>
      </c>
      <c r="D754" s="131" t="s">
        <v>556</v>
      </c>
      <c r="E754" s="453">
        <f>MAX(0,calcLOB1Clinician5Emp3GrossProd-30)</f>
        <v>0</v>
      </c>
      <c r="F754" s="453">
        <f>MAX(0,calcLOB1Clinician5Emp3GrossProd-30)</f>
        <v>0</v>
      </c>
      <c r="G754" s="453">
        <f>MAX(0,calcLOB1Clinician5Emp3GrossProd-30)</f>
        <v>0</v>
      </c>
      <c r="H754" s="131" t="s">
        <v>1908</v>
      </c>
      <c r="J754" s="131" t="s">
        <v>556</v>
      </c>
      <c r="K754" s="453">
        <f>MAX(0,calcR2LOB1Clinician5Emp3GrossProd-30)</f>
        <v>0</v>
      </c>
      <c r="L754" s="453">
        <f>MAX(0,calcR2LOB1Clinician5Emp3GrossProd-30)</f>
        <v>0</v>
      </c>
      <c r="M754" s="453">
        <f>MAX(0,calcR2LOB1Clinician5Emp3GrossProd-30)</f>
        <v>0</v>
      </c>
      <c r="N754" s="131" t="s">
        <v>6497</v>
      </c>
    </row>
    <row r="755" spans="1:14" ht="12.75" customHeight="1">
      <c r="A755" s="461"/>
      <c r="B755" s="460"/>
      <c r="C755" s="170">
        <v>6</v>
      </c>
      <c r="D755" s="131" t="s">
        <v>556</v>
      </c>
      <c r="E755" s="453">
        <f>MAX(0,calcLOB1Clinician6Emp3GrossProd-30)</f>
        <v>0</v>
      </c>
      <c r="F755" s="453">
        <f>MAX(0,calcLOB1Clinician6Emp3GrossProd-30)</f>
        <v>0</v>
      </c>
      <c r="G755" s="453">
        <f>MAX(0,calcLOB1Clinician6Emp3GrossProd-30)</f>
        <v>0</v>
      </c>
      <c r="H755" s="131" t="s">
        <v>1909</v>
      </c>
      <c r="J755" s="131" t="s">
        <v>556</v>
      </c>
      <c r="K755" s="453">
        <f>MAX(0,calcR2LOB1Clinician6Emp3GrossProd-30)</f>
        <v>0</v>
      </c>
      <c r="L755" s="453">
        <f>MAX(0,calcR2LOB1Clinician6Emp3GrossProd-30)</f>
        <v>0</v>
      </c>
      <c r="M755" s="453">
        <f>MAX(0,calcR2LOB1Clinician6Emp3GrossProd-30)</f>
        <v>0</v>
      </c>
      <c r="N755" s="131" t="s">
        <v>6498</v>
      </c>
    </row>
    <row r="756" spans="1:14" ht="12.75" customHeight="1">
      <c r="A756" s="461"/>
      <c r="B756" s="460"/>
      <c r="C756" s="170">
        <v>7</v>
      </c>
      <c r="D756" s="131" t="s">
        <v>556</v>
      </c>
      <c r="E756" s="453">
        <f>MAX(0,calcLOB1Clinician7Emp3GrossProd-30)</f>
        <v>0</v>
      </c>
      <c r="F756" s="453">
        <f>MAX(0,calcLOB1Clinician7Emp3GrossProd-30)</f>
        <v>0</v>
      </c>
      <c r="G756" s="453">
        <f>MAX(0,calcLOB1Clinician7Emp3GrossProd-30)</f>
        <v>0</v>
      </c>
      <c r="H756" s="131" t="s">
        <v>1910</v>
      </c>
      <c r="J756" s="131" t="s">
        <v>556</v>
      </c>
      <c r="K756" s="453">
        <f>MAX(0,calcR2LOB1Clinician7Emp3GrossProd-30)</f>
        <v>0</v>
      </c>
      <c r="L756" s="453">
        <f>MAX(0,calcR2LOB1Clinician7Emp3GrossProd-30)</f>
        <v>0</v>
      </c>
      <c r="M756" s="453">
        <f>MAX(0,calcR2LOB1Clinician7Emp3GrossProd-30)</f>
        <v>0</v>
      </c>
      <c r="N756" s="131" t="s">
        <v>6499</v>
      </c>
    </row>
    <row r="757" spans="1:14" ht="12.75" customHeight="1">
      <c r="A757" s="461"/>
      <c r="B757" s="460"/>
      <c r="C757" s="170">
        <v>8</v>
      </c>
      <c r="D757" s="131" t="s">
        <v>556</v>
      </c>
      <c r="E757" s="453">
        <f>MAX(0,calcLOB1Clinician8Emp3GrossProd-30)</f>
        <v>0</v>
      </c>
      <c r="F757" s="453">
        <f>MAX(0,calcLOB1Clinician8Emp3GrossProd-30)</f>
        <v>0</v>
      </c>
      <c r="G757" s="453">
        <f>MAX(0,calcLOB1Clinician8Emp3GrossProd-30)</f>
        <v>0</v>
      </c>
      <c r="H757" s="131" t="s">
        <v>1911</v>
      </c>
      <c r="J757" s="131" t="s">
        <v>556</v>
      </c>
      <c r="K757" s="453">
        <f>MAX(0,calcR2LOB1Clinician8Emp3GrossProd-30)</f>
        <v>0</v>
      </c>
      <c r="L757" s="453">
        <f>MAX(0,calcR2LOB1Clinician8Emp3GrossProd-30)</f>
        <v>0</v>
      </c>
      <c r="M757" s="453">
        <f>MAX(0,calcR2LOB1Clinician8Emp3GrossProd-30)</f>
        <v>0</v>
      </c>
      <c r="N757" s="131" t="s">
        <v>6500</v>
      </c>
    </row>
    <row r="758" spans="1:14" ht="12.75" customHeight="1">
      <c r="A758" s="461"/>
      <c r="B758" s="460"/>
      <c r="C758" s="170">
        <v>9</v>
      </c>
      <c r="D758" s="131" t="s">
        <v>556</v>
      </c>
      <c r="E758" s="724">
        <f>MAX(0,calcLOB1Clinician9Emp3GrossProd-20)</f>
        <v>0</v>
      </c>
      <c r="F758" s="724">
        <f>MAX(0,calcLOB1Clinician9Emp3GrossProd-20)</f>
        <v>0</v>
      </c>
      <c r="G758" s="724">
        <f>MAX(0,calcLOB1Clinician9Emp3GrossProd-20)</f>
        <v>0</v>
      </c>
      <c r="H758" s="131" t="s">
        <v>1912</v>
      </c>
      <c r="J758" s="131" t="s">
        <v>556</v>
      </c>
      <c r="K758" s="724">
        <f>MAX(0,calcR2LOB1Clinician9Emp3GrossProd-20)</f>
        <v>0</v>
      </c>
      <c r="L758" s="724">
        <f>MAX(0,calcR2LOB1Clinician9Emp3GrossProd-20)</f>
        <v>0</v>
      </c>
      <c r="M758" s="724">
        <f>MAX(0,calcR2LOB1Clinician9Emp3GrossProd-20)</f>
        <v>0</v>
      </c>
      <c r="N758" s="131" t="s">
        <v>6501</v>
      </c>
    </row>
    <row r="759" spans="1:14" ht="12.75" customHeight="1">
      <c r="A759" s="461"/>
      <c r="B759" s="460"/>
      <c r="C759" s="170">
        <v>10</v>
      </c>
      <c r="D759" s="131" t="s">
        <v>556</v>
      </c>
      <c r="E759" s="453">
        <f>MAX(0,calcLOB1Clinician10Emp3GrossProd-30)</f>
        <v>0</v>
      </c>
      <c r="F759" s="453">
        <f>MAX(0,calcLOB1Clinician10Emp3GrossProd-30)</f>
        <v>0</v>
      </c>
      <c r="G759" s="453">
        <f>MAX(0,calcLOB1Clinician10Emp3GrossProd-30)</f>
        <v>0</v>
      </c>
      <c r="H759" s="131" t="s">
        <v>1913</v>
      </c>
      <c r="J759" s="131" t="s">
        <v>556</v>
      </c>
      <c r="K759" s="453">
        <f>MAX(0,calcR2LOB1Clinician10Emp3GrossProd-30)</f>
        <v>0</v>
      </c>
      <c r="L759" s="453">
        <f>MAX(0,calcR2LOB1Clinician10Emp3GrossProd-30)</f>
        <v>0</v>
      </c>
      <c r="M759" s="453">
        <f>MAX(0,calcR2LOB1Clinician10Emp3GrossProd-30)</f>
        <v>0</v>
      </c>
      <c r="N759" s="131" t="s">
        <v>6502</v>
      </c>
    </row>
    <row r="760" spans="1:14" ht="12.75" customHeight="1">
      <c r="A760" s="461"/>
      <c r="B760" s="460"/>
      <c r="C760" s="170">
        <v>11</v>
      </c>
      <c r="D760" s="131" t="s">
        <v>556</v>
      </c>
      <c r="E760" s="453">
        <f>MAX(0,calcLOB1Clinician11Emp3GrossProd-30)</f>
        <v>0</v>
      </c>
      <c r="F760" s="453">
        <f>MAX(0,calcLOB1Clinician11Emp3GrossProd-30)</f>
        <v>0</v>
      </c>
      <c r="G760" s="453">
        <f>MAX(0,calcLOB1Clinician11Emp3GrossProd-30)</f>
        <v>0</v>
      </c>
      <c r="H760" s="131" t="s">
        <v>1914</v>
      </c>
      <c r="J760" s="131" t="s">
        <v>556</v>
      </c>
      <c r="K760" s="453">
        <f>MAX(0,calcR2LOB1Clinician11Emp3GrossProd-30)</f>
        <v>0</v>
      </c>
      <c r="L760" s="453">
        <f>MAX(0,calcR2LOB1Clinician11Emp3GrossProd-30)</f>
        <v>0</v>
      </c>
      <c r="M760" s="453">
        <f>MAX(0,calcR2LOB1Clinician11Emp3GrossProd-30)</f>
        <v>0</v>
      </c>
      <c r="N760" s="131" t="s">
        <v>6503</v>
      </c>
    </row>
    <row r="761" spans="1:14" ht="12.75" customHeight="1">
      <c r="A761" s="461"/>
      <c r="B761" s="460"/>
      <c r="C761" s="170">
        <v>12</v>
      </c>
      <c r="D761" s="131" t="s">
        <v>556</v>
      </c>
      <c r="E761" s="453">
        <f>MAX(0,calcLOB1Clinician12Emp3GrossProd-30)</f>
        <v>0</v>
      </c>
      <c r="F761" s="453">
        <f>MAX(0,calcLOB1Clinician12Emp3GrossProd-30)</f>
        <v>0</v>
      </c>
      <c r="G761" s="453">
        <f>MAX(0,calcLOB1Clinician12Emp3GrossProd-30)</f>
        <v>0</v>
      </c>
      <c r="H761" s="131" t="s">
        <v>1915</v>
      </c>
      <c r="J761" s="131" t="s">
        <v>556</v>
      </c>
      <c r="K761" s="453">
        <f>MAX(0,calcR2LOB1Clinician12Emp3GrossProd-30)</f>
        <v>0</v>
      </c>
      <c r="L761" s="453">
        <f>MAX(0,calcR2LOB1Clinician12Emp3GrossProd-30)</f>
        <v>0</v>
      </c>
      <c r="M761" s="453">
        <f>MAX(0,calcR2LOB1Clinician12Emp3GrossProd-30)</f>
        <v>0</v>
      </c>
      <c r="N761" s="131" t="s">
        <v>6504</v>
      </c>
    </row>
    <row r="762" spans="1:14" ht="12.75" customHeight="1">
      <c r="A762" s="461"/>
    </row>
    <row r="763" spans="1:14" ht="12.75" customHeight="1">
      <c r="A763" s="461"/>
      <c r="C763" s="131" t="s">
        <v>1586</v>
      </c>
    </row>
    <row r="764" spans="1:14" ht="12.75" customHeight="1">
      <c r="A764" s="461"/>
      <c r="D764" s="8" t="s">
        <v>595</v>
      </c>
      <c r="E764" s="448">
        <f>calcLOB1Clinician1Disc1Emp1BaseProd+calcLOB1Clinician1Disc2Emp1BaseProd+calcLOB1Clinician1Emp2BaseProd+calcLOB1Clinician1Emp3BaseProd</f>
        <v>27</v>
      </c>
      <c r="F764" s="448">
        <f>calcLOB1Clinician1Disc1Emp1BaseProd+calcLOB1Clinician1Disc2Emp1BaseProd+calcLOB1Clinician1Emp2BaseProd+calcLOB1Clinician1Emp3BaseProd</f>
        <v>27</v>
      </c>
      <c r="G764" s="448">
        <f>calcLOB1Clinician1Disc1Emp1BaseProd+calcLOB1Clinician1Disc2Emp1BaseProd+calcLOB1Clinician1Emp2BaseProd+calcLOB1Clinician1Emp3BaseProd</f>
        <v>27</v>
      </c>
      <c r="H764" s="131" t="s">
        <v>1916</v>
      </c>
      <c r="J764" s="8" t="s">
        <v>595</v>
      </c>
      <c r="K764" s="448">
        <f>calcR2LOB1Clinician1Disc1Emp1BaseProd+calcR2LOB1Clinician1Disc2Emp1BaseProd+calcR2LOB1Clinician1Emp2BaseProd+calcR2LOB1Clinician1Emp3BaseProd</f>
        <v>27</v>
      </c>
      <c r="L764" s="448">
        <f>calcR2LOB1Clinician1Disc1Emp1BaseProd+calcR2LOB1Clinician1Disc2Emp1BaseProd+calcR2LOB1Clinician1Emp2BaseProd+calcR2LOB1Clinician1Emp3BaseProd</f>
        <v>27</v>
      </c>
      <c r="M764" s="448">
        <f>calcR2LOB1Clinician1Disc1Emp1BaseProd+calcR2LOB1Clinician1Disc2Emp1BaseProd+calcR2LOB1Clinician1Emp2BaseProd+calcR2LOB1Clinician1Emp3BaseProd</f>
        <v>27</v>
      </c>
      <c r="N764" s="131" t="s">
        <v>6505</v>
      </c>
    </row>
    <row r="765" spans="1:14" ht="12.75" customHeight="1">
      <c r="A765" s="461"/>
      <c r="D765" s="8" t="s">
        <v>596</v>
      </c>
      <c r="E765" s="448">
        <f>calcLOB1Clinician2Disc1Emp1BaseProd+calcLOB1Clinician2Disc2Emp1BaseProd+calcLOB1Clinician2Emp2BaseProd+calcLOB1Clinician2Emp3BaseProd</f>
        <v>24</v>
      </c>
      <c r="F765" s="448">
        <f>calcLOB1Clinician2Disc1Emp1BaseProd+calcLOB1Clinician2Disc2Emp1BaseProd+calcLOB1Clinician2Emp2BaseProd+calcLOB1Clinician2Emp3BaseProd</f>
        <v>24</v>
      </c>
      <c r="G765" s="448">
        <f>calcLOB1Clinician2Disc1Emp1BaseProd+calcLOB1Clinician2Disc2Emp1BaseProd+calcLOB1Clinician2Emp2BaseProd+calcLOB1Clinician2Emp3BaseProd</f>
        <v>24</v>
      </c>
      <c r="H765" s="131" t="s">
        <v>1917</v>
      </c>
      <c r="J765" s="8" t="s">
        <v>596</v>
      </c>
      <c r="K765" s="448">
        <f>calcR2LOB1Clinician2Disc1Emp1BaseProd+calcR2LOB1Clinician2Disc2Emp1BaseProd+calcR2LOB1Clinician2Emp2BaseProd+calcR2LOB1Clinician2Emp3BaseProd</f>
        <v>24</v>
      </c>
      <c r="L765" s="448">
        <f>calcR2LOB1Clinician2Disc1Emp1BaseProd+calcR2LOB1Clinician2Disc2Emp1BaseProd+calcR2LOB1Clinician2Emp2BaseProd+calcR2LOB1Clinician2Emp3BaseProd</f>
        <v>24</v>
      </c>
      <c r="M765" s="448">
        <f>calcR2LOB1Clinician2Disc1Emp1BaseProd+calcR2LOB1Clinician2Disc2Emp1BaseProd+calcR2LOB1Clinician2Emp2BaseProd+calcR2LOB1Clinician2Emp3BaseProd</f>
        <v>24</v>
      </c>
      <c r="N765" s="131" t="s">
        <v>6506</v>
      </c>
    </row>
    <row r="766" spans="1:14" ht="12.75" customHeight="1">
      <c r="A766" s="461"/>
      <c r="D766" s="8" t="s">
        <v>597</v>
      </c>
      <c r="E766" s="448">
        <f>calcLOB1Clinician3Disc1Emp1BaseProd+calcLOB1Clinician3Disc2Emp1BaseProd+calcLOB1Clinician3Emp2BaseProd+calcLOB1Clinician3Emp3BaseProd</f>
        <v>12.526315789473685</v>
      </c>
      <c r="F766" s="448">
        <f>calcLOB1Clinician3Disc1Emp1BaseProd+calcLOB1Clinician3Disc2Emp1BaseProd+calcLOB1Clinician3Emp2BaseProd+calcLOB1Clinician3Emp3BaseProd</f>
        <v>12.526315789473685</v>
      </c>
      <c r="G766" s="448">
        <f>calcLOB1Clinician3Disc1Emp1BaseProd+calcLOB1Clinician3Disc2Emp1BaseProd+calcLOB1Clinician3Emp2BaseProd+calcLOB1Clinician3Emp3BaseProd</f>
        <v>12.526315789473685</v>
      </c>
      <c r="H766" s="131" t="s">
        <v>1918</v>
      </c>
      <c r="J766" s="8" t="s">
        <v>597</v>
      </c>
      <c r="K766" s="448">
        <f>calcR2LOB1Clinician3Disc1Emp1BaseProd+calcR2LOB1Clinician3Disc2Emp1BaseProd+calcR2LOB1Clinician3Emp2BaseProd+calcR2LOB1Clinician3Emp3BaseProd</f>
        <v>12.526315789473685</v>
      </c>
      <c r="L766" s="448">
        <f>calcR2LOB1Clinician3Disc1Emp1BaseProd+calcR2LOB1Clinician3Disc2Emp1BaseProd+calcR2LOB1Clinician3Emp2BaseProd+calcR2LOB1Clinician3Emp3BaseProd</f>
        <v>12.526315789473685</v>
      </c>
      <c r="M766" s="448">
        <f>calcR2LOB1Clinician3Disc1Emp1BaseProd+calcR2LOB1Clinician3Disc2Emp1BaseProd+calcR2LOB1Clinician3Emp2BaseProd+calcR2LOB1Clinician3Emp3BaseProd</f>
        <v>12.526315789473685</v>
      </c>
      <c r="N766" s="131" t="s">
        <v>6507</v>
      </c>
    </row>
    <row r="767" spans="1:14" ht="12.75" customHeight="1">
      <c r="A767" s="461"/>
      <c r="D767" s="8" t="s">
        <v>598</v>
      </c>
      <c r="E767" s="448">
        <f>calcLOB1Clinician4Disc1Emp1BaseProd+calcLOB1Clinician4Disc2Emp1BaseProd+calcLOB1Clinician4Emp2BaseProd+calcLOB1Clinician4Emp3BaseProd</f>
        <v>33</v>
      </c>
      <c r="F767" s="448">
        <f>calcLOB1Clinician4Disc1Emp1BaseProd+calcLOB1Clinician4Disc2Emp1BaseProd+calcLOB1Clinician4Emp2BaseProd+calcLOB1Clinician4Emp3BaseProd</f>
        <v>33</v>
      </c>
      <c r="G767" s="448">
        <f>calcLOB1Clinician4Disc1Emp1BaseProd+calcLOB1Clinician4Disc2Emp1BaseProd+calcLOB1Clinician4Emp2BaseProd+calcLOB1Clinician4Emp3BaseProd</f>
        <v>33</v>
      </c>
      <c r="H767" s="131" t="s">
        <v>1919</v>
      </c>
      <c r="J767" s="8" t="s">
        <v>598</v>
      </c>
      <c r="K767" s="448">
        <f>calcR2LOB1Clinician4Disc1Emp1BaseProd+calcR2LOB1Clinician4Disc2Emp1BaseProd+calcR2LOB1Clinician4Emp2BaseProd+calcR2LOB1Clinician4Emp3BaseProd</f>
        <v>33</v>
      </c>
      <c r="L767" s="448">
        <f>calcR2LOB1Clinician4Disc1Emp1BaseProd+calcR2LOB1Clinician4Disc2Emp1BaseProd+calcR2LOB1Clinician4Emp2BaseProd+calcR2LOB1Clinician4Emp3BaseProd</f>
        <v>33</v>
      </c>
      <c r="M767" s="448">
        <f>calcR2LOB1Clinician4Disc1Emp1BaseProd+calcR2LOB1Clinician4Disc2Emp1BaseProd+calcR2LOB1Clinician4Emp2BaseProd+calcR2LOB1Clinician4Emp3BaseProd</f>
        <v>33</v>
      </c>
      <c r="N767" s="131" t="s">
        <v>6508</v>
      </c>
    </row>
    <row r="768" spans="1:14" ht="12.75" customHeight="1">
      <c r="A768" s="461"/>
      <c r="D768" s="8" t="s">
        <v>599</v>
      </c>
      <c r="E768" s="448">
        <f>calcLOB1Clinician5Disc1Emp1BaseProd+calcLOB1Clinician5Disc2Emp1BaseProd+calcLOB1Clinician5Emp2BaseProd+calcLOB1Clinician5Emp3BaseProd</f>
        <v>17.52577319587629</v>
      </c>
      <c r="F768" s="448">
        <f>calcLOB1Clinician5Disc1Emp1BaseProd+calcLOB1Clinician5Disc2Emp1BaseProd+calcLOB1Clinician5Emp2BaseProd+calcLOB1Clinician5Emp3BaseProd</f>
        <v>17.52577319587629</v>
      </c>
      <c r="G768" s="448">
        <f>calcLOB1Clinician5Disc1Emp1BaseProd+calcLOB1Clinician5Disc2Emp1BaseProd+calcLOB1Clinician5Emp2BaseProd+calcLOB1Clinician5Emp3BaseProd</f>
        <v>17.52577319587629</v>
      </c>
      <c r="H768" s="131" t="s">
        <v>1920</v>
      </c>
      <c r="J768" s="8" t="s">
        <v>599</v>
      </c>
      <c r="K768" s="448">
        <f>calcR2LOB1Clinician5Disc1Emp1BaseProd+calcR2LOB1Clinician5Disc2Emp1BaseProd+calcR2LOB1Clinician5Emp2BaseProd+calcR2LOB1Clinician5Emp3BaseProd</f>
        <v>17.52577319587629</v>
      </c>
      <c r="L768" s="448">
        <f>calcR2LOB1Clinician5Disc1Emp1BaseProd+calcR2LOB1Clinician5Disc2Emp1BaseProd+calcR2LOB1Clinician5Emp2BaseProd+calcR2LOB1Clinician5Emp3BaseProd</f>
        <v>17.52577319587629</v>
      </c>
      <c r="M768" s="448">
        <f>calcR2LOB1Clinician5Disc1Emp1BaseProd+calcR2LOB1Clinician5Disc2Emp1BaseProd+calcR2LOB1Clinician5Emp2BaseProd+calcR2LOB1Clinician5Emp3BaseProd</f>
        <v>17.52577319587629</v>
      </c>
      <c r="N768" s="131" t="s">
        <v>6509</v>
      </c>
    </row>
    <row r="769" spans="1:14" ht="12.75" customHeight="1">
      <c r="A769" s="461"/>
      <c r="D769" s="8" t="s">
        <v>600</v>
      </c>
      <c r="E769" s="448">
        <f>calcLOB1Clinician6Disc1Emp1BaseProd+calcLOB1Clinician6Disc2Emp1BaseProd+calcLOB1Clinician6Emp2BaseProd+calcLOB1Clinician6Emp3BaseProd</f>
        <v>30</v>
      </c>
      <c r="F769" s="448">
        <f>calcLOB1Clinician6Disc1Emp1BaseProd+calcLOB1Clinician6Disc2Emp1BaseProd+calcLOB1Clinician6Emp2BaseProd+calcLOB1Clinician6Emp3BaseProd</f>
        <v>30</v>
      </c>
      <c r="G769" s="448">
        <f>calcLOB1Clinician6Disc1Emp1BaseProd+calcLOB1Clinician6Disc2Emp1BaseProd+calcLOB1Clinician6Emp2BaseProd+calcLOB1Clinician6Emp3BaseProd</f>
        <v>30</v>
      </c>
      <c r="H769" s="131" t="s">
        <v>1921</v>
      </c>
      <c r="J769" s="8" t="s">
        <v>600</v>
      </c>
      <c r="K769" s="448">
        <f>calcR2LOB1Clinician6Disc1Emp1BaseProd+calcR2LOB1Clinician6Disc2Emp1BaseProd+calcR2LOB1Clinician6Emp2BaseProd+calcR2LOB1Clinician6Emp3BaseProd</f>
        <v>30</v>
      </c>
      <c r="L769" s="448">
        <f>calcR2LOB1Clinician6Disc1Emp1BaseProd+calcR2LOB1Clinician6Disc2Emp1BaseProd+calcR2LOB1Clinician6Emp2BaseProd+calcR2LOB1Clinician6Emp3BaseProd</f>
        <v>30</v>
      </c>
      <c r="M769" s="448">
        <f>calcR2LOB1Clinician6Disc1Emp1BaseProd+calcR2LOB1Clinician6Disc2Emp1BaseProd+calcR2LOB1Clinician6Emp2BaseProd+calcR2LOB1Clinician6Emp3BaseProd</f>
        <v>30</v>
      </c>
      <c r="N769" s="131" t="s">
        <v>6510</v>
      </c>
    </row>
    <row r="770" spans="1:14" ht="12.75" customHeight="1">
      <c r="A770" s="461"/>
      <c r="D770" s="8" t="s">
        <v>601</v>
      </c>
      <c r="E770" s="448">
        <f>calcLOB1Clinician7Disc1Emp1BaseProd+calcLOB1Clinician7Disc2Emp1BaseProd+calcLOB1Clinician7Emp2BaseProd+calcLOB1Clinician7Emp3BaseProd</f>
        <v>28</v>
      </c>
      <c r="F770" s="448">
        <f>calcLOB1Clinician7Disc1Emp1BaseProd+calcLOB1Clinician7Disc2Emp1BaseProd+calcLOB1Clinician7Emp2BaseProd+calcLOB1Clinician7Emp3BaseProd</f>
        <v>28</v>
      </c>
      <c r="G770" s="448">
        <f>calcLOB1Clinician7Disc1Emp1BaseProd+calcLOB1Clinician7Disc2Emp1BaseProd+calcLOB1Clinician7Emp2BaseProd+calcLOB1Clinician7Emp3BaseProd</f>
        <v>28</v>
      </c>
      <c r="H770" s="131" t="s">
        <v>1922</v>
      </c>
      <c r="J770" s="8" t="s">
        <v>601</v>
      </c>
      <c r="K770" s="448">
        <f>calcR2LOB1Clinician7Disc1Emp1BaseProd+calcR2LOB1Clinician7Disc2Emp1BaseProd+calcR2LOB1Clinician7Emp2BaseProd+calcR2LOB1Clinician7Emp3BaseProd</f>
        <v>28</v>
      </c>
      <c r="L770" s="448">
        <f>calcR2LOB1Clinician7Disc1Emp1BaseProd+calcR2LOB1Clinician7Disc2Emp1BaseProd+calcR2LOB1Clinician7Emp2BaseProd+calcR2LOB1Clinician7Emp3BaseProd</f>
        <v>28</v>
      </c>
      <c r="M770" s="448">
        <f>calcR2LOB1Clinician7Disc1Emp1BaseProd+calcR2LOB1Clinician7Disc2Emp1BaseProd+calcR2LOB1Clinician7Emp2BaseProd+calcR2LOB1Clinician7Emp3BaseProd</f>
        <v>28</v>
      </c>
      <c r="N770" s="131" t="s">
        <v>6511</v>
      </c>
    </row>
    <row r="771" spans="1:14" ht="12.75" customHeight="1">
      <c r="A771" s="461"/>
      <c r="D771" s="8" t="s">
        <v>602</v>
      </c>
      <c r="E771" s="448">
        <f>calcLOB1Clinician8Disc1Emp1BaseProd+calcLOB1Clinician8Disc2Emp1BaseProd+calcLOB1Clinician8Emp2BaseProd+calcLOB1Clinician8Emp3BaseProd</f>
        <v>29</v>
      </c>
      <c r="F771" s="448">
        <f>calcLOB1Clinician8Disc1Emp1BaseProd+calcLOB1Clinician8Disc2Emp1BaseProd+calcLOB1Clinician8Emp2BaseProd+calcLOB1Clinician8Emp3BaseProd</f>
        <v>29</v>
      </c>
      <c r="G771" s="448">
        <f>calcLOB1Clinician8Disc1Emp1BaseProd+calcLOB1Clinician8Disc2Emp1BaseProd+calcLOB1Clinician8Emp2BaseProd+calcLOB1Clinician8Emp3BaseProd</f>
        <v>29</v>
      </c>
      <c r="H771" s="131" t="s">
        <v>1923</v>
      </c>
      <c r="J771" s="8" t="s">
        <v>602</v>
      </c>
      <c r="K771" s="448">
        <f>calcR2LOB1Clinician8Disc1Emp1BaseProd+calcR2LOB1Clinician8Disc2Emp1BaseProd+calcR2LOB1Clinician8Emp2BaseProd+calcR2LOB1Clinician8Emp3BaseProd</f>
        <v>29</v>
      </c>
      <c r="L771" s="448">
        <f>calcR2LOB1Clinician8Disc1Emp1BaseProd+calcR2LOB1Clinician8Disc2Emp1BaseProd+calcR2LOB1Clinician8Emp2BaseProd+calcR2LOB1Clinician8Emp3BaseProd</f>
        <v>29</v>
      </c>
      <c r="M771" s="448">
        <f>calcR2LOB1Clinician8Disc1Emp1BaseProd+calcR2LOB1Clinician8Disc2Emp1BaseProd+calcR2LOB1Clinician8Emp2BaseProd+calcR2LOB1Clinician8Emp3BaseProd</f>
        <v>29</v>
      </c>
      <c r="N771" s="131" t="s">
        <v>6512</v>
      </c>
    </row>
    <row r="772" spans="1:14" ht="12.75" customHeight="1">
      <c r="A772" s="461"/>
      <c r="D772" s="8" t="s">
        <v>603</v>
      </c>
      <c r="E772" s="448">
        <f>calcLOB1Clinician9Disc1Emp1BaseProd+calcLOB1Clinician9Disc2Emp1BaseProd+calcLOB1Clinician9Emp2BaseProd+calcLOB1Clinician9Emp3BaseProd</f>
        <v>15.773195876288661</v>
      </c>
      <c r="F772" s="448">
        <f>calcLOB1Clinician9Disc1Emp1BaseProd+calcLOB1Clinician9Disc2Emp1BaseProd+calcLOB1Clinician9Emp2BaseProd+calcLOB1Clinician9Emp3BaseProd</f>
        <v>15.773195876288661</v>
      </c>
      <c r="G772" s="448">
        <f>calcLOB1Clinician9Disc1Emp1BaseProd+calcLOB1Clinician9Disc2Emp1BaseProd+calcLOB1Clinician9Emp2BaseProd+calcLOB1Clinician9Emp3BaseProd</f>
        <v>15.773195876288661</v>
      </c>
      <c r="H772" s="131" t="s">
        <v>1924</v>
      </c>
      <c r="J772" s="8" t="s">
        <v>603</v>
      </c>
      <c r="K772" s="448">
        <f>calcR2LOB1Clinician9Disc1Emp1BaseProd+calcR2LOB1Clinician9Disc2Emp1BaseProd+calcR2LOB1Clinician9Emp2BaseProd+calcR2LOB1Clinician9Emp3BaseProd</f>
        <v>15.773195876288661</v>
      </c>
      <c r="L772" s="448">
        <f>calcR2LOB1Clinician9Disc1Emp1BaseProd+calcR2LOB1Clinician9Disc2Emp1BaseProd+calcR2LOB1Clinician9Emp2BaseProd+calcR2LOB1Clinician9Emp3BaseProd</f>
        <v>15.773195876288661</v>
      </c>
      <c r="M772" s="448">
        <f>calcR2LOB1Clinician9Disc1Emp1BaseProd+calcR2LOB1Clinician9Disc2Emp1BaseProd+calcR2LOB1Clinician9Emp2BaseProd+calcR2LOB1Clinician9Emp3BaseProd</f>
        <v>15.773195876288661</v>
      </c>
      <c r="N772" s="131" t="s">
        <v>6513</v>
      </c>
    </row>
    <row r="773" spans="1:14" ht="12.75" customHeight="1">
      <c r="A773" s="461"/>
      <c r="D773" s="8" t="s">
        <v>604</v>
      </c>
      <c r="E773" s="448">
        <f>calcLOB1Clinician10Disc1Emp1BaseProd+calcLOB1Clinician10Disc2Emp1BaseProd+calcLOB1Clinician10Emp2BaseProd+calcLOB1Clinician10Emp3BaseProd</f>
        <v>25.05263157894737</v>
      </c>
      <c r="F773" s="448">
        <f>calcLOB1Clinician10Disc1Emp1BaseProd+calcLOB1Clinician10Disc2Emp1BaseProd+calcLOB1Clinician10Emp2BaseProd+calcLOB1Clinician10Emp3BaseProd</f>
        <v>25.05263157894737</v>
      </c>
      <c r="G773" s="448">
        <f>calcLOB1Clinician10Disc1Emp1BaseProd+calcLOB1Clinician10Disc2Emp1BaseProd+calcLOB1Clinician10Emp2BaseProd+calcLOB1Clinician10Emp3BaseProd</f>
        <v>25.05263157894737</v>
      </c>
      <c r="H773" s="131" t="s">
        <v>1925</v>
      </c>
      <c r="J773" s="8" t="s">
        <v>604</v>
      </c>
      <c r="K773" s="448">
        <f>calcR2LOB1Clinician10Disc1Emp1BaseProd+calcR2LOB1Clinician10Disc2Emp1BaseProd+calcR2LOB1Clinician10Emp2BaseProd+calcR2LOB1Clinician10Emp3BaseProd</f>
        <v>25.05263157894737</v>
      </c>
      <c r="L773" s="448">
        <f>calcR2LOB1Clinician10Disc1Emp1BaseProd+calcR2LOB1Clinician10Disc2Emp1BaseProd+calcR2LOB1Clinician10Emp2BaseProd+calcR2LOB1Clinician10Emp3BaseProd</f>
        <v>25.05263157894737</v>
      </c>
      <c r="M773" s="448">
        <f>calcR2LOB1Clinician10Disc1Emp1BaseProd+calcR2LOB1Clinician10Disc2Emp1BaseProd+calcR2LOB1Clinician10Emp2BaseProd+calcR2LOB1Clinician10Emp3BaseProd</f>
        <v>25.05263157894737</v>
      </c>
      <c r="N773" s="131" t="s">
        <v>6514</v>
      </c>
    </row>
    <row r="774" spans="1:14" ht="12.75" customHeight="1">
      <c r="A774" s="461"/>
      <c r="D774" s="8" t="s">
        <v>1497</v>
      </c>
      <c r="E774" s="448">
        <f>calcLOB1Clinician11Disc1Emp1BaseProd+calcLOB1Clinician11Disc2Emp1BaseProd+calcLOB1Clinician11Emp2BaseProd+calcLOB1Clinician11Emp3BaseProd</f>
        <v>0</v>
      </c>
      <c r="F774" s="448">
        <f>calcLOB1Clinician11Disc1Emp1BaseProd+calcLOB1Clinician11Disc2Emp1BaseProd+calcLOB1Clinician11Emp2BaseProd+calcLOB1Clinician11Emp3BaseProd</f>
        <v>0</v>
      </c>
      <c r="G774" s="448">
        <f>calcLOB1Clinician11Disc1Emp1BaseProd+calcLOB1Clinician11Disc2Emp1BaseProd+calcLOB1Clinician11Emp2BaseProd+calcLOB1Clinician11Emp3BaseProd</f>
        <v>0</v>
      </c>
      <c r="H774" s="131" t="s">
        <v>1926</v>
      </c>
      <c r="J774" s="8" t="s">
        <v>1497</v>
      </c>
      <c r="K774" s="448">
        <f>calcR2LOB1Clinician11Disc1Emp1BaseProd+calcR2LOB1Clinician11Disc2Emp1BaseProd+calcR2LOB1Clinician11Emp2BaseProd+calcR2LOB1Clinician11Emp3BaseProd</f>
        <v>0</v>
      </c>
      <c r="L774" s="448">
        <f>calcR2LOB1Clinician11Disc1Emp1BaseProd+calcR2LOB1Clinician11Disc2Emp1BaseProd+calcR2LOB1Clinician11Emp2BaseProd+calcR2LOB1Clinician11Emp3BaseProd</f>
        <v>0</v>
      </c>
      <c r="M774" s="448">
        <f>calcR2LOB1Clinician11Disc1Emp1BaseProd+calcR2LOB1Clinician11Disc2Emp1BaseProd+calcR2LOB1Clinician11Emp2BaseProd+calcR2LOB1Clinician11Emp3BaseProd</f>
        <v>0</v>
      </c>
      <c r="N774" s="131" t="s">
        <v>6515</v>
      </c>
    </row>
    <row r="775" spans="1:14" ht="12.75" customHeight="1">
      <c r="A775" s="461"/>
      <c r="D775" s="8" t="s">
        <v>1498</v>
      </c>
      <c r="E775" s="448">
        <f>calcLOB1Clinician12Disc1Emp1BaseProd+calcLOB1Clinician12Disc2Emp1BaseProd+calcLOB1Clinician12Emp2BaseProd+calcLOB1Clinician12Emp3BaseProd</f>
        <v>0</v>
      </c>
      <c r="F775" s="448">
        <f>calcLOB1Clinician12Disc1Emp1BaseProd+calcLOB1Clinician12Disc2Emp1BaseProd+calcLOB1Clinician12Emp2BaseProd+calcLOB1Clinician12Emp3BaseProd</f>
        <v>0</v>
      </c>
      <c r="G775" s="448">
        <f>calcLOB1Clinician12Disc1Emp1BaseProd+calcLOB1Clinician12Disc2Emp1BaseProd+calcLOB1Clinician12Emp2BaseProd+calcLOB1Clinician12Emp3BaseProd</f>
        <v>0</v>
      </c>
      <c r="H775" s="131" t="s">
        <v>1927</v>
      </c>
      <c r="J775" s="8" t="s">
        <v>1498</v>
      </c>
      <c r="K775" s="448">
        <f>calcR2LOB1Clinician12Disc1Emp1BaseProd+calcR2LOB1Clinician12Disc2Emp1BaseProd+calcR2LOB1Clinician12Emp2BaseProd+calcR2LOB1Clinician12Emp3BaseProd</f>
        <v>0</v>
      </c>
      <c r="L775" s="448">
        <f>calcR2LOB1Clinician12Disc1Emp1BaseProd+calcR2LOB1Clinician12Disc2Emp1BaseProd+calcR2LOB1Clinician12Emp2BaseProd+calcR2LOB1Clinician12Emp3BaseProd</f>
        <v>0</v>
      </c>
      <c r="M775" s="448">
        <f>calcR2LOB1Clinician12Disc1Emp1BaseProd+calcR2LOB1Clinician12Disc2Emp1BaseProd+calcR2LOB1Clinician12Emp2BaseProd+calcR2LOB1Clinician12Emp3BaseProd</f>
        <v>0</v>
      </c>
      <c r="N775" s="131" t="s">
        <v>6516</v>
      </c>
    </row>
    <row r="776" spans="1:14" ht="12.75" customHeight="1">
      <c r="A776" s="461"/>
    </row>
    <row r="777" spans="1:14" ht="12.75" customHeight="1">
      <c r="A777" s="461"/>
      <c r="B777" s="635"/>
      <c r="C777" s="131" t="s">
        <v>4992</v>
      </c>
    </row>
    <row r="778" spans="1:14" ht="12.75" customHeight="1">
      <c r="A778" s="461"/>
      <c r="B778" s="635"/>
      <c r="D778" s="8" t="s">
        <v>595</v>
      </c>
      <c r="E778" s="448">
        <f>calcLOB1Clinician1Disc1Emp1AllocatedProd+calcLOB1Clinician1Disc2Emp1AllocatedProd+calcLOB1Clinician1Emp2AllocatedProd+calcLOB1Clinician1Emp3AllocatedProd</f>
        <v>27.131340330715716</v>
      </c>
      <c r="F778" s="448">
        <f>calcLOB1Clinician1Disc1Emp1AllocatedProd+calcLOB1Clinician1Disc2Emp1AllocatedProd+calcLOB1Clinician1Emp2AllocatedProd+calcLOB1Clinician1Emp3AllocatedProd</f>
        <v>24.491815016750966</v>
      </c>
      <c r="G778" s="448">
        <f>calcLOB1Clinician1Disc1Emp1AllocatedProd+calcLOB1Clinician1Disc2Emp1AllocatedProd+calcLOB1Clinician1Emp2AllocatedProd+calcLOB1Clinician1Emp3AllocatedProd</f>
        <v>21.284278559241407</v>
      </c>
      <c r="H778" s="131" t="s">
        <v>4979</v>
      </c>
      <c r="J778" s="8" t="s">
        <v>595</v>
      </c>
      <c r="K778" s="448">
        <f>calcR2LOB1Clinician1Disc1Emp1AllocatedProd+calcR2LOB1Clinician1Disc2Emp1AllocatedProd+calcR2LOB1Clinician1Emp2AllocatedProd+calcR2LOB1Clinician1Emp3AllocatedProd</f>
        <v>30.866767377700608</v>
      </c>
      <c r="L778" s="448">
        <f>calcR2LOB1Clinician1Disc1Emp1AllocatedProd+calcR2LOB1Clinician1Disc2Emp1AllocatedProd+calcR2LOB1Clinician1Emp2AllocatedProd+calcR2LOB1Clinician1Emp3AllocatedProd</f>
        <v>26.0946719715099</v>
      </c>
      <c r="M778" s="448">
        <f>calcR2LOB1Clinician1Disc1Emp1AllocatedProd+calcR2LOB1Clinician1Disc2Emp1AllocatedProd+calcR2LOB1Clinician1Emp2AllocatedProd+calcR2LOB1Clinician1Emp3AllocatedProd</f>
        <v>23.007385813452562</v>
      </c>
      <c r="N778" s="131" t="s">
        <v>6517</v>
      </c>
    </row>
    <row r="779" spans="1:14" ht="12.75" customHeight="1">
      <c r="A779" s="461"/>
      <c r="B779" s="635"/>
      <c r="D779" s="8" t="s">
        <v>596</v>
      </c>
      <c r="E779" s="448">
        <f>calcLOB1Clinician2Disc1Emp1AllocatedProd+calcLOB1Clinician2Disc2Emp1AllocatedProd+calcLOB1Clinician2Emp2AllocatedProd+calcLOB1Clinician2Emp3AllocatedProd</f>
        <v>24.116746960636192</v>
      </c>
      <c r="F779" s="448">
        <f>calcLOB1Clinician2Disc1Emp1AllocatedProd+calcLOB1Clinician2Disc2Emp1AllocatedProd+calcLOB1Clinician2Emp2AllocatedProd+calcLOB1Clinician2Emp3AllocatedProd</f>
        <v>21.77050223711197</v>
      </c>
      <c r="G779" s="448">
        <f>calcLOB1Clinician2Disc1Emp1AllocatedProd+calcLOB1Clinician2Disc2Emp1AllocatedProd+calcLOB1Clinician2Emp2AllocatedProd+calcLOB1Clinician2Emp3AllocatedProd</f>
        <v>18.919358719325697</v>
      </c>
      <c r="H779" s="131" t="s">
        <v>4980</v>
      </c>
      <c r="J779" s="8" t="s">
        <v>596</v>
      </c>
      <c r="K779" s="448">
        <f>calcR2LOB1Clinician2Disc1Emp1AllocatedProd+calcR2LOB1Clinician2Disc2Emp1AllocatedProd+calcR2LOB1Clinician2Emp2AllocatedProd+calcR2LOB1Clinician2Emp3AllocatedProd</f>
        <v>27.437126557956098</v>
      </c>
      <c r="L779" s="448">
        <f>calcR2LOB1Clinician2Disc1Emp1AllocatedProd+calcR2LOB1Clinician2Disc2Emp1AllocatedProd+calcR2LOB1Clinician2Emp2AllocatedProd+calcR2LOB1Clinician2Emp3AllocatedProd</f>
        <v>23.195263974675466</v>
      </c>
      <c r="M779" s="448">
        <f>calcR2LOB1Clinician2Disc1Emp1AllocatedProd+calcR2LOB1Clinician2Disc2Emp1AllocatedProd+calcR2LOB1Clinician2Emp2AllocatedProd+calcR2LOB1Clinician2Emp3AllocatedProd</f>
        <v>20.451009611957833</v>
      </c>
      <c r="N779" s="131" t="s">
        <v>6518</v>
      </c>
    </row>
    <row r="780" spans="1:14" ht="12.75" customHeight="1">
      <c r="A780" s="461"/>
      <c r="B780" s="635"/>
      <c r="D780" s="8" t="s">
        <v>597</v>
      </c>
      <c r="E780" s="448">
        <f>calcLOB1Clinician3Disc1Emp1AllocatedProd+calcLOB1Clinician3Disc2Emp1AllocatedProd+calcLOB1Clinician3Emp2AllocatedProd+calcLOB1Clinician3Emp3AllocatedProd</f>
        <v>12.58724951015661</v>
      </c>
      <c r="F780" s="448">
        <f>calcLOB1Clinician3Disc1Emp1AllocatedProd+calcLOB1Clinician3Disc2Emp1AllocatedProd+calcLOB1Clinician3Emp2AllocatedProd+calcLOB1Clinician3Emp3AllocatedProd</f>
        <v>11.362674413229495</v>
      </c>
      <c r="G780" s="448">
        <f>calcLOB1Clinician3Disc1Emp1AllocatedProd+calcLOB1Clinician3Disc2Emp1AllocatedProd+calcLOB1Clinician3Emp2AllocatedProd+calcLOB1Clinician3Emp3AllocatedProd</f>
        <v>9.8745775771919213</v>
      </c>
      <c r="H780" s="131" t="s">
        <v>4981</v>
      </c>
      <c r="J780" s="8" t="s">
        <v>597</v>
      </c>
      <c r="K780" s="448">
        <f>calcR2LOB1Clinician3Disc1Emp1AllocatedProd+calcR2LOB1Clinician3Disc2Emp1AllocatedProd+calcR2LOB1Clinician3Emp2AllocatedProd+calcR2LOB1Clinician3Emp3AllocatedProd</f>
        <v>14.320254650863053</v>
      </c>
      <c r="L780" s="448">
        <f>calcR2LOB1Clinician3Disc1Emp1AllocatedProd+calcR2LOB1Clinician3Disc2Emp1AllocatedProd+calcR2LOB1Clinician3Emp2AllocatedProd+calcR2LOB1Clinician3Emp3AllocatedProd</f>
        <v>12.10630005695781</v>
      </c>
      <c r="M780" s="448">
        <f>calcR2LOB1Clinician3Disc1Emp1AllocatedProd+calcR2LOB1Clinician3Disc2Emp1AllocatedProd+calcR2LOB1Clinician3Emp2AllocatedProd+calcR2LOB1Clinician3Emp3AllocatedProd</f>
        <v>10.673991858872728</v>
      </c>
      <c r="N780" s="131" t="s">
        <v>6519</v>
      </c>
    </row>
    <row r="781" spans="1:14" ht="12.75" customHeight="1">
      <c r="A781" s="461"/>
      <c r="B781" s="635"/>
      <c r="D781" s="8" t="s">
        <v>598</v>
      </c>
      <c r="E781" s="448">
        <f>calcLOB1Clinician4Disc1Emp1AllocatedProd+calcLOB1Clinician4Disc2Emp1AllocatedProd+calcLOB1Clinician4Emp2AllocatedProd+calcLOB1Clinician4Emp3AllocatedProd</f>
        <v>33.160527070874764</v>
      </c>
      <c r="F781" s="448">
        <f>calcLOB1Clinician4Disc1Emp1AllocatedProd+calcLOB1Clinician4Disc2Emp1AllocatedProd+calcLOB1Clinician4Emp2AllocatedProd+calcLOB1Clinician4Emp3AllocatedProd</f>
        <v>29.934440576028958</v>
      </c>
      <c r="G781" s="448">
        <f>calcLOB1Clinician4Disc1Emp1AllocatedProd+calcLOB1Clinician4Disc2Emp1AllocatedProd+calcLOB1Clinician4Emp2AllocatedProd+calcLOB1Clinician4Emp3AllocatedProd</f>
        <v>26.014118239072836</v>
      </c>
      <c r="H781" s="131" t="s">
        <v>4982</v>
      </c>
      <c r="J781" s="8" t="s">
        <v>598</v>
      </c>
      <c r="K781" s="448">
        <f>calcR2LOB1Clinician4Disc1Emp1AllocatedProd+calcR2LOB1Clinician4Disc2Emp1AllocatedProd+calcR2LOB1Clinician4Emp2AllocatedProd+calcR2LOB1Clinician4Emp3AllocatedProd</f>
        <v>37.726049017189631</v>
      </c>
      <c r="L781" s="448">
        <f>calcR2LOB1Clinician4Disc1Emp1AllocatedProd+calcR2LOB1Clinician4Disc2Emp1AllocatedProd+calcR2LOB1Clinician4Emp2AllocatedProd+calcR2LOB1Clinician4Emp3AllocatedProd</f>
        <v>31.893487965178767</v>
      </c>
      <c r="M781" s="448">
        <f>calcR2LOB1Clinician4Disc1Emp1AllocatedProd+calcR2LOB1Clinician4Disc2Emp1AllocatedProd+calcR2LOB1Clinician4Emp2AllocatedProd+calcR2LOB1Clinician4Emp3AllocatedProd</f>
        <v>28.120138216442019</v>
      </c>
      <c r="N781" s="131" t="s">
        <v>6520</v>
      </c>
    </row>
    <row r="782" spans="1:14" ht="12.75" customHeight="1">
      <c r="A782" s="461"/>
      <c r="B782" s="635"/>
      <c r="D782" s="8" t="s">
        <v>599</v>
      </c>
      <c r="E782" s="448">
        <f>calcLOB1Clinician5Disc1Emp1AllocatedProd+calcLOB1Clinician5Disc2Emp1AllocatedProd+calcLOB1Clinician5Emp2AllocatedProd+calcLOB1Clinician5Emp3AllocatedProd</f>
        <v>17.611026560602031</v>
      </c>
      <c r="F782" s="448">
        <f>calcLOB1Clinician5Disc1Emp1AllocatedProd+calcLOB1Clinician5Disc2Emp1AllocatedProd+calcLOB1Clinician5Emp2AllocatedProd+calcLOB1Clinician5Emp3AllocatedProd</f>
        <v>15.897703523664243</v>
      </c>
      <c r="G782" s="448">
        <f>calcLOB1Clinician5Disc1Emp1AllocatedProd+calcLOB1Clinician5Disc2Emp1AllocatedProd+calcLOB1Clinician5Emp2AllocatedProd+calcLOB1Clinician5Emp3AllocatedProd</f>
        <v>13.815682913596945</v>
      </c>
      <c r="H782" s="131" t="s">
        <v>4983</v>
      </c>
      <c r="J782" s="8" t="s">
        <v>599</v>
      </c>
      <c r="K782" s="448">
        <f>calcR2LOB1Clinician5Disc1Emp1AllocatedProd+calcR2LOB1Clinician5Disc2Emp1AllocatedProd+calcR2LOB1Clinician5Emp2AllocatedProd+calcR2LOB1Clinician5Emp3AllocatedProd</f>
        <v>20.035702383387186</v>
      </c>
      <c r="L782" s="448">
        <f>calcR2LOB1Clinician5Disc1Emp1AllocatedProd+calcR2LOB1Clinician5Disc2Emp1AllocatedProd+calcR2LOB1Clinician5Emp2AllocatedProd+calcR2LOB1Clinician5Emp3AllocatedProd</f>
        <v>16.938122318276761</v>
      </c>
      <c r="M782" s="448">
        <f>calcR2LOB1Clinician5Disc1Emp1AllocatedProd+calcR2LOB1Clinician5Disc2Emp1AllocatedProd+calcR2LOB1Clinician5Emp2AllocatedProd+calcR2LOB1Clinician5Emp3AllocatedProd</f>
        <v>14.934156503577455</v>
      </c>
      <c r="N782" s="131" t="s">
        <v>6521</v>
      </c>
    </row>
    <row r="783" spans="1:14" ht="12.75" customHeight="1">
      <c r="A783" s="461"/>
      <c r="B783" s="635"/>
      <c r="D783" s="8" t="s">
        <v>600</v>
      </c>
      <c r="E783" s="448">
        <f>calcLOB1Clinician6Disc1Emp1AllocatedProd+calcLOB1Clinician6Disc2Emp1AllocatedProd+calcLOB1Clinician6Emp2AllocatedProd+calcLOB1Clinician6Emp3AllocatedProd</f>
        <v>30.75745015364825</v>
      </c>
      <c r="F783" s="448">
        <f>calcLOB1Clinician6Disc1Emp1AllocatedProd+calcLOB1Clinician6Disc2Emp1AllocatedProd+calcLOB1Clinician6Emp2AllocatedProd+calcLOB1Clinician6Emp3AllocatedProd</f>
        <v>26.472389603381593</v>
      </c>
      <c r="G783" s="448">
        <f>calcLOB1Clinician6Disc1Emp1AllocatedProd+calcLOB1Clinician6Disc2Emp1AllocatedProd+calcLOB1Clinician6Emp2AllocatedProd+calcLOB1Clinician6Emp3AllocatedProd</f>
        <v>24.311448974890581</v>
      </c>
      <c r="H783" s="131" t="s">
        <v>4984</v>
      </c>
      <c r="J783" s="8" t="s">
        <v>600</v>
      </c>
      <c r="K783" s="448">
        <f>calcR2LOB1Clinician6Disc1Emp1AllocatedProd+calcR2LOB1Clinician6Disc2Emp1AllocatedProd+calcR2LOB1Clinician6Emp2AllocatedProd+calcR2LOB1Clinician6Emp3AllocatedProd</f>
        <v>35.11090042062213</v>
      </c>
      <c r="L783" s="448">
        <f>calcR2LOB1Clinician6Disc1Emp1AllocatedProd+calcR2LOB1Clinician6Disc2Emp1AllocatedProd+calcR2LOB1Clinician6Emp2AllocatedProd+calcR2LOB1Clinician6Emp3AllocatedProd</f>
        <v>27.06576509134198</v>
      </c>
      <c r="M783" s="448">
        <f>calcR2LOB1Clinician6Disc1Emp1AllocatedProd+calcR2LOB1Clinician6Disc2Emp1AllocatedProd+calcR2LOB1Clinician6Emp2AllocatedProd+calcR2LOB1Clinician6Emp3AllocatedProd</f>
        <v>25.373088576568438</v>
      </c>
      <c r="N783" s="131" t="s">
        <v>6522</v>
      </c>
    </row>
    <row r="784" spans="1:14" ht="12.75" customHeight="1">
      <c r="A784" s="461"/>
      <c r="B784" s="635"/>
      <c r="D784" s="8" t="s">
        <v>601</v>
      </c>
      <c r="E784" s="448">
        <f>calcLOB1Clinician7Disc1Emp1AllocatedProd+calcLOB1Clinician7Disc2Emp1AllocatedProd+calcLOB1Clinician7Emp2AllocatedProd+calcLOB1Clinician7Emp3AllocatedProd</f>
        <v>28.70695347673837</v>
      </c>
      <c r="F784" s="448">
        <f>calcLOB1Clinician7Disc1Emp1AllocatedProd+calcLOB1Clinician7Disc2Emp1AllocatedProd+calcLOB1Clinician7Emp2AllocatedProd+calcLOB1Clinician7Emp3AllocatedProd</f>
        <v>24.707563629822825</v>
      </c>
      <c r="G784" s="448">
        <f>calcLOB1Clinician7Disc1Emp1AllocatedProd+calcLOB1Clinician7Disc2Emp1AllocatedProd+calcLOB1Clinician7Emp2AllocatedProd+calcLOB1Clinician7Emp3AllocatedProd</f>
        <v>22.690685709897874</v>
      </c>
      <c r="H784" s="131" t="s">
        <v>4985</v>
      </c>
      <c r="J784" s="8" t="s">
        <v>601</v>
      </c>
      <c r="K784" s="448">
        <f>calcR2LOB1Clinician7Disc1Emp1AllocatedProd+calcR2LOB1Clinician7Disc2Emp1AllocatedProd+calcR2LOB1Clinician7Emp2AllocatedProd+calcR2LOB1Clinician7Emp3AllocatedProd</f>
        <v>32.770173725913992</v>
      </c>
      <c r="L784" s="448">
        <f>calcR2LOB1Clinician7Disc1Emp1AllocatedProd+calcR2LOB1Clinician7Disc2Emp1AllocatedProd+calcR2LOB1Clinician7Emp2AllocatedProd+calcR2LOB1Clinician7Emp3AllocatedProd</f>
        <v>25.261380751919184</v>
      </c>
      <c r="M784" s="448">
        <f>calcR2LOB1Clinician7Disc1Emp1AllocatedProd+calcR2LOB1Clinician7Disc2Emp1AllocatedProd+calcR2LOB1Clinician7Emp2AllocatedProd+calcR2LOB1Clinician7Emp3AllocatedProd</f>
        <v>23.681549338130541</v>
      </c>
      <c r="N784" s="131" t="s">
        <v>6523</v>
      </c>
    </row>
    <row r="785" spans="1:14" ht="12.75" customHeight="1">
      <c r="A785" s="461"/>
      <c r="B785" s="635"/>
      <c r="D785" s="8" t="s">
        <v>602</v>
      </c>
      <c r="E785" s="448">
        <f>calcLOB1Clinician8Disc1Emp1AllocatedProd+calcLOB1Clinician8Disc2Emp1AllocatedProd+calcLOB1Clinician8Emp2AllocatedProd+calcLOB1Clinician8Emp3AllocatedProd</f>
        <v>29.73220181519331</v>
      </c>
      <c r="F785" s="448">
        <f>calcLOB1Clinician8Disc1Emp1AllocatedProd+calcLOB1Clinician8Disc2Emp1AllocatedProd+calcLOB1Clinician8Emp2AllocatedProd+calcLOB1Clinician8Emp3AllocatedProd</f>
        <v>25.589976616602211</v>
      </c>
      <c r="G785" s="448">
        <f>calcLOB1Clinician8Disc1Emp1AllocatedProd+calcLOB1Clinician8Disc2Emp1AllocatedProd+calcLOB1Clinician8Emp2AllocatedProd+calcLOB1Clinician8Emp3AllocatedProd</f>
        <v>23.501067342394226</v>
      </c>
      <c r="H785" s="131" t="s">
        <v>4986</v>
      </c>
      <c r="J785" s="8" t="s">
        <v>602</v>
      </c>
      <c r="K785" s="448">
        <f>calcR2LOB1Clinician8Disc1Emp1AllocatedProd+calcR2LOB1Clinician8Disc2Emp1AllocatedProd+calcR2LOB1Clinician8Emp2AllocatedProd+calcR2LOB1Clinician8Emp3AllocatedProd</f>
        <v>33.940537073268061</v>
      </c>
      <c r="L785" s="448">
        <f>calcR2LOB1Clinician8Disc1Emp1AllocatedProd+calcR2LOB1Clinician8Disc2Emp1AllocatedProd+calcR2LOB1Clinician8Emp2AllocatedProd+calcR2LOB1Clinician8Emp3AllocatedProd</f>
        <v>26.163572921630578</v>
      </c>
      <c r="M785" s="448">
        <f>calcR2LOB1Clinician8Disc1Emp1AllocatedProd+calcR2LOB1Clinician8Disc2Emp1AllocatedProd+calcR2LOB1Clinician8Emp2AllocatedProd+calcR2LOB1Clinician8Emp3AllocatedProd</f>
        <v>24.52731895734949</v>
      </c>
      <c r="N785" s="131" t="s">
        <v>6524</v>
      </c>
    </row>
    <row r="786" spans="1:14" ht="12.75" customHeight="1">
      <c r="A786" s="461"/>
      <c r="B786" s="635"/>
      <c r="D786" s="8" t="s">
        <v>603</v>
      </c>
      <c r="E786" s="448">
        <f>calcLOB1Clinician9Disc1Emp1AllocatedProd+calcLOB1Clinician9Disc2Emp1AllocatedProd+calcLOB1Clinician9Emp2AllocatedProd+calcLOB1Clinician9Emp3AllocatedProd</f>
        <v>16.171442864289286</v>
      </c>
      <c r="F786" s="448">
        <f>calcLOB1Clinician9Disc1Emp1AllocatedProd+calcLOB1Clinician9Disc2Emp1AllocatedProd+calcLOB1Clinician9Emp2AllocatedProd+calcLOB1Clinician9Emp3AllocatedProd</f>
        <v>13.91847288425218</v>
      </c>
      <c r="G786" s="448">
        <f>calcLOB1Clinician9Disc1Emp1AllocatedProd+calcLOB1Clinician9Disc2Emp1AllocatedProd+calcLOB1Clinician9Emp2AllocatedProd+calcLOB1Clinician9Emp3AllocatedProd</f>
        <v>12.782308223911542</v>
      </c>
      <c r="H786" s="131" t="s">
        <v>4987</v>
      </c>
      <c r="J786" s="8" t="s">
        <v>603</v>
      </c>
      <c r="K786" s="448">
        <f>calcR2LOB1Clinician9Disc1Emp1AllocatedProd+calcR2LOB1Clinician9Disc2Emp1AllocatedProd+calcR2LOB1Clinician9Emp2AllocatedProd+calcR2LOB1Clinician9Emp3AllocatedProd</f>
        <v>18.460370324244629</v>
      </c>
      <c r="L786" s="448">
        <f>calcR2LOB1Clinician9Disc1Emp1AllocatedProd+calcR2LOB1Clinician9Disc2Emp1AllocatedProd+calcR2LOB1Clinician9Emp2AllocatedProd+calcR2LOB1Clinician9Emp3AllocatedProd</f>
        <v>14.230453810911763</v>
      </c>
      <c r="M786" s="448">
        <f>calcR2LOB1Clinician9Disc1Emp1AllocatedProd+calcR2LOB1Clinician9Disc2Emp1AllocatedProd+calcR2LOB1Clinician9Emp2AllocatedProd+calcR2LOB1Clinician9Emp3AllocatedProd</f>
        <v>13.340489870154538</v>
      </c>
      <c r="N786" s="131" t="s">
        <v>6525</v>
      </c>
    </row>
    <row r="787" spans="1:14" ht="12.75" customHeight="1">
      <c r="A787" s="461"/>
      <c r="B787" s="635"/>
      <c r="D787" s="8" t="s">
        <v>604</v>
      </c>
      <c r="E787" s="448">
        <f>calcLOB1Clinician10Disc1Emp1AllocatedProd+calcLOB1Clinician10Disc2Emp1AllocatedProd+calcLOB1Clinician10Emp2AllocatedProd+calcLOB1Clinician10Emp3AllocatedProd</f>
        <v>25.529943635509632</v>
      </c>
      <c r="F787" s="448">
        <f>calcLOB1Clinician10Disc1Emp1AllocatedProd+calcLOB1Clinician10Disc2Emp1AllocatedProd+calcLOB1Clinician10Emp2AllocatedProd+calcLOB1Clinician10Emp3AllocatedProd</f>
        <v>22.352751052315096</v>
      </c>
      <c r="G787" s="448">
        <f>calcLOB1Clinician10Disc1Emp1AllocatedProd+calcLOB1Clinician10Disc2Emp1AllocatedProd+calcLOB1Clinician10Emp2AllocatedProd+calcLOB1Clinician10Emp3AllocatedProd</f>
        <v>18.290942360475754</v>
      </c>
      <c r="H787" s="131" t="s">
        <v>4988</v>
      </c>
      <c r="J787" s="8" t="s">
        <v>604</v>
      </c>
      <c r="K787" s="448">
        <f>calcR2LOB1Clinician10Disc1Emp1AllocatedProd+calcR2LOB1Clinician10Disc2Emp1AllocatedProd+calcR2LOB1Clinician10Emp2AllocatedProd+calcR2LOB1Clinician10Emp3AllocatedProd</f>
        <v>29.209660644201733</v>
      </c>
      <c r="L787" s="448">
        <f>calcR2LOB1Clinician10Disc1Emp1AllocatedProd+calcR2LOB1Clinician10Disc2Emp1AllocatedProd+calcR2LOB1Clinician10Emp2AllocatedProd+calcR2LOB1Clinician10Emp3AllocatedProd</f>
        <v>22.85758866240359</v>
      </c>
      <c r="M787" s="448">
        <f>calcR2LOB1Clinician10Disc1Emp1AllocatedProd+calcR2LOB1Clinician10Disc2Emp1AllocatedProd+calcR2LOB1Clinician10Emp2AllocatedProd+calcR2LOB1Clinician10Emp3AllocatedProd</f>
        <v>19.131642846812763</v>
      </c>
      <c r="N787" s="131" t="s">
        <v>6526</v>
      </c>
    </row>
    <row r="788" spans="1:14" ht="12.75" customHeight="1">
      <c r="A788" s="461"/>
      <c r="B788" s="635"/>
      <c r="D788" s="8" t="s">
        <v>1497</v>
      </c>
      <c r="E788" s="448">
        <f>calcLOB1Clinician11Disc1Emp1AllocatedProd+calcLOB1Clinician11Disc2Emp1AllocatedProd+calcLOB1Clinician11Emp2AllocatedProd+calcLOB1Clinician11Emp3AllocatedProd</f>
        <v>0</v>
      </c>
      <c r="F788" s="448">
        <f>calcLOB1Clinician11Disc1Emp1AllocatedProd+calcLOB1Clinician11Disc2Emp1AllocatedProd+calcLOB1Clinician11Emp2AllocatedProd+calcLOB1Clinician11Emp3AllocatedProd</f>
        <v>0</v>
      </c>
      <c r="G788" s="448">
        <f>calcLOB1Clinician11Disc1Emp1AllocatedProd+calcLOB1Clinician11Disc2Emp1AllocatedProd+calcLOB1Clinician11Emp2AllocatedProd+calcLOB1Clinician11Emp3AllocatedProd</f>
        <v>0</v>
      </c>
      <c r="H788" s="131" t="s">
        <v>4989</v>
      </c>
      <c r="J788" s="8" t="s">
        <v>1497</v>
      </c>
      <c r="K788" s="448">
        <f>calcR2LOB1Clinician11Disc1Emp1AllocatedProd+calcR2LOB1Clinician11Disc2Emp1AllocatedProd+calcR2LOB1Clinician11Emp2AllocatedProd+calcR2LOB1Clinician11Emp3AllocatedProd</f>
        <v>0</v>
      </c>
      <c r="L788" s="448">
        <f>calcR2LOB1Clinician11Disc1Emp1AllocatedProd+calcR2LOB1Clinician11Disc2Emp1AllocatedProd+calcR2LOB1Clinician11Emp2AllocatedProd+calcR2LOB1Clinician11Emp3AllocatedProd</f>
        <v>0</v>
      </c>
      <c r="M788" s="448">
        <f>calcR2LOB1Clinician11Disc1Emp1AllocatedProd+calcR2LOB1Clinician11Disc2Emp1AllocatedProd+calcR2LOB1Clinician11Emp2AllocatedProd+calcR2LOB1Clinician11Emp3AllocatedProd</f>
        <v>0</v>
      </c>
      <c r="N788" s="131" t="s">
        <v>6527</v>
      </c>
    </row>
    <row r="789" spans="1:14" ht="12.75" customHeight="1">
      <c r="A789" s="461"/>
      <c r="B789" s="635"/>
      <c r="D789" s="8" t="s">
        <v>1498</v>
      </c>
      <c r="E789" s="448">
        <f>calcLOB1Clinician12Disc1Emp1AllocatedProd+calcLOB1Clinician12Disc2Emp1AllocatedProd+calcLOB1Clinician12Emp2AllocatedProd+calcLOB1Clinician12Emp3AllocatedProd</f>
        <v>0</v>
      </c>
      <c r="F789" s="448">
        <f>calcLOB1Clinician12Disc1Emp1AllocatedProd+calcLOB1Clinician12Disc2Emp1AllocatedProd+calcLOB1Clinician12Emp2AllocatedProd+calcLOB1Clinician12Emp3AllocatedProd</f>
        <v>0</v>
      </c>
      <c r="G789" s="448">
        <f>calcLOB1Clinician12Disc1Emp1AllocatedProd+calcLOB1Clinician12Disc2Emp1AllocatedProd+calcLOB1Clinician12Emp2AllocatedProd+calcLOB1Clinician12Emp3AllocatedProd</f>
        <v>0</v>
      </c>
      <c r="H789" s="131" t="s">
        <v>4990</v>
      </c>
      <c r="J789" s="8" t="s">
        <v>1498</v>
      </c>
      <c r="K789" s="448">
        <f>calcR2LOB1Clinician12Disc1Emp1AllocatedProd+calcR2LOB1Clinician12Disc2Emp1AllocatedProd+calcR2LOB1Clinician12Emp2AllocatedProd+calcR2LOB1Clinician12Emp3AllocatedProd</f>
        <v>0</v>
      </c>
      <c r="L789" s="448">
        <f>calcR2LOB1Clinician12Disc1Emp1AllocatedProd+calcR2LOB1Clinician12Disc2Emp1AllocatedProd+calcR2LOB1Clinician12Emp2AllocatedProd+calcR2LOB1Clinician12Emp3AllocatedProd</f>
        <v>0</v>
      </c>
      <c r="M789" s="448">
        <f>calcR2LOB1Clinician12Disc1Emp1AllocatedProd+calcR2LOB1Clinician12Disc2Emp1AllocatedProd+calcR2LOB1Clinician12Emp2AllocatedProd+calcR2LOB1Clinician12Emp3AllocatedProd</f>
        <v>0</v>
      </c>
      <c r="N789" s="131" t="s">
        <v>6528</v>
      </c>
    </row>
    <row r="790" spans="1:14" ht="1.5" customHeight="1">
      <c r="A790" s="461"/>
      <c r="B790" s="635"/>
      <c r="D790" s="449"/>
      <c r="E790" s="450"/>
      <c r="F790" s="450"/>
      <c r="G790" s="450"/>
      <c r="H790" s="131"/>
      <c r="J790" s="449"/>
      <c r="K790" s="450"/>
      <c r="L790" s="450"/>
      <c r="M790" s="450"/>
      <c r="N790" s="131"/>
    </row>
    <row r="791" spans="1:14" ht="12.75" customHeight="1">
      <c r="A791" s="461"/>
      <c r="B791" s="635"/>
      <c r="D791" s="131" t="s">
        <v>3356</v>
      </c>
      <c r="E791" s="448">
        <f>SUM(E778:E790)</f>
        <v>245.50488237836413</v>
      </c>
      <c r="F791" s="448">
        <f t="shared" ref="F791:G791" si="84">SUM(F778:F790)</f>
        <v>216.49828955315951</v>
      </c>
      <c r="G791" s="448">
        <f t="shared" si="84"/>
        <v>191.48446861999878</v>
      </c>
      <c r="H791" s="131" t="s">
        <v>4991</v>
      </c>
      <c r="J791" s="131" t="s">
        <v>3356</v>
      </c>
      <c r="K791" s="448">
        <f>SUM(K778:K790)</f>
        <v>279.87754217534712</v>
      </c>
      <c r="L791" s="448">
        <f t="shared" ref="L791:M791" si="85">SUM(L778:L790)</f>
        <v>225.8066075248058</v>
      </c>
      <c r="M791" s="448">
        <f t="shared" si="85"/>
        <v>203.24077159331833</v>
      </c>
      <c r="N791" s="131" t="s">
        <v>6529</v>
      </c>
    </row>
    <row r="792" spans="1:14" ht="12.75" customHeight="1">
      <c r="A792" s="461"/>
    </row>
    <row r="793" spans="1:14" ht="12.75" customHeight="1">
      <c r="A793" s="461"/>
      <c r="C793" s="131" t="s">
        <v>1623</v>
      </c>
    </row>
    <row r="794" spans="1:14" ht="12.75" customHeight="1">
      <c r="A794" s="461"/>
      <c r="D794" s="8" t="s">
        <v>595</v>
      </c>
      <c r="E794" s="463">
        <f>calcLOB1Clinician1Disc1Emp1GrossProd+calcLOB1Clinician1Disc2Emp1GrossProd+calcLOB1Clinician1Emp2GrossProd+calcLOB1Clinician1Emp3GrossProd</f>
        <v>27</v>
      </c>
      <c r="F794" s="463">
        <f>calcLOB1Clinician1Disc1Emp1GrossProd+calcLOB1Clinician1Disc2Emp1GrossProd+calcLOB1Clinician1Emp2GrossProd+calcLOB1Clinician1Emp3GrossProd</f>
        <v>27</v>
      </c>
      <c r="G794" s="463">
        <f>calcLOB1Clinician1Disc1Emp1GrossProd+calcLOB1Clinician1Disc2Emp1GrossProd+calcLOB1Clinician1Emp2GrossProd+calcLOB1Clinician1Emp3GrossProd</f>
        <v>27</v>
      </c>
      <c r="H794" s="131" t="s">
        <v>1928</v>
      </c>
      <c r="J794" s="8" t="s">
        <v>595</v>
      </c>
      <c r="K794" s="463">
        <f>calcR2LOB1Clinician1Disc1Emp1GrossProd+calcR2LOB1Clinician1Disc2Emp1GrossProd+calcR2LOB1Clinician1Emp2GrossProd+calcR2LOB1Clinician1Emp3GrossProd</f>
        <v>27</v>
      </c>
      <c r="L794" s="463">
        <f>calcR2LOB1Clinician1Disc1Emp1GrossProd+calcR2LOB1Clinician1Disc2Emp1GrossProd+calcR2LOB1Clinician1Emp2GrossProd+calcR2LOB1Clinician1Emp3GrossProd</f>
        <v>27</v>
      </c>
      <c r="M794" s="463">
        <f>calcR2LOB1Clinician1Disc1Emp1GrossProd+calcR2LOB1Clinician1Disc2Emp1GrossProd+calcR2LOB1Clinician1Emp2GrossProd+calcR2LOB1Clinician1Emp3GrossProd</f>
        <v>27</v>
      </c>
      <c r="N794" s="131" t="s">
        <v>6530</v>
      </c>
    </row>
    <row r="795" spans="1:14" ht="12.75" customHeight="1">
      <c r="A795" s="461"/>
      <c r="D795" s="8" t="s">
        <v>596</v>
      </c>
      <c r="E795" s="463">
        <f>calcLOB1Clinician2Disc1Emp1GrossProd+calcLOB1Clinician2Disc2Emp1GrossProd+calcLOB1Clinician2Emp2GrossProd+calcLOB1Clinician2Emp3GrossProd</f>
        <v>24</v>
      </c>
      <c r="F795" s="463">
        <f>calcLOB1Clinician2Disc1Emp1GrossProd+calcLOB1Clinician2Disc2Emp1GrossProd+calcLOB1Clinician2Emp2GrossProd+calcLOB1Clinician2Emp3GrossProd</f>
        <v>24</v>
      </c>
      <c r="G795" s="463">
        <f>calcLOB1Clinician2Disc1Emp1GrossProd+calcLOB1Clinician2Disc2Emp1GrossProd+calcLOB1Clinician2Emp2GrossProd+calcLOB1Clinician2Emp3GrossProd</f>
        <v>24</v>
      </c>
      <c r="H795" s="131" t="s">
        <v>1929</v>
      </c>
      <c r="J795" s="8" t="s">
        <v>596</v>
      </c>
      <c r="K795" s="463">
        <f>calcR2LOB1Clinician2Disc1Emp1GrossProd+calcR2LOB1Clinician2Disc2Emp1GrossProd+calcR2LOB1Clinician2Emp2GrossProd+calcR2LOB1Clinician2Emp3GrossProd</f>
        <v>24</v>
      </c>
      <c r="L795" s="463">
        <f>calcR2LOB1Clinician2Disc1Emp1GrossProd+calcR2LOB1Clinician2Disc2Emp1GrossProd+calcR2LOB1Clinician2Emp2GrossProd+calcR2LOB1Clinician2Emp3GrossProd</f>
        <v>24</v>
      </c>
      <c r="M795" s="463">
        <f>calcR2LOB1Clinician2Disc1Emp1GrossProd+calcR2LOB1Clinician2Disc2Emp1GrossProd+calcR2LOB1Clinician2Emp2GrossProd+calcR2LOB1Clinician2Emp3GrossProd</f>
        <v>24</v>
      </c>
      <c r="N795" s="131" t="s">
        <v>6531</v>
      </c>
    </row>
    <row r="796" spans="1:14" ht="12.75" customHeight="1">
      <c r="A796" s="461"/>
      <c r="D796" s="8" t="s">
        <v>597</v>
      </c>
      <c r="E796" s="463">
        <f>calcLOB1Clinician3Disc1Emp1GrossProd+calcLOB1Clinician3Disc2Emp1GrossProd+calcLOB1Clinician3Emp2GrossProd+calcLOB1Clinician3Emp3GrossProd</f>
        <v>12.526315789473685</v>
      </c>
      <c r="F796" s="463">
        <f>calcLOB1Clinician3Disc1Emp1GrossProd+calcLOB1Clinician3Disc2Emp1GrossProd+calcLOB1Clinician3Emp2GrossProd+calcLOB1Clinician3Emp3GrossProd</f>
        <v>12.526315789473685</v>
      </c>
      <c r="G796" s="463">
        <f>calcLOB1Clinician3Disc1Emp1GrossProd+calcLOB1Clinician3Disc2Emp1GrossProd+calcLOB1Clinician3Emp2GrossProd+calcLOB1Clinician3Emp3GrossProd</f>
        <v>12.526315789473685</v>
      </c>
      <c r="H796" s="131" t="s">
        <v>1930</v>
      </c>
      <c r="J796" s="8" t="s">
        <v>597</v>
      </c>
      <c r="K796" s="463">
        <f>calcR2LOB1Clinician3Disc1Emp1GrossProd+calcR2LOB1Clinician3Disc2Emp1GrossProd+calcR2LOB1Clinician3Emp2GrossProd+calcR2LOB1Clinician3Emp3GrossProd</f>
        <v>12.526315789473685</v>
      </c>
      <c r="L796" s="463">
        <f>calcR2LOB1Clinician3Disc1Emp1GrossProd+calcR2LOB1Clinician3Disc2Emp1GrossProd+calcR2LOB1Clinician3Emp2GrossProd+calcR2LOB1Clinician3Emp3GrossProd</f>
        <v>12.526315789473685</v>
      </c>
      <c r="M796" s="463">
        <f>calcR2LOB1Clinician3Disc1Emp1GrossProd+calcR2LOB1Clinician3Disc2Emp1GrossProd+calcR2LOB1Clinician3Emp2GrossProd+calcR2LOB1Clinician3Emp3GrossProd</f>
        <v>12.526315789473685</v>
      </c>
      <c r="N796" s="131" t="s">
        <v>6532</v>
      </c>
    </row>
    <row r="797" spans="1:14" ht="12.75" customHeight="1">
      <c r="A797" s="461"/>
      <c r="D797" s="8" t="s">
        <v>598</v>
      </c>
      <c r="E797" s="463">
        <f>calcLOB1Clinician4Disc1Emp1GrossProd+calcLOB1Clinician4Disc2Emp1GrossProd+calcLOB1Clinician4Emp2GrossProd+calcLOB1Clinician4Emp3GrossProd</f>
        <v>33</v>
      </c>
      <c r="F797" s="463">
        <f>calcLOB1Clinician4Disc1Emp1GrossProd+calcLOB1Clinician4Disc2Emp1GrossProd+calcLOB1Clinician4Emp2GrossProd+calcLOB1Clinician4Emp3GrossProd</f>
        <v>33</v>
      </c>
      <c r="G797" s="463">
        <f>calcLOB1Clinician4Disc1Emp1GrossProd+calcLOB1Clinician4Disc2Emp1GrossProd+calcLOB1Clinician4Emp2GrossProd+calcLOB1Clinician4Emp3GrossProd</f>
        <v>33</v>
      </c>
      <c r="H797" s="131" t="s">
        <v>1931</v>
      </c>
      <c r="J797" s="8" t="s">
        <v>598</v>
      </c>
      <c r="K797" s="463">
        <f>calcR2LOB1Clinician4Disc1Emp1GrossProd+calcR2LOB1Clinician4Disc2Emp1GrossProd+calcR2LOB1Clinician4Emp2GrossProd+calcR2LOB1Clinician4Emp3GrossProd</f>
        <v>33</v>
      </c>
      <c r="L797" s="463">
        <f>calcR2LOB1Clinician4Disc1Emp1GrossProd+calcR2LOB1Clinician4Disc2Emp1GrossProd+calcR2LOB1Clinician4Emp2GrossProd+calcR2LOB1Clinician4Emp3GrossProd</f>
        <v>33</v>
      </c>
      <c r="M797" s="463">
        <f>calcR2LOB1Clinician4Disc1Emp1GrossProd+calcR2LOB1Clinician4Disc2Emp1GrossProd+calcR2LOB1Clinician4Emp2GrossProd+calcR2LOB1Clinician4Emp3GrossProd</f>
        <v>33</v>
      </c>
      <c r="N797" s="131" t="s">
        <v>6533</v>
      </c>
    </row>
    <row r="798" spans="1:14" ht="12.75" customHeight="1">
      <c r="A798" s="461"/>
      <c r="D798" s="8" t="s">
        <v>599</v>
      </c>
      <c r="E798" s="463">
        <f>calcLOB1Clinician5Disc1Emp1GrossProd+calcLOB1Clinician5Disc2Emp1GrossProd+calcLOB1Clinician5Emp2GrossProd+calcLOB1Clinician5Emp3GrossProd</f>
        <v>17.52577319587629</v>
      </c>
      <c r="F798" s="463">
        <f>calcLOB1Clinician5Disc1Emp1GrossProd+calcLOB1Clinician5Disc2Emp1GrossProd+calcLOB1Clinician5Emp2GrossProd+calcLOB1Clinician5Emp3GrossProd</f>
        <v>17.52577319587629</v>
      </c>
      <c r="G798" s="463">
        <f>calcLOB1Clinician5Disc1Emp1GrossProd+calcLOB1Clinician5Disc2Emp1GrossProd+calcLOB1Clinician5Emp2GrossProd+calcLOB1Clinician5Emp3GrossProd</f>
        <v>17.52577319587629</v>
      </c>
      <c r="H798" s="131" t="s">
        <v>1932</v>
      </c>
      <c r="J798" s="8" t="s">
        <v>599</v>
      </c>
      <c r="K798" s="463">
        <f>calcR2LOB1Clinician5Disc1Emp1GrossProd+calcR2LOB1Clinician5Disc2Emp1GrossProd+calcR2LOB1Clinician5Emp2GrossProd+calcR2LOB1Clinician5Emp3GrossProd</f>
        <v>17.52577319587629</v>
      </c>
      <c r="L798" s="463">
        <f>calcR2LOB1Clinician5Disc1Emp1GrossProd+calcR2LOB1Clinician5Disc2Emp1GrossProd+calcR2LOB1Clinician5Emp2GrossProd+calcR2LOB1Clinician5Emp3GrossProd</f>
        <v>17.52577319587629</v>
      </c>
      <c r="M798" s="463">
        <f>calcR2LOB1Clinician5Disc1Emp1GrossProd+calcR2LOB1Clinician5Disc2Emp1GrossProd+calcR2LOB1Clinician5Emp2GrossProd+calcR2LOB1Clinician5Emp3GrossProd</f>
        <v>17.52577319587629</v>
      </c>
      <c r="N798" s="131" t="s">
        <v>6534</v>
      </c>
    </row>
    <row r="799" spans="1:14" ht="12.75" customHeight="1">
      <c r="A799" s="461"/>
      <c r="D799" s="8" t="s">
        <v>600</v>
      </c>
      <c r="E799" s="463">
        <f>calcLOB1Clinician6Disc1Emp1GrossProd+calcLOB1Clinician6Disc2Emp1GrossProd+calcLOB1Clinician6Emp2GrossProd+calcLOB1Clinician6Emp3GrossProd</f>
        <v>30</v>
      </c>
      <c r="F799" s="463">
        <f>calcLOB1Clinician6Disc1Emp1GrossProd+calcLOB1Clinician6Disc2Emp1GrossProd+calcLOB1Clinician6Emp2GrossProd+calcLOB1Clinician6Emp3GrossProd</f>
        <v>30</v>
      </c>
      <c r="G799" s="463">
        <f>calcLOB1Clinician6Disc1Emp1GrossProd+calcLOB1Clinician6Disc2Emp1GrossProd+calcLOB1Clinician6Emp2GrossProd+calcLOB1Clinician6Emp3GrossProd</f>
        <v>30</v>
      </c>
      <c r="H799" s="131" t="s">
        <v>1933</v>
      </c>
      <c r="J799" s="8" t="s">
        <v>600</v>
      </c>
      <c r="K799" s="463">
        <f>calcR2LOB1Clinician6Disc1Emp1GrossProd+calcR2LOB1Clinician6Disc2Emp1GrossProd+calcR2LOB1Clinician6Emp2GrossProd+calcR2LOB1Clinician6Emp3GrossProd</f>
        <v>30</v>
      </c>
      <c r="L799" s="463">
        <f>calcR2LOB1Clinician6Disc1Emp1GrossProd+calcR2LOB1Clinician6Disc2Emp1GrossProd+calcR2LOB1Clinician6Emp2GrossProd+calcR2LOB1Clinician6Emp3GrossProd</f>
        <v>30</v>
      </c>
      <c r="M799" s="463">
        <f>calcR2LOB1Clinician6Disc1Emp1GrossProd+calcR2LOB1Clinician6Disc2Emp1GrossProd+calcR2LOB1Clinician6Emp2GrossProd+calcR2LOB1Clinician6Emp3GrossProd</f>
        <v>30</v>
      </c>
      <c r="N799" s="131" t="s">
        <v>6535</v>
      </c>
    </row>
    <row r="800" spans="1:14" ht="12.75" customHeight="1">
      <c r="A800" s="461"/>
      <c r="D800" s="8" t="s">
        <v>601</v>
      </c>
      <c r="E800" s="463">
        <f>calcLOB1Clinician7Disc1Emp1GrossProd+calcLOB1Clinician7Disc2Emp1GrossProd+calcLOB1Clinician7Emp2GrossProd+calcLOB1Clinician7Emp3GrossProd</f>
        <v>28</v>
      </c>
      <c r="F800" s="463">
        <f>calcLOB1Clinician7Disc1Emp1GrossProd+calcLOB1Clinician7Disc2Emp1GrossProd+calcLOB1Clinician7Emp2GrossProd+calcLOB1Clinician7Emp3GrossProd</f>
        <v>28</v>
      </c>
      <c r="G800" s="463">
        <f>calcLOB1Clinician7Disc1Emp1GrossProd+calcLOB1Clinician7Disc2Emp1GrossProd+calcLOB1Clinician7Emp2GrossProd+calcLOB1Clinician7Emp3GrossProd</f>
        <v>28</v>
      </c>
      <c r="H800" s="131" t="s">
        <v>1934</v>
      </c>
      <c r="J800" s="8" t="s">
        <v>601</v>
      </c>
      <c r="K800" s="463">
        <f>calcR2LOB1Clinician7Disc1Emp1GrossProd+calcR2LOB1Clinician7Disc2Emp1GrossProd+calcR2LOB1Clinician7Emp2GrossProd+calcR2LOB1Clinician7Emp3GrossProd</f>
        <v>28</v>
      </c>
      <c r="L800" s="463">
        <f>calcR2LOB1Clinician7Disc1Emp1GrossProd+calcR2LOB1Clinician7Disc2Emp1GrossProd+calcR2LOB1Clinician7Emp2GrossProd+calcR2LOB1Clinician7Emp3GrossProd</f>
        <v>28</v>
      </c>
      <c r="M800" s="463">
        <f>calcR2LOB1Clinician7Disc1Emp1GrossProd+calcR2LOB1Clinician7Disc2Emp1GrossProd+calcR2LOB1Clinician7Emp2GrossProd+calcR2LOB1Clinician7Emp3GrossProd</f>
        <v>28</v>
      </c>
      <c r="N800" s="131" t="s">
        <v>6536</v>
      </c>
    </row>
    <row r="801" spans="1:14" ht="12.75" customHeight="1">
      <c r="A801" s="461"/>
      <c r="D801" s="8" t="s">
        <v>602</v>
      </c>
      <c r="E801" s="463">
        <f>calcLOB1Clinician8Disc1Emp1GrossProd+calcLOB1Clinician8Disc2Emp1GrossProd+calcLOB1Clinician8Emp2GrossProd+calcLOB1Clinician8Emp3GrossProd</f>
        <v>29</v>
      </c>
      <c r="F801" s="463">
        <f>calcLOB1Clinician8Disc1Emp1GrossProd+calcLOB1Clinician8Disc2Emp1GrossProd+calcLOB1Clinician8Emp2GrossProd+calcLOB1Clinician8Emp3GrossProd</f>
        <v>29</v>
      </c>
      <c r="G801" s="463">
        <f>calcLOB1Clinician8Disc1Emp1GrossProd+calcLOB1Clinician8Disc2Emp1GrossProd+calcLOB1Clinician8Emp2GrossProd+calcLOB1Clinician8Emp3GrossProd</f>
        <v>29</v>
      </c>
      <c r="H801" s="131" t="s">
        <v>1935</v>
      </c>
      <c r="J801" s="8" t="s">
        <v>602</v>
      </c>
      <c r="K801" s="463">
        <f>calcR2LOB1Clinician8Disc1Emp1GrossProd+calcR2LOB1Clinician8Disc2Emp1GrossProd+calcR2LOB1Clinician8Emp2GrossProd+calcR2LOB1Clinician8Emp3GrossProd</f>
        <v>29</v>
      </c>
      <c r="L801" s="463">
        <f>calcR2LOB1Clinician8Disc1Emp1GrossProd+calcR2LOB1Clinician8Disc2Emp1GrossProd+calcR2LOB1Clinician8Emp2GrossProd+calcR2LOB1Clinician8Emp3GrossProd</f>
        <v>29</v>
      </c>
      <c r="M801" s="463">
        <f>calcR2LOB1Clinician8Disc1Emp1GrossProd+calcR2LOB1Clinician8Disc2Emp1GrossProd+calcR2LOB1Clinician8Emp2GrossProd+calcR2LOB1Clinician8Emp3GrossProd</f>
        <v>29</v>
      </c>
      <c r="N801" s="131" t="s">
        <v>6537</v>
      </c>
    </row>
    <row r="802" spans="1:14" ht="12.75" customHeight="1">
      <c r="A802" s="461"/>
      <c r="D802" s="8" t="s">
        <v>603</v>
      </c>
      <c r="E802" s="463">
        <f>calcLOB1Clinician9Disc1Emp1GrossProd+calcLOB1Clinician9Disc2Emp1GrossProd+calcLOB1Clinician9Emp2GrossProd+calcLOB1Clinician9Emp3GrossProd</f>
        <v>15.773195876288661</v>
      </c>
      <c r="F802" s="463">
        <f>calcLOB1Clinician9Disc1Emp1GrossProd+calcLOB1Clinician9Disc2Emp1GrossProd+calcLOB1Clinician9Emp2GrossProd+calcLOB1Clinician9Emp3GrossProd</f>
        <v>15.773195876288661</v>
      </c>
      <c r="G802" s="463">
        <f>calcLOB1Clinician9Disc1Emp1GrossProd+calcLOB1Clinician9Disc2Emp1GrossProd+calcLOB1Clinician9Emp2GrossProd+calcLOB1Clinician9Emp3GrossProd</f>
        <v>15.773195876288661</v>
      </c>
      <c r="H802" s="131" t="s">
        <v>1936</v>
      </c>
      <c r="J802" s="8" t="s">
        <v>603</v>
      </c>
      <c r="K802" s="463">
        <f>calcR2LOB1Clinician9Disc1Emp1GrossProd+calcR2LOB1Clinician9Disc2Emp1GrossProd+calcR2LOB1Clinician9Emp2GrossProd+calcR2LOB1Clinician9Emp3GrossProd</f>
        <v>15.773195876288661</v>
      </c>
      <c r="L802" s="463">
        <f>calcR2LOB1Clinician9Disc1Emp1GrossProd+calcR2LOB1Clinician9Disc2Emp1GrossProd+calcR2LOB1Clinician9Emp2GrossProd+calcR2LOB1Clinician9Emp3GrossProd</f>
        <v>15.773195876288661</v>
      </c>
      <c r="M802" s="463">
        <f>calcR2LOB1Clinician9Disc1Emp1GrossProd+calcR2LOB1Clinician9Disc2Emp1GrossProd+calcR2LOB1Clinician9Emp2GrossProd+calcR2LOB1Clinician9Emp3GrossProd</f>
        <v>15.773195876288661</v>
      </c>
      <c r="N802" s="131" t="s">
        <v>6538</v>
      </c>
    </row>
    <row r="803" spans="1:14" ht="12.75" customHeight="1">
      <c r="A803" s="461"/>
      <c r="D803" s="8" t="s">
        <v>604</v>
      </c>
      <c r="E803" s="463">
        <f>calcLOB1Clinician10Disc1Emp1GrossProd+calcLOB1Clinician10Disc2Emp1GrossProd+calcLOB1Clinician10Emp2GrossProd+calcLOB1Clinician10Emp3GrossProd</f>
        <v>25.05263157894737</v>
      </c>
      <c r="F803" s="463">
        <f>calcLOB1Clinician10Disc1Emp1GrossProd+calcLOB1Clinician10Disc2Emp1GrossProd+calcLOB1Clinician10Emp2GrossProd+calcLOB1Clinician10Emp3GrossProd</f>
        <v>25.05263157894737</v>
      </c>
      <c r="G803" s="463">
        <f>calcLOB1Clinician10Disc1Emp1GrossProd+calcLOB1Clinician10Disc2Emp1GrossProd+calcLOB1Clinician10Emp2GrossProd+calcLOB1Clinician10Emp3GrossProd</f>
        <v>25.05263157894737</v>
      </c>
      <c r="H803" s="131" t="s">
        <v>1937</v>
      </c>
      <c r="J803" s="8" t="s">
        <v>604</v>
      </c>
      <c r="K803" s="463">
        <f>calcR2LOB1Clinician10Disc1Emp1GrossProd+calcR2LOB1Clinician10Disc2Emp1GrossProd+calcR2LOB1Clinician10Emp2GrossProd+calcR2LOB1Clinician10Emp3GrossProd</f>
        <v>25.05263157894737</v>
      </c>
      <c r="L803" s="463">
        <f>calcR2LOB1Clinician10Disc1Emp1GrossProd+calcR2LOB1Clinician10Disc2Emp1GrossProd+calcR2LOB1Clinician10Emp2GrossProd+calcR2LOB1Clinician10Emp3GrossProd</f>
        <v>25.05263157894737</v>
      </c>
      <c r="M803" s="463">
        <f>calcR2LOB1Clinician10Disc1Emp1GrossProd+calcR2LOB1Clinician10Disc2Emp1GrossProd+calcR2LOB1Clinician10Emp2GrossProd+calcR2LOB1Clinician10Emp3GrossProd</f>
        <v>25.05263157894737</v>
      </c>
      <c r="N803" s="131" t="s">
        <v>6539</v>
      </c>
    </row>
    <row r="804" spans="1:14" ht="12.75" customHeight="1">
      <c r="A804" s="461"/>
      <c r="D804" s="8" t="s">
        <v>1497</v>
      </c>
      <c r="E804" s="463">
        <f>calcLOB1Clinician11Disc1Emp1GrossProd+calcLOB1Clinician11Disc2Emp1GrossProd+calcLOB1Clinician11Emp2GrossProd+calcLOB1Clinician11Emp3GrossProd</f>
        <v>0</v>
      </c>
      <c r="F804" s="463">
        <f>calcLOB1Clinician11Disc1Emp1GrossProd+calcLOB1Clinician11Disc2Emp1GrossProd+calcLOB1Clinician11Emp2GrossProd+calcLOB1Clinician11Emp3GrossProd</f>
        <v>0</v>
      </c>
      <c r="G804" s="463">
        <f>calcLOB1Clinician11Disc1Emp1GrossProd+calcLOB1Clinician11Disc2Emp1GrossProd+calcLOB1Clinician11Emp2GrossProd+calcLOB1Clinician11Emp3GrossProd</f>
        <v>0</v>
      </c>
      <c r="H804" s="131" t="s">
        <v>1938</v>
      </c>
      <c r="J804" s="8" t="s">
        <v>1497</v>
      </c>
      <c r="K804" s="463">
        <f>calcR2LOB1Clinician11Disc1Emp1GrossProd+calcR2LOB1Clinician11Disc2Emp1GrossProd+calcR2LOB1Clinician11Emp2GrossProd+calcR2LOB1Clinician11Emp3GrossProd</f>
        <v>0</v>
      </c>
      <c r="L804" s="463">
        <f>calcR2LOB1Clinician11Disc1Emp1GrossProd+calcR2LOB1Clinician11Disc2Emp1GrossProd+calcR2LOB1Clinician11Emp2GrossProd+calcR2LOB1Clinician11Emp3GrossProd</f>
        <v>0</v>
      </c>
      <c r="M804" s="463">
        <f>calcR2LOB1Clinician11Disc1Emp1GrossProd+calcR2LOB1Clinician11Disc2Emp1GrossProd+calcR2LOB1Clinician11Emp2GrossProd+calcR2LOB1Clinician11Emp3GrossProd</f>
        <v>0</v>
      </c>
      <c r="N804" s="131" t="s">
        <v>6540</v>
      </c>
    </row>
    <row r="805" spans="1:14" ht="12.75" customHeight="1">
      <c r="A805" s="461"/>
      <c r="D805" s="8" t="s">
        <v>1498</v>
      </c>
      <c r="E805" s="463">
        <f>calcLOB1Clinician12Disc1Emp1GrossProd+calcLOB1Clinician12Disc2Emp1GrossProd+calcLOB1Clinician12Emp2GrossProd+calcLOB1Clinician12Emp3GrossProd</f>
        <v>0</v>
      </c>
      <c r="F805" s="463">
        <f>calcLOB1Clinician12Disc1Emp1GrossProd+calcLOB1Clinician12Disc2Emp1GrossProd+calcLOB1Clinician12Emp2GrossProd+calcLOB1Clinician12Emp3GrossProd</f>
        <v>0</v>
      </c>
      <c r="G805" s="463">
        <f>calcLOB1Clinician12Disc1Emp1GrossProd+calcLOB1Clinician12Disc2Emp1GrossProd+calcLOB1Clinician12Emp2GrossProd+calcLOB1Clinician12Emp3GrossProd</f>
        <v>0</v>
      </c>
      <c r="H805" s="131" t="s">
        <v>1939</v>
      </c>
      <c r="J805" s="8" t="s">
        <v>1498</v>
      </c>
      <c r="K805" s="463">
        <f>calcR2LOB1Clinician12Disc1Emp1GrossProd+calcR2LOB1Clinician12Disc2Emp1GrossProd+calcR2LOB1Clinician12Emp2GrossProd+calcR2LOB1Clinician12Emp3GrossProd</f>
        <v>0</v>
      </c>
      <c r="L805" s="463">
        <f>calcR2LOB1Clinician12Disc1Emp1GrossProd+calcR2LOB1Clinician12Disc2Emp1GrossProd+calcR2LOB1Clinician12Emp2GrossProd+calcR2LOB1Clinician12Emp3GrossProd</f>
        <v>0</v>
      </c>
      <c r="M805" s="463">
        <f>calcR2LOB1Clinician12Disc1Emp1GrossProd+calcR2LOB1Clinician12Disc2Emp1GrossProd+calcR2LOB1Clinician12Emp2GrossProd+calcR2LOB1Clinician12Emp3GrossProd</f>
        <v>0</v>
      </c>
      <c r="N805" s="131" t="s">
        <v>6541</v>
      </c>
    </row>
    <row r="806" spans="1:14" ht="1.5" customHeight="1">
      <c r="A806" s="461"/>
      <c r="D806" s="449"/>
      <c r="E806" s="450"/>
      <c r="F806" s="450"/>
      <c r="G806" s="450"/>
      <c r="H806" s="131"/>
      <c r="J806" s="449"/>
      <c r="K806" s="450"/>
      <c r="L806" s="450"/>
      <c r="M806" s="450"/>
      <c r="N806" s="131"/>
    </row>
    <row r="807" spans="1:14" ht="12.75" customHeight="1">
      <c r="A807" s="461"/>
      <c r="D807" s="131" t="s">
        <v>3354</v>
      </c>
      <c r="E807" s="448">
        <f>SUM(E794:E806)</f>
        <v>241.87791644058601</v>
      </c>
      <c r="F807" s="448">
        <f t="shared" ref="F807" si="86">SUM(F794:F806)</f>
        <v>241.87791644058601</v>
      </c>
      <c r="G807" s="448">
        <f t="shared" ref="G807" si="87">SUM(G794:G806)</f>
        <v>241.87791644058601</v>
      </c>
      <c r="H807" s="131" t="s">
        <v>3353</v>
      </c>
      <c r="J807" s="131" t="s">
        <v>3354</v>
      </c>
      <c r="K807" s="448">
        <f>SUM(K794:K806)</f>
        <v>241.87791644058601</v>
      </c>
      <c r="L807" s="448">
        <f t="shared" ref="L807:M807" si="88">SUM(L794:L806)</f>
        <v>241.87791644058601</v>
      </c>
      <c r="M807" s="448">
        <f t="shared" si="88"/>
        <v>241.87791644058601</v>
      </c>
      <c r="N807" s="131" t="s">
        <v>6542</v>
      </c>
    </row>
    <row r="808" spans="1:14" ht="12.75" customHeight="1">
      <c r="A808" s="461"/>
    </row>
    <row r="809" spans="1:14" ht="12.75" customHeight="1">
      <c r="A809" s="461"/>
      <c r="C809" s="131" t="s">
        <v>1624</v>
      </c>
    </row>
    <row r="810" spans="1:14" ht="12.75" customHeight="1">
      <c r="A810" s="461"/>
      <c r="D810" s="8" t="s">
        <v>595</v>
      </c>
      <c r="E810" s="463">
        <f>calcLOB1Clinician1Disc1Emp1MissVisits+calcLOB1Clinician1Disc2Emp1MissVisits+calcLOB1Clinician1Emp2MissVisits+calcLOB1Clinician1Emp3MissVisits</f>
        <v>4.05</v>
      </c>
      <c r="F810" s="463">
        <f>calcLOB1Clinician1Disc1Emp1MissVisits+calcLOB1Clinician1Disc2Emp1MissVisits+calcLOB1Clinician1Emp2MissVisits+calcLOB1Clinician1Emp3MissVisits</f>
        <v>4.05</v>
      </c>
      <c r="G810" s="463">
        <f>calcLOB1Clinician1Disc1Emp1MissVisits+calcLOB1Clinician1Disc2Emp1MissVisits+calcLOB1Clinician1Emp2MissVisits+calcLOB1Clinician1Emp3MissVisits</f>
        <v>4.05</v>
      </c>
      <c r="H810" s="131" t="s">
        <v>1940</v>
      </c>
      <c r="J810" s="8" t="s">
        <v>595</v>
      </c>
      <c r="K810" s="463">
        <f>calcR2LOB1Clinician1Disc1Emp1MissVisits+calcR2LOB1Clinician1Disc2Emp1MissVisits+calcR2LOB1Clinician1Emp2MissVisits+calcR2LOB1Clinician1Emp3MissVisits</f>
        <v>4.05</v>
      </c>
      <c r="L810" s="463">
        <f>calcR2LOB1Clinician1Disc1Emp1MissVisits+calcR2LOB1Clinician1Disc2Emp1MissVisits+calcR2LOB1Clinician1Emp2MissVisits+calcR2LOB1Clinician1Emp3MissVisits</f>
        <v>4.05</v>
      </c>
      <c r="M810" s="463">
        <f>calcR2LOB1Clinician1Disc1Emp1MissVisits+calcR2LOB1Clinician1Disc2Emp1MissVisits+calcR2LOB1Clinician1Emp2MissVisits+calcR2LOB1Clinician1Emp3MissVisits</f>
        <v>4.05</v>
      </c>
      <c r="N810" s="131" t="s">
        <v>6543</v>
      </c>
    </row>
    <row r="811" spans="1:14" ht="12.75" customHeight="1">
      <c r="A811" s="461"/>
      <c r="D811" s="8" t="s">
        <v>596</v>
      </c>
      <c r="E811" s="463">
        <f>calcLOB1Clinician2Disc1Emp1MissVisits+calcLOB1Clinician2Disc2Emp1MissVisits+calcLOB1Clinician2Emp2MissVisits+calcLOB1Clinician2Emp3MissVisits</f>
        <v>2.4000000000000004</v>
      </c>
      <c r="F811" s="463">
        <f>calcLOB1Clinician2Disc1Emp1MissVisits+calcLOB1Clinician2Disc2Emp1MissVisits+calcLOB1Clinician2Emp2MissVisits+calcLOB1Clinician2Emp3MissVisits</f>
        <v>2.4000000000000004</v>
      </c>
      <c r="G811" s="463">
        <f>calcLOB1Clinician2Disc1Emp1MissVisits+calcLOB1Clinician2Disc2Emp1MissVisits+calcLOB1Clinician2Emp2MissVisits+calcLOB1Clinician2Emp3MissVisits</f>
        <v>2.4000000000000004</v>
      </c>
      <c r="H811" s="131" t="s">
        <v>1941</v>
      </c>
      <c r="J811" s="8" t="s">
        <v>596</v>
      </c>
      <c r="K811" s="463">
        <f>calcR2LOB1Clinician2Disc1Emp1MissVisits+calcR2LOB1Clinician2Disc2Emp1MissVisits+calcR2LOB1Clinician2Emp2MissVisits+calcR2LOB1Clinician2Emp3MissVisits</f>
        <v>2.4000000000000004</v>
      </c>
      <c r="L811" s="463">
        <f>calcR2LOB1Clinician2Disc1Emp1MissVisits+calcR2LOB1Clinician2Disc2Emp1MissVisits+calcR2LOB1Clinician2Emp2MissVisits+calcR2LOB1Clinician2Emp3MissVisits</f>
        <v>2.4000000000000004</v>
      </c>
      <c r="M811" s="463">
        <f>calcR2LOB1Clinician2Disc1Emp1MissVisits+calcR2LOB1Clinician2Disc2Emp1MissVisits+calcR2LOB1Clinician2Emp2MissVisits+calcR2LOB1Clinician2Emp3MissVisits</f>
        <v>2.4000000000000004</v>
      </c>
      <c r="N811" s="131" t="s">
        <v>6544</v>
      </c>
    </row>
    <row r="812" spans="1:14" ht="12.75" customHeight="1">
      <c r="A812" s="461"/>
      <c r="D812" s="8" t="s">
        <v>597</v>
      </c>
      <c r="E812" s="463">
        <f>calcLOB1Clinician3Disc1Emp1MissVisits+calcLOB1Clinician3Disc2Emp1MissVisits+calcLOB1Clinician3Emp2MissVisits+calcLOB1Clinician3Emp3MissVisits</f>
        <v>0.62631578947368427</v>
      </c>
      <c r="F812" s="463">
        <f>calcLOB1Clinician3Disc1Emp1MissVisits+calcLOB1Clinician3Disc2Emp1MissVisits+calcLOB1Clinician3Emp2MissVisits+calcLOB1Clinician3Emp3MissVisits</f>
        <v>0.62631578947368427</v>
      </c>
      <c r="G812" s="463">
        <f>calcLOB1Clinician3Disc1Emp1MissVisits+calcLOB1Clinician3Disc2Emp1MissVisits+calcLOB1Clinician3Emp2MissVisits+calcLOB1Clinician3Emp3MissVisits</f>
        <v>0.62631578947368427</v>
      </c>
      <c r="H812" s="131" t="s">
        <v>1942</v>
      </c>
      <c r="J812" s="8" t="s">
        <v>597</v>
      </c>
      <c r="K812" s="463">
        <f>calcR2LOB1Clinician3Disc1Emp1MissVisits+calcR2LOB1Clinician3Disc2Emp1MissVisits+calcR2LOB1Clinician3Emp2MissVisits+calcR2LOB1Clinician3Emp3MissVisits</f>
        <v>0.62631578947368427</v>
      </c>
      <c r="L812" s="463">
        <f>calcR2LOB1Clinician3Disc1Emp1MissVisits+calcR2LOB1Clinician3Disc2Emp1MissVisits+calcR2LOB1Clinician3Emp2MissVisits+calcR2LOB1Clinician3Emp3MissVisits</f>
        <v>0.62631578947368427</v>
      </c>
      <c r="M812" s="463">
        <f>calcR2LOB1Clinician3Disc1Emp1MissVisits+calcR2LOB1Clinician3Disc2Emp1MissVisits+calcR2LOB1Clinician3Emp2MissVisits+calcR2LOB1Clinician3Emp3MissVisits</f>
        <v>0.62631578947368427</v>
      </c>
      <c r="N812" s="131" t="s">
        <v>6545</v>
      </c>
    </row>
    <row r="813" spans="1:14" ht="12.75" customHeight="1">
      <c r="A813" s="461"/>
      <c r="D813" s="8" t="s">
        <v>598</v>
      </c>
      <c r="E813" s="463">
        <f>calcLOB1Clinician4Disc1Emp1MissVisits+calcLOB1Clinician4Disc2Emp1MissVisits+calcLOB1Clinician4Emp2MissVisits+calcLOB1Clinician4Emp3MissVisits</f>
        <v>0.33</v>
      </c>
      <c r="F813" s="463">
        <f>calcLOB1Clinician4Disc1Emp1MissVisits+calcLOB1Clinician4Disc2Emp1MissVisits+calcLOB1Clinician4Emp2MissVisits+calcLOB1Clinician4Emp3MissVisits</f>
        <v>0.33</v>
      </c>
      <c r="G813" s="463">
        <f>calcLOB1Clinician4Disc1Emp1MissVisits+calcLOB1Clinician4Disc2Emp1MissVisits+calcLOB1Clinician4Emp2MissVisits+calcLOB1Clinician4Emp3MissVisits</f>
        <v>0.33</v>
      </c>
      <c r="H813" s="131" t="s">
        <v>1943</v>
      </c>
      <c r="J813" s="8" t="s">
        <v>598</v>
      </c>
      <c r="K813" s="463">
        <f>calcR2LOB1Clinician4Disc1Emp1MissVisits+calcR2LOB1Clinician4Disc2Emp1MissVisits+calcR2LOB1Clinician4Emp2MissVisits+calcR2LOB1Clinician4Emp3MissVisits</f>
        <v>0.33</v>
      </c>
      <c r="L813" s="463">
        <f>calcR2LOB1Clinician4Disc1Emp1MissVisits+calcR2LOB1Clinician4Disc2Emp1MissVisits+calcR2LOB1Clinician4Emp2MissVisits+calcR2LOB1Clinician4Emp3MissVisits</f>
        <v>0.33</v>
      </c>
      <c r="M813" s="463">
        <f>calcR2LOB1Clinician4Disc1Emp1MissVisits+calcR2LOB1Clinician4Disc2Emp1MissVisits+calcR2LOB1Clinician4Emp2MissVisits+calcR2LOB1Clinician4Emp3MissVisits</f>
        <v>0.33</v>
      </c>
      <c r="N813" s="131" t="s">
        <v>6546</v>
      </c>
    </row>
    <row r="814" spans="1:14" ht="12.75" customHeight="1">
      <c r="A814" s="461"/>
      <c r="D814" s="8" t="s">
        <v>599</v>
      </c>
      <c r="E814" s="463">
        <f>calcLOB1Clinician5Disc1Emp1MissVisits+calcLOB1Clinician5Disc2Emp1MissVisits+calcLOB1Clinician5Emp2MissVisits+calcLOB1Clinician5Emp3MissVisits</f>
        <v>0.52577319587628868</v>
      </c>
      <c r="F814" s="463">
        <f>calcLOB1Clinician5Disc1Emp1MissVisits+calcLOB1Clinician5Disc2Emp1MissVisits+calcLOB1Clinician5Emp2MissVisits+calcLOB1Clinician5Emp3MissVisits</f>
        <v>0.52577319587628868</v>
      </c>
      <c r="G814" s="463">
        <f>calcLOB1Clinician5Disc1Emp1MissVisits+calcLOB1Clinician5Disc2Emp1MissVisits+calcLOB1Clinician5Emp2MissVisits+calcLOB1Clinician5Emp3MissVisits</f>
        <v>0.52577319587628868</v>
      </c>
      <c r="H814" s="131" t="s">
        <v>1944</v>
      </c>
      <c r="J814" s="8" t="s">
        <v>599</v>
      </c>
      <c r="K814" s="463">
        <f>calcR2LOB1Clinician5Disc1Emp1MissVisits+calcR2LOB1Clinician5Disc2Emp1MissVisits+calcR2LOB1Clinician5Emp2MissVisits+calcR2LOB1Clinician5Emp3MissVisits</f>
        <v>0.52577319587628868</v>
      </c>
      <c r="L814" s="463">
        <f>calcR2LOB1Clinician5Disc1Emp1MissVisits+calcR2LOB1Clinician5Disc2Emp1MissVisits+calcR2LOB1Clinician5Emp2MissVisits+calcR2LOB1Clinician5Emp3MissVisits</f>
        <v>0.52577319587628868</v>
      </c>
      <c r="M814" s="463">
        <f>calcR2LOB1Clinician5Disc1Emp1MissVisits+calcR2LOB1Clinician5Disc2Emp1MissVisits+calcR2LOB1Clinician5Emp2MissVisits+calcR2LOB1Clinician5Emp3MissVisits</f>
        <v>0.52577319587628868</v>
      </c>
      <c r="N814" s="131" t="s">
        <v>6547</v>
      </c>
    </row>
    <row r="815" spans="1:14" ht="12.75" customHeight="1">
      <c r="A815" s="461"/>
      <c r="D815" s="8" t="s">
        <v>600</v>
      </c>
      <c r="E815" s="463">
        <f>calcLOB1Clinician6Disc1Emp1MissVisits+calcLOB1Clinician6Disc2Emp1MissVisits+calcLOB1Clinician6Emp2MissVisits+calcLOB1Clinician6Emp3MissVisits</f>
        <v>3.9000000000000004</v>
      </c>
      <c r="F815" s="463">
        <f>calcLOB1Clinician6Disc1Emp1MissVisits+calcLOB1Clinician6Disc2Emp1MissVisits+calcLOB1Clinician6Emp2MissVisits+calcLOB1Clinician6Emp3MissVisits</f>
        <v>3.9000000000000004</v>
      </c>
      <c r="G815" s="463">
        <f>calcLOB1Clinician6Disc1Emp1MissVisits+calcLOB1Clinician6Disc2Emp1MissVisits+calcLOB1Clinician6Emp2MissVisits+calcLOB1Clinician6Emp3MissVisits</f>
        <v>3.9000000000000004</v>
      </c>
      <c r="H815" s="131" t="s">
        <v>1945</v>
      </c>
      <c r="J815" s="8" t="s">
        <v>600</v>
      </c>
      <c r="K815" s="463">
        <f>calcR2LOB1Clinician6Disc1Emp1MissVisits+calcR2LOB1Clinician6Disc2Emp1MissVisits+calcR2LOB1Clinician6Emp2MissVisits+calcR2LOB1Clinician6Emp3MissVisits</f>
        <v>3.9000000000000004</v>
      </c>
      <c r="L815" s="463">
        <f>calcR2LOB1Clinician6Disc1Emp1MissVisits+calcR2LOB1Clinician6Disc2Emp1MissVisits+calcR2LOB1Clinician6Emp2MissVisits+calcR2LOB1Clinician6Emp3MissVisits</f>
        <v>3.9000000000000004</v>
      </c>
      <c r="M815" s="463">
        <f>calcR2LOB1Clinician6Disc1Emp1MissVisits+calcR2LOB1Clinician6Disc2Emp1MissVisits+calcR2LOB1Clinician6Emp2MissVisits+calcR2LOB1Clinician6Emp3MissVisits</f>
        <v>3.9000000000000004</v>
      </c>
      <c r="N815" s="131" t="s">
        <v>6548</v>
      </c>
    </row>
    <row r="816" spans="1:14" ht="12.75" customHeight="1">
      <c r="A816" s="461"/>
      <c r="D816" s="8" t="s">
        <v>601</v>
      </c>
      <c r="E816" s="463">
        <f>calcLOB1Clinician7Disc1Emp1MissVisits+calcLOB1Clinician7Disc2Emp1MissVisits+calcLOB1Clinician7Emp2MissVisits+calcLOB1Clinician7Emp3MissVisits</f>
        <v>1.68</v>
      </c>
      <c r="F816" s="463">
        <f>calcLOB1Clinician7Disc1Emp1MissVisits+calcLOB1Clinician7Disc2Emp1MissVisits+calcLOB1Clinician7Emp2MissVisits+calcLOB1Clinician7Emp3MissVisits</f>
        <v>1.68</v>
      </c>
      <c r="G816" s="463">
        <f>calcLOB1Clinician7Disc1Emp1MissVisits+calcLOB1Clinician7Disc2Emp1MissVisits+calcLOB1Clinician7Emp2MissVisits+calcLOB1Clinician7Emp3MissVisits</f>
        <v>1.68</v>
      </c>
      <c r="H816" s="131" t="s">
        <v>1946</v>
      </c>
      <c r="J816" s="8" t="s">
        <v>601</v>
      </c>
      <c r="K816" s="463">
        <f>calcR2LOB1Clinician7Disc1Emp1MissVisits+calcR2LOB1Clinician7Disc2Emp1MissVisits+calcR2LOB1Clinician7Emp2MissVisits+calcR2LOB1Clinician7Emp3MissVisits</f>
        <v>1.68</v>
      </c>
      <c r="L816" s="463">
        <f>calcR2LOB1Clinician7Disc1Emp1MissVisits+calcR2LOB1Clinician7Disc2Emp1MissVisits+calcR2LOB1Clinician7Emp2MissVisits+calcR2LOB1Clinician7Emp3MissVisits</f>
        <v>1.68</v>
      </c>
      <c r="M816" s="463">
        <f>calcR2LOB1Clinician7Disc1Emp1MissVisits+calcR2LOB1Clinician7Disc2Emp1MissVisits+calcR2LOB1Clinician7Emp2MissVisits+calcR2LOB1Clinician7Emp3MissVisits</f>
        <v>1.68</v>
      </c>
      <c r="N816" s="131" t="s">
        <v>6549</v>
      </c>
    </row>
    <row r="817" spans="1:14" ht="12.75" customHeight="1">
      <c r="A817" s="461"/>
      <c r="D817" s="8" t="s">
        <v>602</v>
      </c>
      <c r="E817" s="463">
        <f>calcLOB1Clinician8Disc1Emp1MissVisits+calcLOB1Clinician8Disc2Emp1MissVisits+calcLOB1Clinician8Emp2MissVisits+calcLOB1Clinician8Emp3MissVisits</f>
        <v>4.0600000000000005</v>
      </c>
      <c r="F817" s="463">
        <f>calcLOB1Clinician8Disc1Emp1MissVisits+calcLOB1Clinician8Disc2Emp1MissVisits+calcLOB1Clinician8Emp2MissVisits+calcLOB1Clinician8Emp3MissVisits</f>
        <v>4.0600000000000005</v>
      </c>
      <c r="G817" s="463">
        <f>calcLOB1Clinician8Disc1Emp1MissVisits+calcLOB1Clinician8Disc2Emp1MissVisits+calcLOB1Clinician8Emp2MissVisits+calcLOB1Clinician8Emp3MissVisits</f>
        <v>4.0600000000000005</v>
      </c>
      <c r="H817" s="131" t="s">
        <v>1947</v>
      </c>
      <c r="J817" s="8" t="s">
        <v>602</v>
      </c>
      <c r="K817" s="463">
        <f>calcR2LOB1Clinician8Disc1Emp1MissVisits+calcR2LOB1Clinician8Disc2Emp1MissVisits+calcR2LOB1Clinician8Emp2MissVisits+calcR2LOB1Clinician8Emp3MissVisits</f>
        <v>4.0600000000000005</v>
      </c>
      <c r="L817" s="463">
        <f>calcR2LOB1Clinician8Disc1Emp1MissVisits+calcR2LOB1Clinician8Disc2Emp1MissVisits+calcR2LOB1Clinician8Emp2MissVisits+calcR2LOB1Clinician8Emp3MissVisits</f>
        <v>4.0600000000000005</v>
      </c>
      <c r="M817" s="463">
        <f>calcR2LOB1Clinician8Disc1Emp1MissVisits+calcR2LOB1Clinician8Disc2Emp1MissVisits+calcR2LOB1Clinician8Emp2MissVisits+calcR2LOB1Clinician8Emp3MissVisits</f>
        <v>4.0600000000000005</v>
      </c>
      <c r="N817" s="131" t="s">
        <v>6550</v>
      </c>
    </row>
    <row r="818" spans="1:14" ht="12.75" customHeight="1">
      <c r="A818" s="461"/>
      <c r="D818" s="8" t="s">
        <v>603</v>
      </c>
      <c r="E818" s="463">
        <f>calcLOB1Clinician9Disc1Emp1MissVisits+calcLOB1Clinician9Disc2Emp1MissVisits+calcLOB1Clinician9Emp2MissVisits+calcLOB1Clinician9Emp3MissVisits</f>
        <v>0.47319587628865978</v>
      </c>
      <c r="F818" s="463">
        <f>calcLOB1Clinician9Disc1Emp1MissVisits+calcLOB1Clinician9Disc2Emp1MissVisits+calcLOB1Clinician9Emp2MissVisits+calcLOB1Clinician9Emp3MissVisits</f>
        <v>0.47319587628865978</v>
      </c>
      <c r="G818" s="463">
        <f>calcLOB1Clinician9Disc1Emp1MissVisits+calcLOB1Clinician9Disc2Emp1MissVisits+calcLOB1Clinician9Emp2MissVisits+calcLOB1Clinician9Emp3MissVisits</f>
        <v>0.47319587628865978</v>
      </c>
      <c r="H818" s="131" t="s">
        <v>1948</v>
      </c>
      <c r="J818" s="8" t="s">
        <v>603</v>
      </c>
      <c r="K818" s="463">
        <f>calcR2LOB1Clinician9Disc1Emp1MissVisits+calcR2LOB1Clinician9Disc2Emp1MissVisits+calcR2LOB1Clinician9Emp2MissVisits+calcR2LOB1Clinician9Emp3MissVisits</f>
        <v>0.47319587628865978</v>
      </c>
      <c r="L818" s="463">
        <f>calcR2LOB1Clinician9Disc1Emp1MissVisits+calcR2LOB1Clinician9Disc2Emp1MissVisits+calcR2LOB1Clinician9Emp2MissVisits+calcR2LOB1Clinician9Emp3MissVisits</f>
        <v>0.47319587628865978</v>
      </c>
      <c r="M818" s="463">
        <f>calcR2LOB1Clinician9Disc1Emp1MissVisits+calcR2LOB1Clinician9Disc2Emp1MissVisits+calcR2LOB1Clinician9Emp2MissVisits+calcR2LOB1Clinician9Emp3MissVisits</f>
        <v>0.47319587628865978</v>
      </c>
      <c r="N818" s="131" t="s">
        <v>6551</v>
      </c>
    </row>
    <row r="819" spans="1:14" ht="12.75" customHeight="1">
      <c r="A819" s="461"/>
      <c r="D819" s="8" t="s">
        <v>604</v>
      </c>
      <c r="E819" s="463">
        <f>calcLOB1Clinician10Disc1Emp1MissVisits+calcLOB1Clinician10Disc2Emp1MissVisits+calcLOB1Clinician10Emp2MissVisits+calcLOB1Clinician10Emp3MissVisits</f>
        <v>1.2526315789473685</v>
      </c>
      <c r="F819" s="463">
        <f>calcLOB1Clinician10Disc1Emp1MissVisits+calcLOB1Clinician10Disc2Emp1MissVisits+calcLOB1Clinician10Emp2MissVisits+calcLOB1Clinician10Emp3MissVisits</f>
        <v>1.2526315789473685</v>
      </c>
      <c r="G819" s="463">
        <f>calcLOB1Clinician10Disc1Emp1MissVisits+calcLOB1Clinician10Disc2Emp1MissVisits+calcLOB1Clinician10Emp2MissVisits+calcLOB1Clinician10Emp3MissVisits</f>
        <v>1.2526315789473685</v>
      </c>
      <c r="H819" s="131" t="s">
        <v>1949</v>
      </c>
      <c r="J819" s="8" t="s">
        <v>604</v>
      </c>
      <c r="K819" s="463">
        <f>calcR2LOB1Clinician10Disc1Emp1MissVisits+calcR2LOB1Clinician10Disc2Emp1MissVisits+calcR2LOB1Clinician10Emp2MissVisits+calcR2LOB1Clinician10Emp3MissVisits</f>
        <v>1.2526315789473685</v>
      </c>
      <c r="L819" s="463">
        <f>calcR2LOB1Clinician10Disc1Emp1MissVisits+calcR2LOB1Clinician10Disc2Emp1MissVisits+calcR2LOB1Clinician10Emp2MissVisits+calcR2LOB1Clinician10Emp3MissVisits</f>
        <v>1.2526315789473685</v>
      </c>
      <c r="M819" s="463">
        <f>calcR2LOB1Clinician10Disc1Emp1MissVisits+calcR2LOB1Clinician10Disc2Emp1MissVisits+calcR2LOB1Clinician10Emp2MissVisits+calcR2LOB1Clinician10Emp3MissVisits</f>
        <v>1.2526315789473685</v>
      </c>
      <c r="N819" s="131" t="s">
        <v>6552</v>
      </c>
    </row>
    <row r="820" spans="1:14" ht="12.75" customHeight="1">
      <c r="A820" s="461"/>
      <c r="D820" s="8" t="s">
        <v>1497</v>
      </c>
      <c r="E820" s="463">
        <f>calcLOB1Clinician11Disc1Emp1MissVisits+calcLOB1Clinician11Disc2Emp1MissVisits+calcLOB1Clinician11Emp2MissVisits+calcLOB1Clinician11Emp3MissVisits</f>
        <v>0</v>
      </c>
      <c r="F820" s="463">
        <f>calcLOB1Clinician11Disc1Emp1MissVisits+calcLOB1Clinician11Disc2Emp1MissVisits+calcLOB1Clinician11Emp2MissVisits+calcLOB1Clinician11Emp3MissVisits</f>
        <v>0</v>
      </c>
      <c r="G820" s="463">
        <f>calcLOB1Clinician11Disc1Emp1MissVisits+calcLOB1Clinician11Disc2Emp1MissVisits+calcLOB1Clinician11Emp2MissVisits+calcLOB1Clinician11Emp3MissVisits</f>
        <v>0</v>
      </c>
      <c r="H820" s="131" t="s">
        <v>1950</v>
      </c>
      <c r="J820" s="8" t="s">
        <v>1497</v>
      </c>
      <c r="K820" s="463">
        <f>calcR2LOB1Clinician11Disc1Emp1MissVisits+calcR2LOB1Clinician11Disc2Emp1MissVisits+calcR2LOB1Clinician11Emp2MissVisits+calcR2LOB1Clinician11Emp3MissVisits</f>
        <v>0</v>
      </c>
      <c r="L820" s="463">
        <f>calcR2LOB1Clinician11Disc1Emp1MissVisits+calcR2LOB1Clinician11Disc2Emp1MissVisits+calcR2LOB1Clinician11Emp2MissVisits+calcR2LOB1Clinician11Emp3MissVisits</f>
        <v>0</v>
      </c>
      <c r="M820" s="463">
        <f>calcR2LOB1Clinician11Disc1Emp1MissVisits+calcR2LOB1Clinician11Disc2Emp1MissVisits+calcR2LOB1Clinician11Emp2MissVisits+calcR2LOB1Clinician11Emp3MissVisits</f>
        <v>0</v>
      </c>
      <c r="N820" s="131" t="s">
        <v>6553</v>
      </c>
    </row>
    <row r="821" spans="1:14" ht="12.75" customHeight="1">
      <c r="A821" s="461"/>
      <c r="D821" s="8" t="s">
        <v>1498</v>
      </c>
      <c r="E821" s="463">
        <f>calcLOB1Clinician12Disc1Emp1MissVisits+calcLOB1Clinician12Disc2Emp1MissVisits+calcLOB1Clinician12Emp2MissVisits+calcLOB1Clinician12Emp3MissVisits</f>
        <v>0</v>
      </c>
      <c r="F821" s="463">
        <f>calcLOB1Clinician12Disc1Emp1MissVisits+calcLOB1Clinician12Disc2Emp1MissVisits+calcLOB1Clinician12Emp2MissVisits+calcLOB1Clinician12Emp3MissVisits</f>
        <v>0</v>
      </c>
      <c r="G821" s="463">
        <f>calcLOB1Clinician12Disc1Emp1MissVisits+calcLOB1Clinician12Disc2Emp1MissVisits+calcLOB1Clinician12Emp2MissVisits+calcLOB1Clinician12Emp3MissVisits</f>
        <v>0</v>
      </c>
      <c r="H821" s="131" t="s">
        <v>1951</v>
      </c>
      <c r="J821" s="8" t="s">
        <v>1498</v>
      </c>
      <c r="K821" s="463">
        <f>calcR2LOB1Clinician12Disc1Emp1MissVisits+calcR2LOB1Clinician12Disc2Emp1MissVisits+calcR2LOB1Clinician12Emp2MissVisits+calcR2LOB1Clinician12Emp3MissVisits</f>
        <v>0</v>
      </c>
      <c r="L821" s="463">
        <f>calcR2LOB1Clinician12Disc1Emp1MissVisits+calcR2LOB1Clinician12Disc2Emp1MissVisits+calcR2LOB1Clinician12Emp2MissVisits+calcR2LOB1Clinician12Emp3MissVisits</f>
        <v>0</v>
      </c>
      <c r="M821" s="463">
        <f>calcR2LOB1Clinician12Disc1Emp1MissVisits+calcR2LOB1Clinician12Disc2Emp1MissVisits+calcR2LOB1Clinician12Emp2MissVisits+calcR2LOB1Clinician12Emp3MissVisits</f>
        <v>0</v>
      </c>
      <c r="N821" s="131" t="s">
        <v>6554</v>
      </c>
    </row>
    <row r="822" spans="1:14" ht="1.5" customHeight="1">
      <c r="A822" s="461"/>
      <c r="D822" s="449"/>
      <c r="E822" s="450"/>
      <c r="F822" s="450"/>
      <c r="G822" s="450"/>
      <c r="H822" s="131"/>
      <c r="J822" s="449"/>
      <c r="K822" s="450"/>
      <c r="L822" s="450"/>
      <c r="M822" s="450"/>
      <c r="N822" s="131"/>
    </row>
    <row r="823" spans="1:14" ht="12.75" customHeight="1">
      <c r="A823" s="461"/>
      <c r="D823" s="131" t="s">
        <v>3356</v>
      </c>
      <c r="E823" s="448">
        <f>SUM(E810:E822)</f>
        <v>19.297916440586</v>
      </c>
      <c r="F823" s="448">
        <f t="shared" ref="F823" si="89">SUM(F810:F822)</f>
        <v>19.297916440586</v>
      </c>
      <c r="G823" s="448">
        <f t="shared" ref="G823" si="90">SUM(G810:G822)</f>
        <v>19.297916440586</v>
      </c>
      <c r="H823" s="131" t="s">
        <v>3357</v>
      </c>
      <c r="J823" s="131" t="s">
        <v>3356</v>
      </c>
      <c r="K823" s="448">
        <f>SUM(K810:K822)</f>
        <v>19.297916440586</v>
      </c>
      <c r="L823" s="448">
        <f t="shared" ref="L823:M823" si="91">SUM(L810:L822)</f>
        <v>19.297916440586</v>
      </c>
      <c r="M823" s="448">
        <f t="shared" si="91"/>
        <v>19.297916440586</v>
      </c>
      <c r="N823" s="131" t="s">
        <v>6555</v>
      </c>
    </row>
    <row r="824" spans="1:14" ht="12.75" customHeight="1">
      <c r="A824" s="461"/>
      <c r="D824" s="131" t="s">
        <v>3360</v>
      </c>
      <c r="E824" s="451">
        <f>calcLOB1ClinicianMissVisits/calcLOB1ClinicianGrossProd</f>
        <v>7.9783705451780124E-2</v>
      </c>
      <c r="F824" s="451">
        <f>calcLOB1ClinicianMissVisits/calcLOB1ClinicianGrossProd</f>
        <v>7.9783705451780124E-2</v>
      </c>
      <c r="G824" s="451">
        <f>calcLOB1ClinicianMissVisits/calcLOB1ClinicianGrossProd</f>
        <v>7.9783705451780124E-2</v>
      </c>
      <c r="H824" s="131" t="s">
        <v>3361</v>
      </c>
      <c r="J824" s="131" t="s">
        <v>3360</v>
      </c>
      <c r="K824" s="451">
        <f>calcR2LOB1ClinicianMissVisits/calcR2LOB1ClinicianGrossProd</f>
        <v>7.9783705451780124E-2</v>
      </c>
      <c r="L824" s="451">
        <f>calcR2LOB1ClinicianMissVisits/calcR2LOB1ClinicianGrossProd</f>
        <v>7.9783705451780124E-2</v>
      </c>
      <c r="M824" s="451">
        <f>calcR2LOB1ClinicianMissVisits/calcR2LOB1ClinicianGrossProd</f>
        <v>7.9783705451780124E-2</v>
      </c>
      <c r="N824" s="131" t="s">
        <v>6556</v>
      </c>
    </row>
    <row r="825" spans="1:14" ht="12" customHeight="1">
      <c r="A825" s="461"/>
    </row>
    <row r="826" spans="1:14" ht="12.75" customHeight="1">
      <c r="A826" s="461"/>
      <c r="B826" s="635"/>
      <c r="C826" s="131" t="s">
        <v>5076</v>
      </c>
    </row>
    <row r="827" spans="1:14" ht="12.75" customHeight="1">
      <c r="A827" s="461"/>
      <c r="B827" s="635"/>
      <c r="D827" s="8" t="s">
        <v>595</v>
      </c>
      <c r="E827" s="451">
        <f>calcLOB1Clinician1Disc1BaseMissPerc+calcLOB1Clinician1Disc2BaseMissPerc+calcLOB1Clinician1Emp2BaseMissPerc+calcLOB1Clinician1Emp3BaseMissPerc</f>
        <v>0.15</v>
      </c>
      <c r="F827" s="451">
        <f>calcLOB1Clinician1Disc1BaseMissPerc+calcLOB1Clinician1Disc2BaseMissPerc+calcLOB1Clinician1Emp2BaseMissPerc+calcLOB1Clinician1Emp3BaseMissPerc</f>
        <v>0.15</v>
      </c>
      <c r="G827" s="451">
        <f>calcLOB1Clinician1Disc1BaseMissPerc+calcLOB1Clinician1Disc2BaseMissPerc+calcLOB1Clinician1Emp2BaseMissPerc+calcLOB1Clinician1Emp3BaseMissPerc</f>
        <v>0.15</v>
      </c>
      <c r="H827" s="131" t="s">
        <v>5077</v>
      </c>
      <c r="J827" s="8" t="s">
        <v>595</v>
      </c>
      <c r="K827" s="451">
        <f>calcR2LOB1Clinician1Disc1BaseMissPerc+calcR2LOB1Clinician1Disc2BaseMissPerc+calcR2LOB1Clinician1Emp2BaseMissPerc+calcR2LOB1Clinician1Emp3BaseMissPerc</f>
        <v>0.15</v>
      </c>
      <c r="L827" s="451">
        <f>calcR2LOB1Clinician1Disc1BaseMissPerc+calcR2LOB1Clinician1Disc2BaseMissPerc+calcR2LOB1Clinician1Emp2BaseMissPerc+calcR2LOB1Clinician1Emp3BaseMissPerc</f>
        <v>0.15</v>
      </c>
      <c r="M827" s="451">
        <f>calcR2LOB1Clinician1Disc1BaseMissPerc+calcR2LOB1Clinician1Disc2BaseMissPerc+calcR2LOB1Clinician1Emp2BaseMissPerc+calcR2LOB1Clinician1Emp3BaseMissPerc</f>
        <v>0.15</v>
      </c>
      <c r="N827" s="131" t="s">
        <v>6557</v>
      </c>
    </row>
    <row r="828" spans="1:14" ht="12.75" customHeight="1">
      <c r="A828" s="461"/>
      <c r="B828" s="635"/>
      <c r="D828" s="8" t="s">
        <v>596</v>
      </c>
      <c r="E828" s="451">
        <f>calcLOB1Clinician2Disc1BaseMissPerc+calcLOB1Clinician2Disc2BaseMissPerc+calcLOB1Clinician2Emp2BaseMissPerc+calcLOB1Clinician2Emp3BaseMissPerc</f>
        <v>0.1</v>
      </c>
      <c r="F828" s="451">
        <f>calcLOB1Clinician2Disc1BaseMissPerc+calcLOB1Clinician2Disc2BaseMissPerc+calcLOB1Clinician2Emp2BaseMissPerc+calcLOB1Clinician2Emp3BaseMissPerc</f>
        <v>0.1</v>
      </c>
      <c r="G828" s="451">
        <f>calcLOB1Clinician2Disc1BaseMissPerc+calcLOB1Clinician2Disc2BaseMissPerc+calcLOB1Clinician2Emp2BaseMissPerc+calcLOB1Clinician2Emp3BaseMissPerc</f>
        <v>0.1</v>
      </c>
      <c r="H828" s="131" t="s">
        <v>5078</v>
      </c>
      <c r="J828" s="8" t="s">
        <v>596</v>
      </c>
      <c r="K828" s="451">
        <f>calcR2LOB1Clinician2Disc1BaseMissPerc+calcR2LOB1Clinician2Disc2BaseMissPerc+calcR2LOB1Clinician2Emp2BaseMissPerc+calcR2LOB1Clinician2Emp3BaseMissPerc</f>
        <v>0.1</v>
      </c>
      <c r="L828" s="451">
        <f>calcR2LOB1Clinician2Disc1BaseMissPerc+calcR2LOB1Clinician2Disc2BaseMissPerc+calcR2LOB1Clinician2Emp2BaseMissPerc+calcR2LOB1Clinician2Emp3BaseMissPerc</f>
        <v>0.1</v>
      </c>
      <c r="M828" s="451">
        <f>calcR2LOB1Clinician2Disc1BaseMissPerc+calcR2LOB1Clinician2Disc2BaseMissPerc+calcR2LOB1Clinician2Emp2BaseMissPerc+calcR2LOB1Clinician2Emp3BaseMissPerc</f>
        <v>0.1</v>
      </c>
      <c r="N828" s="131" t="s">
        <v>6558</v>
      </c>
    </row>
    <row r="829" spans="1:14" ht="12.75" customHeight="1">
      <c r="A829" s="461"/>
      <c r="B829" s="635"/>
      <c r="D829" s="8" t="s">
        <v>597</v>
      </c>
      <c r="E829" s="451">
        <f>calcLOB1Clinician3Disc1BaseMissPerc+calcLOB1Clinician3Disc2BaseMissPerc+calcLOB1Clinician3Emp2BaseMissPerc+calcLOB1Clinician3Emp3BaseMissPerc</f>
        <v>0.05</v>
      </c>
      <c r="F829" s="451">
        <f>calcLOB1Clinician3Disc1BaseMissPerc+calcLOB1Clinician3Disc2BaseMissPerc+calcLOB1Clinician3Emp2BaseMissPerc+calcLOB1Clinician3Emp3BaseMissPerc</f>
        <v>0.05</v>
      </c>
      <c r="G829" s="451">
        <f>calcLOB1Clinician3Disc1BaseMissPerc+calcLOB1Clinician3Disc2BaseMissPerc+calcLOB1Clinician3Emp2BaseMissPerc+calcLOB1Clinician3Emp3BaseMissPerc</f>
        <v>0.05</v>
      </c>
      <c r="H829" s="131" t="s">
        <v>5079</v>
      </c>
      <c r="J829" s="8" t="s">
        <v>597</v>
      </c>
      <c r="K829" s="451">
        <f>calcR2LOB1Clinician3Disc1BaseMissPerc+calcR2LOB1Clinician3Disc2BaseMissPerc+calcR2LOB1Clinician3Emp2BaseMissPerc+calcR2LOB1Clinician3Emp3BaseMissPerc</f>
        <v>0.05</v>
      </c>
      <c r="L829" s="451">
        <f>calcR2LOB1Clinician3Disc1BaseMissPerc+calcR2LOB1Clinician3Disc2BaseMissPerc+calcR2LOB1Clinician3Emp2BaseMissPerc+calcR2LOB1Clinician3Emp3BaseMissPerc</f>
        <v>0.05</v>
      </c>
      <c r="M829" s="451">
        <f>calcR2LOB1Clinician3Disc1BaseMissPerc+calcR2LOB1Clinician3Disc2BaseMissPerc+calcR2LOB1Clinician3Emp2BaseMissPerc+calcR2LOB1Clinician3Emp3BaseMissPerc</f>
        <v>0.05</v>
      </c>
      <c r="N829" s="131" t="s">
        <v>6559</v>
      </c>
    </row>
    <row r="830" spans="1:14" ht="12.75" customHeight="1">
      <c r="A830" s="461"/>
      <c r="B830" s="635"/>
      <c r="D830" s="8" t="s">
        <v>598</v>
      </c>
      <c r="E830" s="451">
        <f>calcLOB1Clinician4Disc1BaseMissPerc+calcLOB1Clinician4Disc2BaseMissPerc+calcLOB1Clinician4Emp2BaseMissPerc+calcLOB1Clinician4Emp3BaseMissPerc</f>
        <v>0.01</v>
      </c>
      <c r="F830" s="451">
        <f>calcLOB1Clinician4Disc1BaseMissPerc+calcLOB1Clinician4Disc2BaseMissPerc+calcLOB1Clinician4Emp2BaseMissPerc+calcLOB1Clinician4Emp3BaseMissPerc</f>
        <v>0.01</v>
      </c>
      <c r="G830" s="451">
        <f>calcLOB1Clinician4Disc1BaseMissPerc+calcLOB1Clinician4Disc2BaseMissPerc+calcLOB1Clinician4Emp2BaseMissPerc+calcLOB1Clinician4Emp3BaseMissPerc</f>
        <v>0.01</v>
      </c>
      <c r="H830" s="131" t="s">
        <v>5080</v>
      </c>
      <c r="J830" s="8" t="s">
        <v>598</v>
      </c>
      <c r="K830" s="451">
        <f>calcR2LOB1Clinician4Disc1BaseMissPerc+calcR2LOB1Clinician4Disc2BaseMissPerc+calcR2LOB1Clinician4Emp2BaseMissPerc+calcR2LOB1Clinician4Emp3BaseMissPerc</f>
        <v>0.01</v>
      </c>
      <c r="L830" s="451">
        <f>calcR2LOB1Clinician4Disc1BaseMissPerc+calcR2LOB1Clinician4Disc2BaseMissPerc+calcR2LOB1Clinician4Emp2BaseMissPerc+calcR2LOB1Clinician4Emp3BaseMissPerc</f>
        <v>0.01</v>
      </c>
      <c r="M830" s="451">
        <f>calcR2LOB1Clinician4Disc1BaseMissPerc+calcR2LOB1Clinician4Disc2BaseMissPerc+calcR2LOB1Clinician4Emp2BaseMissPerc+calcR2LOB1Clinician4Emp3BaseMissPerc</f>
        <v>0.01</v>
      </c>
      <c r="N830" s="131" t="s">
        <v>6560</v>
      </c>
    </row>
    <row r="831" spans="1:14" ht="12.75" customHeight="1">
      <c r="A831" s="461"/>
      <c r="B831" s="635"/>
      <c r="D831" s="8" t="s">
        <v>599</v>
      </c>
      <c r="E831" s="451">
        <f>calcLOB1Clinician5Disc1BaseMissPerc+calcLOB1Clinician5Disc2BaseMissPerc+calcLOB1Clinician5Emp2BaseMissPerc+calcLOB1Clinician5Emp3BaseMissPerc</f>
        <v>0.03</v>
      </c>
      <c r="F831" s="451">
        <f>calcLOB1Clinician5Disc1BaseMissPerc+calcLOB1Clinician5Disc2BaseMissPerc+calcLOB1Clinician5Emp2BaseMissPerc+calcLOB1Clinician5Emp3BaseMissPerc</f>
        <v>0.03</v>
      </c>
      <c r="G831" s="451">
        <f>calcLOB1Clinician5Disc1BaseMissPerc+calcLOB1Clinician5Disc2BaseMissPerc+calcLOB1Clinician5Emp2BaseMissPerc+calcLOB1Clinician5Emp3BaseMissPerc</f>
        <v>0.03</v>
      </c>
      <c r="H831" s="131" t="s">
        <v>5081</v>
      </c>
      <c r="J831" s="8" t="s">
        <v>599</v>
      </c>
      <c r="K831" s="451">
        <f>calcR2LOB1Clinician5Disc1BaseMissPerc+calcR2LOB1Clinician5Disc2BaseMissPerc+calcR2LOB1Clinician5Emp2BaseMissPerc+calcR2LOB1Clinician5Emp3BaseMissPerc</f>
        <v>0.03</v>
      </c>
      <c r="L831" s="451">
        <f>calcR2LOB1Clinician5Disc1BaseMissPerc+calcR2LOB1Clinician5Disc2BaseMissPerc+calcR2LOB1Clinician5Emp2BaseMissPerc+calcR2LOB1Clinician5Emp3BaseMissPerc</f>
        <v>0.03</v>
      </c>
      <c r="M831" s="451">
        <f>calcR2LOB1Clinician5Disc1BaseMissPerc+calcR2LOB1Clinician5Disc2BaseMissPerc+calcR2LOB1Clinician5Emp2BaseMissPerc+calcR2LOB1Clinician5Emp3BaseMissPerc</f>
        <v>0.03</v>
      </c>
      <c r="N831" s="131" t="s">
        <v>6561</v>
      </c>
    </row>
    <row r="832" spans="1:14" ht="12.75" customHeight="1">
      <c r="A832" s="461"/>
      <c r="B832" s="635"/>
      <c r="D832" s="8" t="s">
        <v>600</v>
      </c>
      <c r="E832" s="451">
        <f>calcLOB1Clinician6Disc1BaseMissPerc+calcLOB1Clinician6Disc2BaseMissPerc+calcLOB1Clinician6Emp2BaseMissPerc+calcLOB1Clinician6Emp3BaseMissPerc</f>
        <v>0.13</v>
      </c>
      <c r="F832" s="451">
        <f>calcLOB1Clinician6Disc1BaseMissPerc+calcLOB1Clinician6Disc2BaseMissPerc+calcLOB1Clinician6Emp2BaseMissPerc+calcLOB1Clinician6Emp3BaseMissPerc</f>
        <v>0.13</v>
      </c>
      <c r="G832" s="451">
        <f>calcLOB1Clinician6Disc1BaseMissPerc+calcLOB1Clinician6Disc2BaseMissPerc+calcLOB1Clinician6Emp2BaseMissPerc+calcLOB1Clinician6Emp3BaseMissPerc</f>
        <v>0.13</v>
      </c>
      <c r="H832" s="131" t="s">
        <v>5082</v>
      </c>
      <c r="J832" s="8" t="s">
        <v>600</v>
      </c>
      <c r="K832" s="451">
        <f>calcR2LOB1Clinician6Disc1BaseMissPerc+calcR2LOB1Clinician6Disc2BaseMissPerc+calcR2LOB1Clinician6Emp2BaseMissPerc+calcR2LOB1Clinician6Emp3BaseMissPerc</f>
        <v>0.13</v>
      </c>
      <c r="L832" s="451">
        <f>calcR2LOB1Clinician6Disc1BaseMissPerc+calcR2LOB1Clinician6Disc2BaseMissPerc+calcR2LOB1Clinician6Emp2BaseMissPerc+calcR2LOB1Clinician6Emp3BaseMissPerc</f>
        <v>0.13</v>
      </c>
      <c r="M832" s="451">
        <f>calcR2LOB1Clinician6Disc1BaseMissPerc+calcR2LOB1Clinician6Disc2BaseMissPerc+calcR2LOB1Clinician6Emp2BaseMissPerc+calcR2LOB1Clinician6Emp3BaseMissPerc</f>
        <v>0.13</v>
      </c>
      <c r="N832" s="131" t="s">
        <v>6562</v>
      </c>
    </row>
    <row r="833" spans="1:14" ht="12.75" customHeight="1">
      <c r="A833" s="461"/>
      <c r="B833" s="635"/>
      <c r="D833" s="8" t="s">
        <v>601</v>
      </c>
      <c r="E833" s="451">
        <f>calcLOB1Clinician7Disc1BaseMissPerc+calcLOB1Clinician7Disc2BaseMissPerc+calcLOB1Clinician7Emp2BaseMissPerc+calcLOB1Clinician7Emp3BaseMissPerc</f>
        <v>0.06</v>
      </c>
      <c r="F833" s="451">
        <f>calcLOB1Clinician7Disc1BaseMissPerc+calcLOB1Clinician7Disc2BaseMissPerc+calcLOB1Clinician7Emp2BaseMissPerc+calcLOB1Clinician7Emp3BaseMissPerc</f>
        <v>0.06</v>
      </c>
      <c r="G833" s="451">
        <f>calcLOB1Clinician7Disc1BaseMissPerc+calcLOB1Clinician7Disc2BaseMissPerc+calcLOB1Clinician7Emp2BaseMissPerc+calcLOB1Clinician7Emp3BaseMissPerc</f>
        <v>0.06</v>
      </c>
      <c r="H833" s="131" t="s">
        <v>5083</v>
      </c>
      <c r="J833" s="8" t="s">
        <v>601</v>
      </c>
      <c r="K833" s="451">
        <f>calcR2LOB1Clinician7Disc1BaseMissPerc+calcR2LOB1Clinician7Disc2BaseMissPerc+calcR2LOB1Clinician7Emp2BaseMissPerc+calcR2LOB1Clinician7Emp3BaseMissPerc</f>
        <v>0.06</v>
      </c>
      <c r="L833" s="451">
        <f>calcR2LOB1Clinician7Disc1BaseMissPerc+calcR2LOB1Clinician7Disc2BaseMissPerc+calcR2LOB1Clinician7Emp2BaseMissPerc+calcR2LOB1Clinician7Emp3BaseMissPerc</f>
        <v>0.06</v>
      </c>
      <c r="M833" s="451">
        <f>calcR2LOB1Clinician7Disc1BaseMissPerc+calcR2LOB1Clinician7Disc2BaseMissPerc+calcR2LOB1Clinician7Emp2BaseMissPerc+calcR2LOB1Clinician7Emp3BaseMissPerc</f>
        <v>0.06</v>
      </c>
      <c r="N833" s="131" t="s">
        <v>6563</v>
      </c>
    </row>
    <row r="834" spans="1:14" ht="12.75" customHeight="1">
      <c r="A834" s="461"/>
      <c r="B834" s="635"/>
      <c r="D834" s="8" t="s">
        <v>602</v>
      </c>
      <c r="E834" s="451">
        <f>calcLOB1Clinician8Disc1BaseMissPerc+calcLOB1Clinician8Disc2BaseMissPerc+calcLOB1Clinician8Emp2BaseMissPerc+calcLOB1Clinician8Emp3BaseMissPerc</f>
        <v>0.14000000000000001</v>
      </c>
      <c r="F834" s="451">
        <f>calcLOB1Clinician8Disc1BaseMissPerc+calcLOB1Clinician8Disc2BaseMissPerc+calcLOB1Clinician8Emp2BaseMissPerc+calcLOB1Clinician8Emp3BaseMissPerc</f>
        <v>0.14000000000000001</v>
      </c>
      <c r="G834" s="451">
        <f>calcLOB1Clinician8Disc1BaseMissPerc+calcLOB1Clinician8Disc2BaseMissPerc+calcLOB1Clinician8Emp2BaseMissPerc+calcLOB1Clinician8Emp3BaseMissPerc</f>
        <v>0.14000000000000001</v>
      </c>
      <c r="H834" s="131" t="s">
        <v>5084</v>
      </c>
      <c r="J834" s="8" t="s">
        <v>602</v>
      </c>
      <c r="K834" s="451">
        <f>calcR2LOB1Clinician8Disc1BaseMissPerc+calcR2LOB1Clinician8Disc2BaseMissPerc+calcR2LOB1Clinician8Emp2BaseMissPerc+calcR2LOB1Clinician8Emp3BaseMissPerc</f>
        <v>0.14000000000000001</v>
      </c>
      <c r="L834" s="451">
        <f>calcR2LOB1Clinician8Disc1BaseMissPerc+calcR2LOB1Clinician8Disc2BaseMissPerc+calcR2LOB1Clinician8Emp2BaseMissPerc+calcR2LOB1Clinician8Emp3BaseMissPerc</f>
        <v>0.14000000000000001</v>
      </c>
      <c r="M834" s="451">
        <f>calcR2LOB1Clinician8Disc1BaseMissPerc+calcR2LOB1Clinician8Disc2BaseMissPerc+calcR2LOB1Clinician8Emp2BaseMissPerc+calcR2LOB1Clinician8Emp3BaseMissPerc</f>
        <v>0.14000000000000001</v>
      </c>
      <c r="N834" s="131" t="s">
        <v>6564</v>
      </c>
    </row>
    <row r="835" spans="1:14" ht="12.75" customHeight="1">
      <c r="A835" s="461"/>
      <c r="B835" s="635"/>
      <c r="D835" s="8" t="s">
        <v>603</v>
      </c>
      <c r="E835" s="451">
        <f>calcLOB1Clinician9Disc1BaseMissPerc+calcLOB1Clinician9Disc2BaseMissPerc+calcLOB1Clinician9Emp2BaseMissPerc+calcLOB1Clinician9Emp3BaseMissPerc</f>
        <v>0.03</v>
      </c>
      <c r="F835" s="451">
        <f>calcLOB1Clinician9Disc1BaseMissPerc+calcLOB1Clinician9Disc2BaseMissPerc+calcLOB1Clinician9Emp2BaseMissPerc+calcLOB1Clinician9Emp3BaseMissPerc</f>
        <v>0.03</v>
      </c>
      <c r="G835" s="451">
        <f>calcLOB1Clinician9Disc1BaseMissPerc+calcLOB1Clinician9Disc2BaseMissPerc+calcLOB1Clinician9Emp2BaseMissPerc+calcLOB1Clinician9Emp3BaseMissPerc</f>
        <v>0.03</v>
      </c>
      <c r="H835" s="131" t="s">
        <v>5085</v>
      </c>
      <c r="J835" s="8" t="s">
        <v>603</v>
      </c>
      <c r="K835" s="451">
        <f>calcR2LOB1Clinician9Disc1BaseMissPerc+calcR2LOB1Clinician9Disc2BaseMissPerc+calcR2LOB1Clinician9Emp2BaseMissPerc+calcR2LOB1Clinician9Emp3BaseMissPerc</f>
        <v>0.03</v>
      </c>
      <c r="L835" s="451">
        <f>calcR2LOB1Clinician9Disc1BaseMissPerc+calcR2LOB1Clinician9Disc2BaseMissPerc+calcR2LOB1Clinician9Emp2BaseMissPerc+calcR2LOB1Clinician9Emp3BaseMissPerc</f>
        <v>0.03</v>
      </c>
      <c r="M835" s="451">
        <f>calcR2LOB1Clinician9Disc1BaseMissPerc+calcR2LOB1Clinician9Disc2BaseMissPerc+calcR2LOB1Clinician9Emp2BaseMissPerc+calcR2LOB1Clinician9Emp3BaseMissPerc</f>
        <v>0.03</v>
      </c>
      <c r="N835" s="131" t="s">
        <v>6565</v>
      </c>
    </row>
    <row r="836" spans="1:14" ht="12.75" customHeight="1">
      <c r="A836" s="461"/>
      <c r="B836" s="635"/>
      <c r="D836" s="8" t="s">
        <v>604</v>
      </c>
      <c r="E836" s="451">
        <f>calcLOB1Clinician10Disc1BaseMissPerc+calcLOB1Clinician10Disc2BaseMissPerc+calcLOB1Clinician10Emp2BaseMissPerc+calcLOB1Clinician10Emp3BaseMissPerc</f>
        <v>0.05</v>
      </c>
      <c r="F836" s="451">
        <f>calcLOB1Clinician10Disc1BaseMissPerc+calcLOB1Clinician10Disc2BaseMissPerc+calcLOB1Clinician10Emp2BaseMissPerc+calcLOB1Clinician10Emp3BaseMissPerc</f>
        <v>0.05</v>
      </c>
      <c r="G836" s="451">
        <f>calcLOB1Clinician10Disc1BaseMissPerc+calcLOB1Clinician10Disc2BaseMissPerc+calcLOB1Clinician10Emp2BaseMissPerc+calcLOB1Clinician10Emp3BaseMissPerc</f>
        <v>0.05</v>
      </c>
      <c r="H836" s="131" t="s">
        <v>5086</v>
      </c>
      <c r="J836" s="8" t="s">
        <v>604</v>
      </c>
      <c r="K836" s="451">
        <f>calcR2LOB1Clinician10Disc1BaseMissPerc+calcR2LOB1Clinician10Disc2BaseMissPerc+calcR2LOB1Clinician10Emp2BaseMissPerc+calcR2LOB1Clinician10Emp3BaseMissPerc</f>
        <v>0.05</v>
      </c>
      <c r="L836" s="451">
        <f>calcR2LOB1Clinician10Disc1BaseMissPerc+calcR2LOB1Clinician10Disc2BaseMissPerc+calcR2LOB1Clinician10Emp2BaseMissPerc+calcR2LOB1Clinician10Emp3BaseMissPerc</f>
        <v>0.05</v>
      </c>
      <c r="M836" s="451">
        <f>calcR2LOB1Clinician10Disc1BaseMissPerc+calcR2LOB1Clinician10Disc2BaseMissPerc+calcR2LOB1Clinician10Emp2BaseMissPerc+calcR2LOB1Clinician10Emp3BaseMissPerc</f>
        <v>0.05</v>
      </c>
      <c r="N836" s="131" t="s">
        <v>6566</v>
      </c>
    </row>
    <row r="837" spans="1:14" ht="12.75" customHeight="1">
      <c r="A837" s="461"/>
      <c r="B837" s="635"/>
      <c r="D837" s="8" t="s">
        <v>1497</v>
      </c>
      <c r="E837" s="451">
        <f>calcLOB1Clinician11Disc1BaseMissPerc+calcLOB1Clinician11Disc2BaseMissPerc+calcLOB1Clinician11Emp2BaseMissPerc+calcLOB1Clinician11Emp3BaseMissPerc</f>
        <v>0</v>
      </c>
      <c r="F837" s="451">
        <f>calcLOB1Clinician11Disc1BaseMissPerc+calcLOB1Clinician11Disc2BaseMissPerc+calcLOB1Clinician11Emp2BaseMissPerc+calcLOB1Clinician11Emp3BaseMissPerc</f>
        <v>0</v>
      </c>
      <c r="G837" s="451">
        <f>calcLOB1Clinician11Disc1BaseMissPerc+calcLOB1Clinician11Disc2BaseMissPerc+calcLOB1Clinician11Emp2BaseMissPerc+calcLOB1Clinician11Emp3BaseMissPerc</f>
        <v>0</v>
      </c>
      <c r="H837" s="131" t="s">
        <v>5087</v>
      </c>
      <c r="J837" s="8" t="s">
        <v>1497</v>
      </c>
      <c r="K837" s="451">
        <f>calcR2LOB1Clinician11Disc1BaseMissPerc+calcR2LOB1Clinician11Disc2BaseMissPerc+calcR2LOB1Clinician11Emp2BaseMissPerc+calcR2LOB1Clinician11Emp3BaseMissPerc</f>
        <v>0</v>
      </c>
      <c r="L837" s="451">
        <f>calcR2LOB1Clinician11Disc1BaseMissPerc+calcR2LOB1Clinician11Disc2BaseMissPerc+calcR2LOB1Clinician11Emp2BaseMissPerc+calcR2LOB1Clinician11Emp3BaseMissPerc</f>
        <v>0</v>
      </c>
      <c r="M837" s="451">
        <f>calcR2LOB1Clinician11Disc1BaseMissPerc+calcR2LOB1Clinician11Disc2BaseMissPerc+calcR2LOB1Clinician11Emp2BaseMissPerc+calcR2LOB1Clinician11Emp3BaseMissPerc</f>
        <v>0</v>
      </c>
      <c r="N837" s="131" t="s">
        <v>6567</v>
      </c>
    </row>
    <row r="838" spans="1:14" ht="12.75" customHeight="1">
      <c r="A838" s="461"/>
      <c r="B838" s="635"/>
      <c r="D838" s="8" t="s">
        <v>1498</v>
      </c>
      <c r="E838" s="451">
        <f>calcLOB1Clinician12Disc1BaseMissPerc+calcLOB1Clinician12Disc2BaseMissPerc+calcLOB1Clinician12Emp2BaseMissPerc+calcLOB1Clinician12Emp3BaseMissPerc</f>
        <v>0</v>
      </c>
      <c r="F838" s="451">
        <f>calcLOB1Clinician12Disc1BaseMissPerc+calcLOB1Clinician12Disc2BaseMissPerc+calcLOB1Clinician12Emp2BaseMissPerc+calcLOB1Clinician12Emp3BaseMissPerc</f>
        <v>0</v>
      </c>
      <c r="G838" s="451">
        <f>calcLOB1Clinician12Disc1BaseMissPerc+calcLOB1Clinician12Disc2BaseMissPerc+calcLOB1Clinician12Emp2BaseMissPerc+calcLOB1Clinician12Emp3BaseMissPerc</f>
        <v>0</v>
      </c>
      <c r="H838" s="131" t="s">
        <v>5088</v>
      </c>
      <c r="J838" s="8" t="s">
        <v>1498</v>
      </c>
      <c r="K838" s="451">
        <f>calcR2LOB1Clinician12Disc1BaseMissPerc+calcR2LOB1Clinician12Disc2BaseMissPerc+calcR2LOB1Clinician12Emp2BaseMissPerc+calcR2LOB1Clinician12Emp3BaseMissPerc</f>
        <v>0</v>
      </c>
      <c r="L838" s="451">
        <f>calcR2LOB1Clinician12Disc1BaseMissPerc+calcR2LOB1Clinician12Disc2BaseMissPerc+calcR2LOB1Clinician12Emp2BaseMissPerc+calcR2LOB1Clinician12Emp3BaseMissPerc</f>
        <v>0</v>
      </c>
      <c r="M838" s="451">
        <f>calcR2LOB1Clinician12Disc1BaseMissPerc+calcR2LOB1Clinician12Disc2BaseMissPerc+calcR2LOB1Clinician12Emp2BaseMissPerc+calcR2LOB1Clinician12Emp3BaseMissPerc</f>
        <v>0</v>
      </c>
      <c r="N838" s="131" t="s">
        <v>6568</v>
      </c>
    </row>
    <row r="839" spans="1:14" ht="1.5" customHeight="1">
      <c r="A839" s="461"/>
      <c r="B839" s="635"/>
      <c r="D839" s="449"/>
      <c r="E839" s="450"/>
      <c r="F839" s="450"/>
      <c r="G839" s="450"/>
      <c r="H839" s="131"/>
      <c r="J839" s="449"/>
      <c r="K839" s="450"/>
      <c r="L839" s="450"/>
      <c r="M839" s="450"/>
      <c r="N839" s="131"/>
    </row>
    <row r="840" spans="1:14" ht="12.75" customHeight="1">
      <c r="A840" s="461"/>
      <c r="B840" s="635"/>
      <c r="D840" s="131" t="s">
        <v>3356</v>
      </c>
      <c r="E840" s="451">
        <f>SUM(E827:E839)</f>
        <v>0.75000000000000011</v>
      </c>
      <c r="F840" s="451">
        <f t="shared" ref="F840:G840" si="92">SUM(F827:F839)</f>
        <v>0.75000000000000011</v>
      </c>
      <c r="G840" s="451">
        <f t="shared" si="92"/>
        <v>0.75000000000000011</v>
      </c>
      <c r="H840" s="131" t="s">
        <v>5090</v>
      </c>
      <c r="J840" s="131" t="s">
        <v>3356</v>
      </c>
      <c r="K840" s="451">
        <f>SUM(K827:K839)</f>
        <v>0.75000000000000011</v>
      </c>
      <c r="L840" s="451">
        <f t="shared" ref="L840" si="93">SUM(L827:L839)</f>
        <v>0.75000000000000011</v>
      </c>
      <c r="M840" s="451">
        <f t="shared" ref="M840" si="94">SUM(M827:M839)</f>
        <v>0.75000000000000011</v>
      </c>
      <c r="N840" s="131" t="s">
        <v>6569</v>
      </c>
    </row>
    <row r="841" spans="1:14" ht="12.75" customHeight="1">
      <c r="A841" s="461"/>
      <c r="B841" s="635"/>
      <c r="D841" s="131" t="s">
        <v>3360</v>
      </c>
      <c r="E841" s="451">
        <f>calcLOB1ClinicianTotalMissPerc/(12-COUNTIF(E764:E775,"0"))</f>
        <v>7.5000000000000011E-2</v>
      </c>
      <c r="F841" s="451">
        <f>calcLOB1ClinicianTotalMissPerc/(12-COUNTIF(F764:F775,"0"))</f>
        <v>7.5000000000000011E-2</v>
      </c>
      <c r="G841" s="451">
        <f>calcLOB1ClinicianTotalMissPerc/(12-COUNTIF(G764:G775,"0"))</f>
        <v>7.5000000000000011E-2</v>
      </c>
      <c r="H841" s="131" t="s">
        <v>5089</v>
      </c>
      <c r="J841" s="131" t="s">
        <v>3360</v>
      </c>
      <c r="K841" s="764">
        <f>calcR2LOB1ClinicianTotalMissPerc/(12-COUNTIF(K764:K775,"0"))</f>
        <v>7.5000000000000011E-2</v>
      </c>
      <c r="L841" s="451">
        <f>calcR2LOB1ClinicianTotalMissPerc/(12-COUNTIF(L764:L775,"0"))</f>
        <v>7.5000000000000011E-2</v>
      </c>
      <c r="M841" s="451">
        <f>calcR2LOB1ClinicianTotalMissPerc/(12-COUNTIF(M764:M775,"0"))</f>
        <v>7.5000000000000011E-2</v>
      </c>
      <c r="N841" s="131" t="s">
        <v>6570</v>
      </c>
    </row>
    <row r="842" spans="1:14" ht="12.75" customHeight="1">
      <c r="A842" s="461"/>
    </row>
    <row r="843" spans="1:14" ht="12.75" customHeight="1">
      <c r="A843" s="461"/>
      <c r="C843" s="131" t="s">
        <v>3955</v>
      </c>
    </row>
    <row r="844" spans="1:14" ht="12.75" customHeight="1">
      <c r="A844" s="461"/>
      <c r="D844" s="8" t="s">
        <v>595</v>
      </c>
      <c r="E844" s="463">
        <f>calcLOB1Clinician1GrossProd-calcLOB1Clinician1MissVisits</f>
        <v>22.95</v>
      </c>
      <c r="F844" s="463">
        <f>calcLOB1Clinician1GrossProd-calcLOB1Clinician1MissVisits</f>
        <v>22.95</v>
      </c>
      <c r="G844" s="463">
        <f>calcLOB1Clinician1GrossProd-calcLOB1Clinician1MissVisits</f>
        <v>22.95</v>
      </c>
      <c r="H844" s="131" t="s">
        <v>3942</v>
      </c>
      <c r="J844" s="8" t="s">
        <v>595</v>
      </c>
      <c r="K844" s="463">
        <f>calcR2LOB1Clinician1GrossProd-calcR2LOB1Clinician1MissVisits</f>
        <v>22.95</v>
      </c>
      <c r="L844" s="463">
        <f>calcR2LOB1Clinician1GrossProd-calcR2LOB1Clinician1MissVisits</f>
        <v>22.95</v>
      </c>
      <c r="M844" s="463">
        <f>calcR2LOB1Clinician1GrossProd-calcR2LOB1Clinician1MissVisits</f>
        <v>22.95</v>
      </c>
      <c r="N844" s="131" t="s">
        <v>6571</v>
      </c>
    </row>
    <row r="845" spans="1:14" ht="12.75" customHeight="1">
      <c r="A845" s="461"/>
      <c r="D845" s="8" t="s">
        <v>596</v>
      </c>
      <c r="E845" s="463">
        <f>calcLOB1Clinician2GrossProd-calcLOB1Clinician2MissVisits</f>
        <v>21.6</v>
      </c>
      <c r="F845" s="463">
        <f>calcLOB1Clinician2GrossProd-calcLOB1Clinician2MissVisits</f>
        <v>21.6</v>
      </c>
      <c r="G845" s="463">
        <f>calcLOB1Clinician2GrossProd-calcLOB1Clinician2MissVisits</f>
        <v>21.6</v>
      </c>
      <c r="H845" s="131" t="s">
        <v>3943</v>
      </c>
      <c r="J845" s="8" t="s">
        <v>596</v>
      </c>
      <c r="K845" s="463">
        <f>calcR2LOB1Clinician2GrossProd-calcR2LOB1Clinician2MissVisits</f>
        <v>21.6</v>
      </c>
      <c r="L845" s="463">
        <f>calcR2LOB1Clinician2GrossProd-calcR2LOB1Clinician2MissVisits</f>
        <v>21.6</v>
      </c>
      <c r="M845" s="463">
        <f>calcR2LOB1Clinician2GrossProd-calcR2LOB1Clinician2MissVisits</f>
        <v>21.6</v>
      </c>
      <c r="N845" s="131" t="s">
        <v>6572</v>
      </c>
    </row>
    <row r="846" spans="1:14" ht="12.75" customHeight="1">
      <c r="A846" s="461"/>
      <c r="D846" s="8" t="s">
        <v>597</v>
      </c>
      <c r="E846" s="463">
        <f>calcLOB1Clinician3GrossProd-calcLOB1Clinician3MissVisits</f>
        <v>11.9</v>
      </c>
      <c r="F846" s="463">
        <f>calcLOB1Clinician3GrossProd-calcLOB1Clinician3MissVisits</f>
        <v>11.9</v>
      </c>
      <c r="G846" s="463">
        <f>calcLOB1Clinician3GrossProd-calcLOB1Clinician3MissVisits</f>
        <v>11.9</v>
      </c>
      <c r="H846" s="131" t="s">
        <v>3944</v>
      </c>
      <c r="J846" s="8" t="s">
        <v>597</v>
      </c>
      <c r="K846" s="463">
        <f>calcR2LOB1Clinician3GrossProd-calcR2LOB1Clinician3MissVisits</f>
        <v>11.9</v>
      </c>
      <c r="L846" s="463">
        <f>calcR2LOB1Clinician3GrossProd-calcR2LOB1Clinician3MissVisits</f>
        <v>11.9</v>
      </c>
      <c r="M846" s="463">
        <f>calcR2LOB1Clinician3GrossProd-calcR2LOB1Clinician3MissVisits</f>
        <v>11.9</v>
      </c>
      <c r="N846" s="131" t="s">
        <v>6573</v>
      </c>
    </row>
    <row r="847" spans="1:14" ht="12.75" customHeight="1">
      <c r="A847" s="461"/>
      <c r="D847" s="8" t="s">
        <v>598</v>
      </c>
      <c r="E847" s="463">
        <f>calcLOB1Clinician4GrossProd-calcLOB1Clinician4MissVisits</f>
        <v>32.67</v>
      </c>
      <c r="F847" s="463">
        <f>calcLOB1Clinician4GrossProd-calcLOB1Clinician4MissVisits</f>
        <v>32.67</v>
      </c>
      <c r="G847" s="463">
        <f>calcLOB1Clinician4GrossProd-calcLOB1Clinician4MissVisits</f>
        <v>32.67</v>
      </c>
      <c r="H847" s="131" t="s">
        <v>3945</v>
      </c>
      <c r="J847" s="8" t="s">
        <v>598</v>
      </c>
      <c r="K847" s="463">
        <f>calcR2LOB1Clinician4GrossProd-calcR2LOB1Clinician4MissVisits</f>
        <v>32.67</v>
      </c>
      <c r="L847" s="463">
        <f>calcR2LOB1Clinician4GrossProd-calcR2LOB1Clinician4MissVisits</f>
        <v>32.67</v>
      </c>
      <c r="M847" s="463">
        <f>calcR2LOB1Clinician4GrossProd-calcR2LOB1Clinician4MissVisits</f>
        <v>32.67</v>
      </c>
      <c r="N847" s="131" t="s">
        <v>6574</v>
      </c>
    </row>
    <row r="848" spans="1:14" ht="12.75" customHeight="1">
      <c r="A848" s="461"/>
      <c r="D848" s="8" t="s">
        <v>599</v>
      </c>
      <c r="E848" s="463">
        <f>calcLOB1Clinician5GrossProd-calcLOB1Clinician5MissVisits</f>
        <v>17</v>
      </c>
      <c r="F848" s="463">
        <f>calcLOB1Clinician5GrossProd-calcLOB1Clinician5MissVisits</f>
        <v>17</v>
      </c>
      <c r="G848" s="463">
        <f>calcLOB1Clinician5GrossProd-calcLOB1Clinician5MissVisits</f>
        <v>17</v>
      </c>
      <c r="H848" s="131" t="s">
        <v>3946</v>
      </c>
      <c r="J848" s="8" t="s">
        <v>599</v>
      </c>
      <c r="K848" s="463">
        <f>calcR2LOB1Clinician5GrossProd-calcR2LOB1Clinician5MissVisits</f>
        <v>17</v>
      </c>
      <c r="L848" s="463">
        <f>calcR2LOB1Clinician5GrossProd-calcR2LOB1Clinician5MissVisits</f>
        <v>17</v>
      </c>
      <c r="M848" s="463">
        <f>calcR2LOB1Clinician5GrossProd-calcR2LOB1Clinician5MissVisits</f>
        <v>17</v>
      </c>
      <c r="N848" s="131" t="s">
        <v>6575</v>
      </c>
    </row>
    <row r="849" spans="1:14" ht="12.75" customHeight="1">
      <c r="A849" s="461"/>
      <c r="D849" s="8" t="s">
        <v>600</v>
      </c>
      <c r="E849" s="463">
        <f>calcLOB1Clinician6GrossProd-calcLOB1Clinician6MissVisits</f>
        <v>26.1</v>
      </c>
      <c r="F849" s="463">
        <f>calcLOB1Clinician6GrossProd-calcLOB1Clinician6MissVisits</f>
        <v>26.1</v>
      </c>
      <c r="G849" s="463">
        <f>calcLOB1Clinician6GrossProd-calcLOB1Clinician6MissVisits</f>
        <v>26.1</v>
      </c>
      <c r="H849" s="131" t="s">
        <v>3947</v>
      </c>
      <c r="J849" s="8" t="s">
        <v>600</v>
      </c>
      <c r="K849" s="463">
        <f>calcR2LOB1Clinician6GrossProd-calcR2LOB1Clinician6MissVisits</f>
        <v>26.1</v>
      </c>
      <c r="L849" s="463">
        <f>calcR2LOB1Clinician6GrossProd-calcR2LOB1Clinician6MissVisits</f>
        <v>26.1</v>
      </c>
      <c r="M849" s="463">
        <f>calcR2LOB1Clinician6GrossProd-calcR2LOB1Clinician6MissVisits</f>
        <v>26.1</v>
      </c>
      <c r="N849" s="131" t="s">
        <v>6576</v>
      </c>
    </row>
    <row r="850" spans="1:14" ht="12.75" customHeight="1">
      <c r="A850" s="461"/>
      <c r="D850" s="8" t="s">
        <v>601</v>
      </c>
      <c r="E850" s="463">
        <f>calcLOB1Clinician7GrossProd-calcLOB1Clinician7MissVisits</f>
        <v>26.32</v>
      </c>
      <c r="F850" s="463">
        <f>calcLOB1Clinician7GrossProd-calcLOB1Clinician7MissVisits</f>
        <v>26.32</v>
      </c>
      <c r="G850" s="463">
        <f>calcLOB1Clinician7GrossProd-calcLOB1Clinician7MissVisits</f>
        <v>26.32</v>
      </c>
      <c r="H850" s="131" t="s">
        <v>3948</v>
      </c>
      <c r="J850" s="8" t="s">
        <v>601</v>
      </c>
      <c r="K850" s="463">
        <f>calcR2LOB1Clinician7GrossProd-calcR2LOB1Clinician7MissVisits</f>
        <v>26.32</v>
      </c>
      <c r="L850" s="463">
        <f>calcR2LOB1Clinician7GrossProd-calcR2LOB1Clinician7MissVisits</f>
        <v>26.32</v>
      </c>
      <c r="M850" s="463">
        <f>calcR2LOB1Clinician7GrossProd-calcR2LOB1Clinician7MissVisits</f>
        <v>26.32</v>
      </c>
      <c r="N850" s="131" t="s">
        <v>6577</v>
      </c>
    </row>
    <row r="851" spans="1:14" ht="12.75" customHeight="1">
      <c r="A851" s="461"/>
      <c r="D851" s="8" t="s">
        <v>602</v>
      </c>
      <c r="E851" s="463">
        <f>calcLOB1Clinician8GrossProd-calcLOB1Clinician8MissVisits</f>
        <v>24.939999999999998</v>
      </c>
      <c r="F851" s="463">
        <f>calcLOB1Clinician8GrossProd-calcLOB1Clinician8MissVisits</f>
        <v>24.939999999999998</v>
      </c>
      <c r="G851" s="463">
        <f>calcLOB1Clinician8GrossProd-calcLOB1Clinician8MissVisits</f>
        <v>24.939999999999998</v>
      </c>
      <c r="H851" s="131" t="s">
        <v>3949</v>
      </c>
      <c r="J851" s="8" t="s">
        <v>602</v>
      </c>
      <c r="K851" s="463">
        <f>calcR2LOB1Clinician8GrossProd-calcR2LOB1Clinician8MissVisits</f>
        <v>24.939999999999998</v>
      </c>
      <c r="L851" s="463">
        <f>calcR2LOB1Clinician8GrossProd-calcR2LOB1Clinician8MissVisits</f>
        <v>24.939999999999998</v>
      </c>
      <c r="M851" s="463">
        <f>calcR2LOB1Clinician8GrossProd-calcR2LOB1Clinician8MissVisits</f>
        <v>24.939999999999998</v>
      </c>
      <c r="N851" s="131" t="s">
        <v>6578</v>
      </c>
    </row>
    <row r="852" spans="1:14" ht="12.75" customHeight="1">
      <c r="A852" s="461"/>
      <c r="D852" s="8" t="s">
        <v>603</v>
      </c>
      <c r="E852" s="463">
        <f>calcLOB1Clinician9GrossProd-calcLOB1Clinician9MissVisits</f>
        <v>15.3</v>
      </c>
      <c r="F852" s="463">
        <f>calcLOB1Clinician9GrossProd-calcLOB1Clinician9MissVisits</f>
        <v>15.3</v>
      </c>
      <c r="G852" s="463">
        <f>calcLOB1Clinician9GrossProd-calcLOB1Clinician9MissVisits</f>
        <v>15.3</v>
      </c>
      <c r="H852" s="131" t="s">
        <v>3950</v>
      </c>
      <c r="J852" s="8" t="s">
        <v>603</v>
      </c>
      <c r="K852" s="463">
        <f>calcR2LOB1Clinician9GrossProd-calcR2LOB1Clinician9MissVisits</f>
        <v>15.3</v>
      </c>
      <c r="L852" s="463">
        <f>calcR2LOB1Clinician9GrossProd-calcR2LOB1Clinician9MissVisits</f>
        <v>15.3</v>
      </c>
      <c r="M852" s="463">
        <f>calcR2LOB1Clinician9GrossProd-calcR2LOB1Clinician9MissVisits</f>
        <v>15.3</v>
      </c>
      <c r="N852" s="131" t="s">
        <v>6579</v>
      </c>
    </row>
    <row r="853" spans="1:14" ht="12.75" customHeight="1">
      <c r="A853" s="461"/>
      <c r="D853" s="8" t="s">
        <v>604</v>
      </c>
      <c r="E853" s="463">
        <f>calcLOB1Clinician10GrossProd-calcLOB1Clinician10MissVisits</f>
        <v>23.8</v>
      </c>
      <c r="F853" s="463">
        <f>calcLOB1Clinician10GrossProd-calcLOB1Clinician10MissVisits</f>
        <v>23.8</v>
      </c>
      <c r="G853" s="463">
        <f>calcLOB1Clinician10GrossProd-calcLOB1Clinician10MissVisits</f>
        <v>23.8</v>
      </c>
      <c r="H853" s="131" t="s">
        <v>3951</v>
      </c>
      <c r="J853" s="8" t="s">
        <v>604</v>
      </c>
      <c r="K853" s="463">
        <f>calcR2LOB1Clinician10GrossProd-calcR2LOB1Clinician10MissVisits</f>
        <v>23.8</v>
      </c>
      <c r="L853" s="463">
        <f>calcR2LOB1Clinician10GrossProd-calcR2LOB1Clinician10MissVisits</f>
        <v>23.8</v>
      </c>
      <c r="M853" s="463">
        <f>calcR2LOB1Clinician10GrossProd-calcR2LOB1Clinician10MissVisits</f>
        <v>23.8</v>
      </c>
      <c r="N853" s="131" t="s">
        <v>6580</v>
      </c>
    </row>
    <row r="854" spans="1:14" ht="12.75" customHeight="1">
      <c r="A854" s="461"/>
      <c r="D854" s="8" t="s">
        <v>1497</v>
      </c>
      <c r="E854" s="463">
        <f>calcLOB1Clinician11GrossProd-calcLOB1Clinician11MissVisits</f>
        <v>0</v>
      </c>
      <c r="F854" s="463">
        <f>calcLOB1Clinician11GrossProd-calcLOB1Clinician11MissVisits</f>
        <v>0</v>
      </c>
      <c r="G854" s="463">
        <f>calcLOB1Clinician11GrossProd-calcLOB1Clinician11MissVisits</f>
        <v>0</v>
      </c>
      <c r="H854" s="131" t="s">
        <v>3952</v>
      </c>
      <c r="J854" s="8" t="s">
        <v>1497</v>
      </c>
      <c r="K854" s="463">
        <f>calcR2LOB1Clinician11GrossProd-calcR2LOB1Clinician11MissVisits</f>
        <v>0</v>
      </c>
      <c r="L854" s="463">
        <f>calcR2LOB1Clinician11GrossProd-calcR2LOB1Clinician11MissVisits</f>
        <v>0</v>
      </c>
      <c r="M854" s="463">
        <f>calcR2LOB1Clinician11GrossProd-calcR2LOB1Clinician11MissVisits</f>
        <v>0</v>
      </c>
      <c r="N854" s="131" t="s">
        <v>6581</v>
      </c>
    </row>
    <row r="855" spans="1:14" ht="12.75" customHeight="1">
      <c r="A855" s="461"/>
      <c r="D855" s="8" t="s">
        <v>1498</v>
      </c>
      <c r="E855" s="463">
        <f>calcLOB1Clinician12GrossProd-calcLOB1Clinician12MissVisits</f>
        <v>0</v>
      </c>
      <c r="F855" s="463">
        <f>calcLOB1Clinician12GrossProd-calcLOB1Clinician12MissVisits</f>
        <v>0</v>
      </c>
      <c r="G855" s="463">
        <f>calcLOB1Clinician12GrossProd-calcLOB1Clinician12MissVisits</f>
        <v>0</v>
      </c>
      <c r="H855" s="131" t="s">
        <v>3953</v>
      </c>
      <c r="J855" s="8" t="s">
        <v>1498</v>
      </c>
      <c r="K855" s="463">
        <f>calcR2LOB1Clinician12GrossProd-calcR2LOB1Clinician12MissVisits</f>
        <v>0</v>
      </c>
      <c r="L855" s="463">
        <f>calcR2LOB1Clinician12GrossProd-calcR2LOB1Clinician12MissVisits</f>
        <v>0</v>
      </c>
      <c r="M855" s="463">
        <f>calcR2LOB1Clinician12GrossProd-calcR2LOB1Clinician12MissVisits</f>
        <v>0</v>
      </c>
      <c r="N855" s="131" t="s">
        <v>6582</v>
      </c>
    </row>
    <row r="856" spans="1:14" ht="1.5" customHeight="1">
      <c r="A856" s="461"/>
      <c r="D856" s="449"/>
      <c r="E856" s="450"/>
      <c r="F856" s="450"/>
      <c r="G856" s="450"/>
      <c r="H856" s="131"/>
      <c r="J856" s="449"/>
      <c r="K856" s="450"/>
      <c r="L856" s="450"/>
      <c r="M856" s="450"/>
      <c r="N856" s="131"/>
    </row>
    <row r="857" spans="1:14" ht="12.75" customHeight="1">
      <c r="A857" s="461"/>
      <c r="D857" s="131" t="s">
        <v>3356</v>
      </c>
      <c r="E857" s="448">
        <f>SUM(E844:E856)</f>
        <v>222.58</v>
      </c>
      <c r="F857" s="448">
        <f t="shared" ref="F857:G857" si="95">SUM(F844:F856)</f>
        <v>222.58</v>
      </c>
      <c r="G857" s="448">
        <f t="shared" si="95"/>
        <v>222.58</v>
      </c>
      <c r="H857" s="131" t="s">
        <v>3954</v>
      </c>
      <c r="J857" s="131" t="s">
        <v>3356</v>
      </c>
      <c r="K857" s="448">
        <f>SUM(K844:K856)</f>
        <v>222.58</v>
      </c>
      <c r="L857" s="448">
        <f t="shared" ref="L857:M857" si="96">SUM(L844:L856)</f>
        <v>222.58</v>
      </c>
      <c r="M857" s="448">
        <f t="shared" si="96"/>
        <v>222.58</v>
      </c>
      <c r="N857" s="131" t="s">
        <v>6583</v>
      </c>
    </row>
    <row r="858" spans="1:14" ht="12.75" customHeight="1">
      <c r="A858" s="461"/>
    </row>
    <row r="859" spans="1:14" ht="12.75" customHeight="1">
      <c r="A859" s="461"/>
      <c r="C859" s="131" t="s">
        <v>1952</v>
      </c>
    </row>
    <row r="860" spans="1:14" ht="12.75" customHeight="1">
      <c r="A860" s="461"/>
      <c r="D860" s="8" t="s">
        <v>595</v>
      </c>
      <c r="E860" s="463">
        <f>calcLOB1Clinician1Disc1Emp1OverTIme+calcLOB1Clinician1Disc2Emp1OverTIme+calcLOB1Clinician1Emp2OverTIme+calcLOB1Clinician1Emp3OverTIme</f>
        <v>0</v>
      </c>
      <c r="F860" s="463">
        <f>calcLOB1Clinician1Disc1Emp1OverTIme+calcLOB1Clinician1Disc2Emp1OverTIme+calcLOB1Clinician1Emp2OverTIme+calcLOB1Clinician1Emp3OverTIme</f>
        <v>0</v>
      </c>
      <c r="G860" s="463">
        <f>calcLOB1Clinician1Disc1Emp1OverTIme+calcLOB1Clinician1Disc2Emp1OverTIme+calcLOB1Clinician1Emp2OverTIme+calcLOB1Clinician1Emp3OverTIme</f>
        <v>0</v>
      </c>
      <c r="H860" s="131" t="s">
        <v>1953</v>
      </c>
      <c r="J860" s="8" t="s">
        <v>595</v>
      </c>
      <c r="K860" s="463">
        <f>calcR2LOB1Clinician1Disc1Emp1OverTIme+calcR2LOB1Clinician1Disc2Emp1OverTIme+calcR2LOB1Clinician1Emp2OverTIme+calcR2LOB1Clinician1Emp3OverTIme</f>
        <v>0</v>
      </c>
      <c r="L860" s="463">
        <f>calcR2LOB1Clinician1Disc1Emp1OverTIme+calcR2LOB1Clinician1Disc2Emp1OverTIme+calcR2LOB1Clinician1Emp2OverTIme+calcR2LOB1Clinician1Emp3OverTIme</f>
        <v>0</v>
      </c>
      <c r="M860" s="463">
        <f>calcR2LOB1Clinician1Disc1Emp1OverTIme+calcR2LOB1Clinician1Disc2Emp1OverTIme+calcR2LOB1Clinician1Emp2OverTIme+calcR2LOB1Clinician1Emp3OverTIme</f>
        <v>0</v>
      </c>
      <c r="N860" s="131" t="s">
        <v>6584</v>
      </c>
    </row>
    <row r="861" spans="1:14" ht="12.75" customHeight="1">
      <c r="A861" s="461"/>
      <c r="D861" s="8" t="s">
        <v>596</v>
      </c>
      <c r="E861" s="463">
        <f>calcLOB1Clinician2Disc1Emp1OverTIme+calcLOB1Clinician2Disc2Emp1OverTIme+calcLOB1Clinician2Emp2OverTIme+calcLOB1Clinician2Emp3OverTIme</f>
        <v>0</v>
      </c>
      <c r="F861" s="463">
        <f>calcLOB1Clinician2Disc1Emp1OverTIme+calcLOB1Clinician2Disc2Emp1OverTIme+calcLOB1Clinician2Emp2OverTIme+calcLOB1Clinician2Emp3OverTIme</f>
        <v>0</v>
      </c>
      <c r="G861" s="463">
        <f>calcLOB1Clinician2Disc1Emp1OverTIme+calcLOB1Clinician2Disc2Emp1OverTIme+calcLOB1Clinician2Emp2OverTIme+calcLOB1Clinician2Emp3OverTIme</f>
        <v>0</v>
      </c>
      <c r="H861" s="131" t="s">
        <v>1954</v>
      </c>
      <c r="J861" s="8" t="s">
        <v>596</v>
      </c>
      <c r="K861" s="463">
        <f>calcR2LOB1Clinician2Disc1Emp1OverTIme+calcR2LOB1Clinician2Disc2Emp1OverTIme+calcR2LOB1Clinician2Emp2OverTIme+calcR2LOB1Clinician2Emp3OverTIme</f>
        <v>0</v>
      </c>
      <c r="L861" s="463">
        <f>calcR2LOB1Clinician2Disc1Emp1OverTIme+calcR2LOB1Clinician2Disc2Emp1OverTIme+calcR2LOB1Clinician2Emp2OverTIme+calcR2LOB1Clinician2Emp3OverTIme</f>
        <v>0</v>
      </c>
      <c r="M861" s="463">
        <f>calcR2LOB1Clinician2Disc1Emp1OverTIme+calcR2LOB1Clinician2Disc2Emp1OverTIme+calcR2LOB1Clinician2Emp2OverTIme+calcR2LOB1Clinician2Emp3OverTIme</f>
        <v>0</v>
      </c>
      <c r="N861" s="131" t="s">
        <v>6585</v>
      </c>
    </row>
    <row r="862" spans="1:14" ht="12.75" customHeight="1">
      <c r="A862" s="461"/>
      <c r="D862" s="8" t="s">
        <v>597</v>
      </c>
      <c r="E862" s="463">
        <f>calcLOB1Clinician3Disc1Emp1OverTIme+calcLOB1Clinician3Disc2Emp1OverTIme+calcLOB1Clinician3Emp2OverTIme+calcLOB1Clinician3Emp3OverTIme</f>
        <v>0</v>
      </c>
      <c r="F862" s="463">
        <f>calcLOB1Clinician3Disc1Emp1OverTIme+calcLOB1Clinician3Disc2Emp1OverTIme+calcLOB1Clinician3Emp2OverTIme+calcLOB1Clinician3Emp3OverTIme</f>
        <v>0</v>
      </c>
      <c r="G862" s="463">
        <f>calcLOB1Clinician3Disc1Emp1OverTIme+calcLOB1Clinician3Disc2Emp1OverTIme+calcLOB1Clinician3Emp2OverTIme+calcLOB1Clinician3Emp3OverTIme</f>
        <v>0</v>
      </c>
      <c r="H862" s="131" t="s">
        <v>1955</v>
      </c>
      <c r="J862" s="8" t="s">
        <v>597</v>
      </c>
      <c r="K862" s="463">
        <f>calcR2LOB1Clinician3Disc1Emp1OverTIme+calcR2LOB1Clinician3Disc2Emp1OverTIme+calcR2LOB1Clinician3Emp2OverTIme+calcR2LOB1Clinician3Emp3OverTIme</f>
        <v>0</v>
      </c>
      <c r="L862" s="463">
        <f>calcR2LOB1Clinician3Disc1Emp1OverTIme+calcR2LOB1Clinician3Disc2Emp1OverTIme+calcR2LOB1Clinician3Emp2OverTIme+calcR2LOB1Clinician3Emp3OverTIme</f>
        <v>0</v>
      </c>
      <c r="M862" s="463">
        <f>calcR2LOB1Clinician3Disc1Emp1OverTIme+calcR2LOB1Clinician3Disc2Emp1OverTIme+calcR2LOB1Clinician3Emp2OverTIme+calcR2LOB1Clinician3Emp3OverTIme</f>
        <v>0</v>
      </c>
      <c r="N862" s="131" t="s">
        <v>6586</v>
      </c>
    </row>
    <row r="863" spans="1:14" ht="12.75" customHeight="1">
      <c r="A863" s="461"/>
      <c r="D863" s="8" t="s">
        <v>598</v>
      </c>
      <c r="E863" s="463">
        <f>calcLOB1Clinician4Disc1Emp1OverTIme+calcLOB1Clinician4Disc2Emp1OverTIme+calcLOB1Clinician4Emp2OverTIme+calcLOB1Clinician4Emp3OverTIme</f>
        <v>0</v>
      </c>
      <c r="F863" s="463">
        <f>calcLOB1Clinician4Disc1Emp1OverTIme+calcLOB1Clinician4Disc2Emp1OverTIme+calcLOB1Clinician4Emp2OverTIme+calcLOB1Clinician4Emp3OverTIme</f>
        <v>0</v>
      </c>
      <c r="G863" s="463">
        <f>calcLOB1Clinician4Disc1Emp1OverTIme+calcLOB1Clinician4Disc2Emp1OverTIme+calcLOB1Clinician4Emp2OverTIme+calcLOB1Clinician4Emp3OverTIme</f>
        <v>0</v>
      </c>
      <c r="H863" s="131" t="s">
        <v>1956</v>
      </c>
      <c r="J863" s="8" t="s">
        <v>598</v>
      </c>
      <c r="K863" s="463">
        <f>calcR2LOB1Clinician4Disc1Emp1OverTIme+calcR2LOB1Clinician4Disc2Emp1OverTIme+calcR2LOB1Clinician4Emp2OverTIme+calcR2LOB1Clinician4Emp3OverTIme</f>
        <v>0</v>
      </c>
      <c r="L863" s="463">
        <f>calcR2LOB1Clinician4Disc1Emp1OverTIme+calcR2LOB1Clinician4Disc2Emp1OverTIme+calcR2LOB1Clinician4Emp2OverTIme+calcR2LOB1Clinician4Emp3OverTIme</f>
        <v>0</v>
      </c>
      <c r="M863" s="463">
        <f>calcR2LOB1Clinician4Disc1Emp1OverTIme+calcR2LOB1Clinician4Disc2Emp1OverTIme+calcR2LOB1Clinician4Emp2OverTIme+calcR2LOB1Clinician4Emp3OverTIme</f>
        <v>0</v>
      </c>
      <c r="N863" s="131" t="s">
        <v>6587</v>
      </c>
    </row>
    <row r="864" spans="1:14" ht="12.75" customHeight="1">
      <c r="A864" s="461"/>
      <c r="D864" s="8" t="s">
        <v>599</v>
      </c>
      <c r="E864" s="463">
        <f>calcLOB1Clinician5Disc1Emp1OverTIme+calcLOB1Clinician5Disc2Emp1OverTIme+calcLOB1Clinician5Emp2OverTIme+calcLOB1Clinician5Emp3OverTIme</f>
        <v>0</v>
      </c>
      <c r="F864" s="463">
        <f>calcLOB1Clinician5Disc1Emp1OverTIme+calcLOB1Clinician5Disc2Emp1OverTIme+calcLOB1Clinician5Emp2OverTIme+calcLOB1Clinician5Emp3OverTIme</f>
        <v>0</v>
      </c>
      <c r="G864" s="463">
        <f>calcLOB1Clinician5Disc1Emp1OverTIme+calcLOB1Clinician5Disc2Emp1OverTIme+calcLOB1Clinician5Emp2OverTIme+calcLOB1Clinician5Emp3OverTIme</f>
        <v>0</v>
      </c>
      <c r="H864" s="131" t="s">
        <v>1957</v>
      </c>
      <c r="J864" s="8" t="s">
        <v>599</v>
      </c>
      <c r="K864" s="463">
        <f>calcR2LOB1Clinician5Disc1Emp1OverTIme+calcR2LOB1Clinician5Disc2Emp1OverTIme+calcR2LOB1Clinician5Emp2OverTIme+calcR2LOB1Clinician5Emp3OverTIme</f>
        <v>0</v>
      </c>
      <c r="L864" s="463">
        <f>calcR2LOB1Clinician5Disc1Emp1OverTIme+calcR2LOB1Clinician5Disc2Emp1OverTIme+calcR2LOB1Clinician5Emp2OverTIme+calcR2LOB1Clinician5Emp3OverTIme</f>
        <v>0</v>
      </c>
      <c r="M864" s="463">
        <f>calcR2LOB1Clinician5Disc1Emp1OverTIme+calcR2LOB1Clinician5Disc2Emp1OverTIme+calcR2LOB1Clinician5Emp2OverTIme+calcR2LOB1Clinician5Emp3OverTIme</f>
        <v>0</v>
      </c>
      <c r="N864" s="131" t="s">
        <v>6588</v>
      </c>
    </row>
    <row r="865" spans="1:14" ht="12.75" customHeight="1">
      <c r="A865" s="461"/>
      <c r="D865" s="8" t="s">
        <v>600</v>
      </c>
      <c r="E865" s="463">
        <f>calcLOB1Clinician6Disc1Emp1OverTIme+calcLOB1Clinician6Disc2Emp1OverTIme+calcLOB1Clinician6Emp2OverTIme+calcLOB1Clinician6Emp3OverTIme</f>
        <v>0</v>
      </c>
      <c r="F865" s="463">
        <f>calcLOB1Clinician6Disc1Emp1OverTIme+calcLOB1Clinician6Disc2Emp1OverTIme+calcLOB1Clinician6Emp2OverTIme+calcLOB1Clinician6Emp3OverTIme</f>
        <v>0</v>
      </c>
      <c r="G865" s="463">
        <f>calcLOB1Clinician6Disc1Emp1OverTIme+calcLOB1Clinician6Disc2Emp1OverTIme+calcLOB1Clinician6Emp2OverTIme+calcLOB1Clinician6Emp3OverTIme</f>
        <v>0</v>
      </c>
      <c r="H865" s="131" t="s">
        <v>1958</v>
      </c>
      <c r="J865" s="8" t="s">
        <v>600</v>
      </c>
      <c r="K865" s="463">
        <f>calcR2LOB1Clinician6Disc1Emp1OverTIme+calcR2LOB1Clinician6Disc2Emp1OverTIme+calcR2LOB1Clinician6Emp2OverTIme+calcR2LOB1Clinician6Emp3OverTIme</f>
        <v>0</v>
      </c>
      <c r="L865" s="463">
        <f>calcR2LOB1Clinician6Disc1Emp1OverTIme+calcR2LOB1Clinician6Disc2Emp1OverTIme+calcR2LOB1Clinician6Emp2OverTIme+calcR2LOB1Clinician6Emp3OverTIme</f>
        <v>0</v>
      </c>
      <c r="M865" s="463">
        <f>calcR2LOB1Clinician6Disc1Emp1OverTIme+calcR2LOB1Clinician6Disc2Emp1OverTIme+calcR2LOB1Clinician6Emp2OverTIme+calcR2LOB1Clinician6Emp3OverTIme</f>
        <v>0</v>
      </c>
      <c r="N865" s="131" t="s">
        <v>6589</v>
      </c>
    </row>
    <row r="866" spans="1:14" ht="12.75" customHeight="1">
      <c r="A866" s="461"/>
      <c r="D866" s="8" t="s">
        <v>601</v>
      </c>
      <c r="E866" s="463">
        <f>calcLOB1Clinician7Disc1Emp1OverTIme+calcLOB1Clinician7Disc2Emp1OverTIme+calcLOB1Clinician7Emp2OverTIme+calcLOB1Clinician7Emp3OverTIme</f>
        <v>0</v>
      </c>
      <c r="F866" s="463">
        <f>calcLOB1Clinician7Disc1Emp1OverTIme+calcLOB1Clinician7Disc2Emp1OverTIme+calcLOB1Clinician7Emp2OverTIme+calcLOB1Clinician7Emp3OverTIme</f>
        <v>0</v>
      </c>
      <c r="G866" s="463">
        <f>calcLOB1Clinician7Disc1Emp1OverTIme+calcLOB1Clinician7Disc2Emp1OverTIme+calcLOB1Clinician7Emp2OverTIme+calcLOB1Clinician7Emp3OverTIme</f>
        <v>0</v>
      </c>
      <c r="H866" s="131" t="s">
        <v>1959</v>
      </c>
      <c r="J866" s="8" t="s">
        <v>601</v>
      </c>
      <c r="K866" s="463">
        <f>calcR2LOB1Clinician7Disc1Emp1OverTIme+calcR2LOB1Clinician7Disc2Emp1OverTIme+calcR2LOB1Clinician7Emp2OverTIme+calcR2LOB1Clinician7Emp3OverTIme</f>
        <v>0</v>
      </c>
      <c r="L866" s="463">
        <f>calcR2LOB1Clinician7Disc1Emp1OverTIme+calcR2LOB1Clinician7Disc2Emp1OverTIme+calcR2LOB1Clinician7Emp2OverTIme+calcR2LOB1Clinician7Emp3OverTIme</f>
        <v>0</v>
      </c>
      <c r="M866" s="463">
        <f>calcR2LOB1Clinician7Disc1Emp1OverTIme+calcR2LOB1Clinician7Disc2Emp1OverTIme+calcR2LOB1Clinician7Emp2OverTIme+calcR2LOB1Clinician7Emp3OverTIme</f>
        <v>0</v>
      </c>
      <c r="N866" s="131" t="s">
        <v>6590</v>
      </c>
    </row>
    <row r="867" spans="1:14" ht="12.75" customHeight="1">
      <c r="A867" s="461"/>
      <c r="D867" s="8" t="s">
        <v>602</v>
      </c>
      <c r="E867" s="463">
        <f>calcLOB1Clinician8Disc1Emp1OverTIme+calcLOB1Clinician8Disc2Emp1OverTIme+calcLOB1Clinician8Emp2OverTIme+calcLOB1Clinician8Emp3OverTIme</f>
        <v>0</v>
      </c>
      <c r="F867" s="463">
        <f>calcLOB1Clinician8Disc1Emp1OverTIme+calcLOB1Clinician8Disc2Emp1OverTIme+calcLOB1Clinician8Emp2OverTIme+calcLOB1Clinician8Emp3OverTIme</f>
        <v>0</v>
      </c>
      <c r="G867" s="463">
        <f>calcLOB1Clinician8Disc1Emp1OverTIme+calcLOB1Clinician8Disc2Emp1OverTIme+calcLOB1Clinician8Emp2OverTIme+calcLOB1Clinician8Emp3OverTIme</f>
        <v>0</v>
      </c>
      <c r="H867" s="131" t="s">
        <v>1960</v>
      </c>
      <c r="J867" s="8" t="s">
        <v>602</v>
      </c>
      <c r="K867" s="463">
        <f>calcR2LOB1Clinician8Disc1Emp1OverTIme+calcR2LOB1Clinician8Disc2Emp1OverTIme+calcR2LOB1Clinician8Emp2OverTIme+calcR2LOB1Clinician8Emp3OverTIme</f>
        <v>0</v>
      </c>
      <c r="L867" s="463">
        <f>calcR2LOB1Clinician8Disc1Emp1OverTIme+calcR2LOB1Clinician8Disc2Emp1OverTIme+calcR2LOB1Clinician8Emp2OverTIme+calcR2LOB1Clinician8Emp3OverTIme</f>
        <v>0</v>
      </c>
      <c r="M867" s="463">
        <f>calcR2LOB1Clinician8Disc1Emp1OverTIme+calcR2LOB1Clinician8Disc2Emp1OverTIme+calcR2LOB1Clinician8Emp2OverTIme+calcR2LOB1Clinician8Emp3OverTIme</f>
        <v>0</v>
      </c>
      <c r="N867" s="131" t="s">
        <v>6591</v>
      </c>
    </row>
    <row r="868" spans="1:14" ht="12.75" customHeight="1">
      <c r="A868" s="461"/>
      <c r="D868" s="8" t="s">
        <v>603</v>
      </c>
      <c r="E868" s="463">
        <f>calcLOB1Clinician9Disc1Emp1OverTIme+calcLOB1Clinician9Disc2Emp1OverTIme+calcLOB1Clinician9Emp2OverTIme+calcLOB1Clinician9Emp3OverTIme</f>
        <v>0</v>
      </c>
      <c r="F868" s="463">
        <f>calcLOB1Clinician9Disc1Emp1OverTIme+calcLOB1Clinician9Disc2Emp1OverTIme+calcLOB1Clinician9Emp2OverTIme+calcLOB1Clinician9Emp3OverTIme</f>
        <v>0</v>
      </c>
      <c r="G868" s="463">
        <f>calcLOB1Clinician9Disc1Emp1OverTIme+calcLOB1Clinician9Disc2Emp1OverTIme+calcLOB1Clinician9Emp2OverTIme+calcLOB1Clinician9Emp3OverTIme</f>
        <v>0</v>
      </c>
      <c r="H868" s="131" t="s">
        <v>1961</v>
      </c>
      <c r="J868" s="8" t="s">
        <v>603</v>
      </c>
      <c r="K868" s="463">
        <f>calcR2LOB1Clinician9Disc1Emp1OverTIme+calcR2LOB1Clinician9Disc2Emp1OverTIme+calcR2LOB1Clinician9Emp2OverTIme+calcR2LOB1Clinician9Emp3OverTIme</f>
        <v>0</v>
      </c>
      <c r="L868" s="463">
        <f>calcR2LOB1Clinician9Disc1Emp1OverTIme+calcR2LOB1Clinician9Disc2Emp1OverTIme+calcR2LOB1Clinician9Emp2OverTIme+calcR2LOB1Clinician9Emp3OverTIme</f>
        <v>0</v>
      </c>
      <c r="M868" s="463">
        <f>calcR2LOB1Clinician9Disc1Emp1OverTIme+calcR2LOB1Clinician9Disc2Emp1OverTIme+calcR2LOB1Clinician9Emp2OverTIme+calcR2LOB1Clinician9Emp3OverTIme</f>
        <v>0</v>
      </c>
      <c r="N868" s="131" t="s">
        <v>6592</v>
      </c>
    </row>
    <row r="869" spans="1:14" ht="12.75" customHeight="1">
      <c r="A869" s="461"/>
      <c r="D869" s="8" t="s">
        <v>604</v>
      </c>
      <c r="E869" s="463">
        <f>calcLOB1Clinician10Disc1Emp1OverTIme+calcLOB1Clinician10Disc2Emp1OverTIme+calcLOB1Clinician10Emp2OverTIme+calcLOB1Clinician10Emp3OverTIme</f>
        <v>0</v>
      </c>
      <c r="F869" s="463">
        <f>calcLOB1Clinician10Disc1Emp1OverTIme+calcLOB1Clinician10Disc2Emp1OverTIme+calcLOB1Clinician10Emp2OverTIme+calcLOB1Clinician10Emp3OverTIme</f>
        <v>0</v>
      </c>
      <c r="G869" s="463">
        <f>calcLOB1Clinician10Disc1Emp1OverTIme+calcLOB1Clinician10Disc2Emp1OverTIme+calcLOB1Clinician10Emp2OverTIme+calcLOB1Clinician10Emp3OverTIme</f>
        <v>0</v>
      </c>
      <c r="H869" s="131" t="s">
        <v>1962</v>
      </c>
      <c r="J869" s="8" t="s">
        <v>604</v>
      </c>
      <c r="K869" s="463">
        <f>calcR2LOB1Clinician10Disc1Emp1OverTIme+calcR2LOB1Clinician10Disc2Emp1OverTIme+calcR2LOB1Clinician10Emp2OverTIme+calcR2LOB1Clinician10Emp3OverTIme</f>
        <v>0</v>
      </c>
      <c r="L869" s="463">
        <f>calcR2LOB1Clinician10Disc1Emp1OverTIme+calcR2LOB1Clinician10Disc2Emp1OverTIme+calcR2LOB1Clinician10Emp2OverTIme+calcR2LOB1Clinician10Emp3OverTIme</f>
        <v>0</v>
      </c>
      <c r="M869" s="463">
        <f>calcR2LOB1Clinician10Disc1Emp1OverTIme+calcR2LOB1Clinician10Disc2Emp1OverTIme+calcR2LOB1Clinician10Emp2OverTIme+calcR2LOB1Clinician10Emp3OverTIme</f>
        <v>0</v>
      </c>
      <c r="N869" s="131" t="s">
        <v>6593</v>
      </c>
    </row>
    <row r="870" spans="1:14" ht="12.75" customHeight="1">
      <c r="A870" s="461"/>
      <c r="D870" s="8" t="s">
        <v>1497</v>
      </c>
      <c r="E870" s="463">
        <f>calcLOB1Clinician11Disc1Emp1OverTIme+calcLOB1Clinician11Disc2Emp1OverTIme+calcLOB1Clinician11Emp2OverTIme+calcLOB1Clinician11Emp3OverTIme</f>
        <v>0</v>
      </c>
      <c r="F870" s="463">
        <f>calcLOB1Clinician11Disc1Emp1OverTIme+calcLOB1Clinician11Disc2Emp1OverTIme+calcLOB1Clinician11Emp2OverTIme+calcLOB1Clinician11Emp3OverTIme</f>
        <v>0</v>
      </c>
      <c r="G870" s="463">
        <f>calcLOB1Clinician11Disc1Emp1OverTIme+calcLOB1Clinician11Disc2Emp1OverTIme+calcLOB1Clinician11Emp2OverTIme+calcLOB1Clinician11Emp3OverTIme</f>
        <v>0</v>
      </c>
      <c r="H870" s="131" t="s">
        <v>1963</v>
      </c>
      <c r="J870" s="8" t="s">
        <v>1497</v>
      </c>
      <c r="K870" s="463">
        <f>calcR2LOB1Clinician11Disc1Emp1OverTIme+calcR2LOB1Clinician11Disc2Emp1OverTIme+calcR2LOB1Clinician11Emp2OverTIme+calcR2LOB1Clinician11Emp3OverTIme</f>
        <v>0</v>
      </c>
      <c r="L870" s="463">
        <f>calcR2LOB1Clinician11Disc1Emp1OverTIme+calcR2LOB1Clinician11Disc2Emp1OverTIme+calcR2LOB1Clinician11Emp2OverTIme+calcR2LOB1Clinician11Emp3OverTIme</f>
        <v>0</v>
      </c>
      <c r="M870" s="463">
        <f>calcR2LOB1Clinician11Disc1Emp1OverTIme+calcR2LOB1Clinician11Disc2Emp1OverTIme+calcR2LOB1Clinician11Emp2OverTIme+calcR2LOB1Clinician11Emp3OverTIme</f>
        <v>0</v>
      </c>
      <c r="N870" s="131" t="s">
        <v>6594</v>
      </c>
    </row>
    <row r="871" spans="1:14" ht="12.75" customHeight="1">
      <c r="A871" s="461"/>
      <c r="D871" s="8" t="s">
        <v>1498</v>
      </c>
      <c r="E871" s="463">
        <f>calcLOB1Clinician12Disc1Emp1OverTIme+calcLOB1Clinician12Disc2Emp1OverTIme+calcLOB1Clinician12Emp2OverTIme+calcLOB1Clinician12Emp3OverTIme</f>
        <v>0</v>
      </c>
      <c r="F871" s="463">
        <f>calcLOB1Clinician12Disc1Emp1OverTIme+calcLOB1Clinician12Disc2Emp1OverTIme+calcLOB1Clinician12Emp2OverTIme+calcLOB1Clinician12Emp3OverTIme</f>
        <v>0</v>
      </c>
      <c r="G871" s="463">
        <f>calcLOB1Clinician12Disc1Emp1OverTIme+calcLOB1Clinician12Disc2Emp1OverTIme+calcLOB1Clinician12Emp2OverTIme+calcLOB1Clinician12Emp3OverTIme</f>
        <v>0</v>
      </c>
      <c r="H871" s="131" t="s">
        <v>1964</v>
      </c>
      <c r="J871" s="8" t="s">
        <v>1498</v>
      </c>
      <c r="K871" s="463">
        <f>calcR2LOB1Clinician12Disc1Emp1OverTIme+calcR2LOB1Clinician12Disc2Emp1OverTIme+calcR2LOB1Clinician12Emp2OverTIme+calcR2LOB1Clinician12Emp3OverTIme</f>
        <v>0</v>
      </c>
      <c r="L871" s="463">
        <f>calcR2LOB1Clinician12Disc1Emp1OverTIme+calcR2LOB1Clinician12Disc2Emp1OverTIme+calcR2LOB1Clinician12Emp2OverTIme+calcR2LOB1Clinician12Emp3OverTIme</f>
        <v>0</v>
      </c>
      <c r="M871" s="463">
        <f>calcR2LOB1Clinician12Disc1Emp1OverTIme+calcR2LOB1Clinician12Disc2Emp1OverTIme+calcR2LOB1Clinician12Emp2OverTIme+calcR2LOB1Clinician12Emp3OverTIme</f>
        <v>0</v>
      </c>
      <c r="N871" s="131" t="s">
        <v>6595</v>
      </c>
    </row>
    <row r="872" spans="1:14" ht="1.5" customHeight="1">
      <c r="A872" s="461"/>
      <c r="D872" s="449"/>
      <c r="E872" s="450"/>
      <c r="F872" s="450"/>
      <c r="G872" s="450"/>
      <c r="H872" s="131"/>
      <c r="J872" s="449"/>
      <c r="K872" s="450"/>
      <c r="L872" s="450"/>
      <c r="M872" s="450"/>
      <c r="N872" s="131"/>
    </row>
    <row r="873" spans="1:14" ht="12.75" customHeight="1">
      <c r="A873" s="461"/>
      <c r="D873" s="131" t="s">
        <v>3355</v>
      </c>
      <c r="E873" s="448">
        <f>SUM(E860:E872)</f>
        <v>0</v>
      </c>
      <c r="F873" s="448">
        <f t="shared" ref="F873:G873" si="97">SUM(F860:F872)</f>
        <v>0</v>
      </c>
      <c r="G873" s="448">
        <f t="shared" si="97"/>
        <v>0</v>
      </c>
      <c r="H873" s="131" t="s">
        <v>3352</v>
      </c>
      <c r="J873" s="131" t="s">
        <v>3355</v>
      </c>
      <c r="K873" s="448">
        <f>SUM(K860:K872)</f>
        <v>0</v>
      </c>
      <c r="L873" s="448">
        <f t="shared" ref="L873:M873" si="98">SUM(L860:L872)</f>
        <v>0</v>
      </c>
      <c r="M873" s="448">
        <f t="shared" si="98"/>
        <v>0</v>
      </c>
      <c r="N873" s="131" t="s">
        <v>6596</v>
      </c>
    </row>
    <row r="874" spans="1:14" ht="12.75" customHeight="1">
      <c r="A874" s="461"/>
      <c r="D874" s="131" t="s">
        <v>3358</v>
      </c>
      <c r="E874" s="451">
        <f>calcLOB1ClinicianOverTime/calcLOB1ClinicianGrossProd</f>
        <v>0</v>
      </c>
      <c r="F874" s="451">
        <f>calcLOB1ClinicianOverTime/calcLOB1ClinicianGrossProd</f>
        <v>0</v>
      </c>
      <c r="G874" s="451">
        <f>calcLOB1ClinicianOverTime/calcLOB1ClinicianGrossProd</f>
        <v>0</v>
      </c>
      <c r="H874" s="131" t="s">
        <v>3359</v>
      </c>
      <c r="J874" s="131" t="s">
        <v>3358</v>
      </c>
      <c r="K874" s="451">
        <f>calcR2LOB1ClinicianOverTime/calcR2LOB1ClinicianGrossProd</f>
        <v>0</v>
      </c>
      <c r="L874" s="451">
        <f>calcR2LOB1ClinicianOverTime/calcR2LOB1ClinicianGrossProd</f>
        <v>0</v>
      </c>
      <c r="M874" s="451">
        <f>calcR2LOB1ClinicianOverTime/calcR2LOB1ClinicianGrossProd</f>
        <v>0</v>
      </c>
      <c r="N874" s="131" t="s">
        <v>6597</v>
      </c>
    </row>
    <row r="875" spans="1:14" ht="12.75" customHeight="1">
      <c r="A875" s="461"/>
    </row>
    <row r="876" spans="1:14" ht="12.75" customHeight="1">
      <c r="A876" s="461"/>
      <c r="B876" s="87" t="s">
        <v>2631</v>
      </c>
    </row>
    <row r="877" spans="1:14" ht="12.75" customHeight="1">
      <c r="A877" s="461"/>
      <c r="C877" s="87" t="str">
        <f>nmEmp1</f>
        <v>Skilled Nursing</v>
      </c>
    </row>
    <row r="878" spans="1:14" ht="12.75" customHeight="1">
      <c r="A878" s="461"/>
      <c r="D878" s="170" t="str">
        <f>nmProd1 &amp; " " &amp; nmSeg1</f>
        <v>Admits Medicare</v>
      </c>
      <c r="E878" s="448">
        <f>calcLOB1Emp1NetProduction*paramWorkWeeksPYear*cbalLOB1Seg1Perc*(1-cbalLOB1Prod2Seg1Perc)</f>
        <v>7840.7607037499993</v>
      </c>
      <c r="F878" s="448">
        <f>calcLOB1Emp1NetProduction*paramWorkWeeksPYear*cbalLOB1Seg1Perc*(1-cbalLOB1Prod2Seg1Perc)</f>
        <v>12473.500564288508</v>
      </c>
      <c r="G878" s="448">
        <f>calcLOB1Emp1NetProduction*paramWorkWeeksPYear*cbalLOB1Seg1Perc*(1-cbalLOB1Prod2Seg1Perc)</f>
        <v>7598.6910490364426</v>
      </c>
      <c r="H878" s="131" t="s">
        <v>2635</v>
      </c>
      <c r="J878" s="170" t="str">
        <f>nmProd1 &amp; " " &amp; nmSeg1</f>
        <v>Admits Medicare</v>
      </c>
      <c r="K878" s="448">
        <f>calcR2LOB1Emp1NetProduction*paramR2WorkWeeksPYear*cbalR2LOB1Seg1Perc*(1-cbalR2LOB1Prod2Seg1Perc)</f>
        <v>6868.6089944084051</v>
      </c>
      <c r="L878" s="448">
        <f>calcR2LOB1Emp1NetProduction*paramR2WorkWeeksPYear*cbalR2LOB1Seg1Perc*(1-cbalR2LOB1Prod2Seg1Perc)</f>
        <v>11917.148966824416</v>
      </c>
      <c r="M878" s="448">
        <f>calcR2LOB1Emp1NetProduction*paramR2WorkWeeksPYear*cbalR2LOB1Seg1Perc*(1-cbalR2LOB1Prod2Seg1Perc)</f>
        <v>7025.6084181949591</v>
      </c>
      <c r="N878" s="131" t="s">
        <v>6598</v>
      </c>
    </row>
    <row r="879" spans="1:14" ht="12.75" customHeight="1">
      <c r="A879" s="461"/>
      <c r="D879" s="170" t="str">
        <f>nmProd1 &amp; " " &amp; nmSeg2</f>
        <v>Admits PPS</v>
      </c>
      <c r="E879" s="448">
        <f>calcLOB1Emp1NetProduction*paramWorkWeeksPYear*cbalLOB1Seg2Perc*(1-cbalLOB1Prod2Seg2Perc)</f>
        <v>1351.8552937499999</v>
      </c>
      <c r="F879" s="448">
        <f>calcLOB1Emp1NetProduction*paramWorkWeeksPYear*cbalLOB1Seg2Perc*(1-cbalLOB1Prod2Seg2Perc)</f>
        <v>2150.6035455669844</v>
      </c>
      <c r="G879" s="448">
        <f>calcLOB1Emp1NetProduction*paramWorkWeeksPYear*cbalLOB1Seg2Perc*(1-cbalLOB1Prod2Seg2Perc)</f>
        <v>1310.1191463855939</v>
      </c>
      <c r="H879" s="131" t="s">
        <v>2636</v>
      </c>
      <c r="J879" s="170" t="str">
        <f>nmProd1 &amp; " " &amp; nmSeg2</f>
        <v>Admits PPS</v>
      </c>
      <c r="K879" s="448">
        <f>calcR2LOB1Emp1NetProduction*paramR2WorkWeeksPYear*cbalR2LOB1Seg2Perc*(1-cbalR2LOB1Prod2Seg2Perc)</f>
        <v>1184.2429300704148</v>
      </c>
      <c r="L879" s="448">
        <f>calcR2LOB1Emp1NetProduction*paramR2WorkWeeksPYear*cbalR2LOB1Seg2Perc*(1-cbalR2LOB1Prod2Seg2Perc)</f>
        <v>2054.6808563490376</v>
      </c>
      <c r="M879" s="448">
        <f>calcR2LOB1Emp1NetProduction*paramR2WorkWeeksPYear*cbalR2LOB1Seg2Perc*(1-cbalR2LOB1Prod2Seg2Perc)</f>
        <v>1211.3117962405104</v>
      </c>
      <c r="N879" s="131" t="s">
        <v>6599</v>
      </c>
    </row>
    <row r="880" spans="1:14" ht="12.75" customHeight="1">
      <c r="A880" s="461"/>
      <c r="D880" s="170" t="str">
        <f>nmProd1 &amp; " " &amp; nmSeg3</f>
        <v>Admits Other</v>
      </c>
      <c r="E880" s="448">
        <f>calcLOB1Emp1NetProduction*paramWorkWeeksPYear*cbalLOB1Seg3Perc*(1-cbalLOB1Prod2Seg3Perc)</f>
        <v>4325.9369399999996</v>
      </c>
      <c r="F880" s="448">
        <f>calcLOB1Emp1NetProduction*paramWorkWeeksPYear*cbalLOB1Seg3Perc*(1-cbalLOB1Prod2Seg3Perc)</f>
        <v>6881.9313458143506</v>
      </c>
      <c r="G880" s="448">
        <f>calcLOB1Emp1NetProduction*paramWorkWeeksPYear*cbalLOB1Seg3Perc*(1-cbalLOB1Prod2Seg3Perc)</f>
        <v>4192.3812684339</v>
      </c>
      <c r="H880" s="131" t="s">
        <v>2637</v>
      </c>
      <c r="J880" s="170" t="str">
        <f>nmProd1 &amp; " " &amp; nmSeg3</f>
        <v>Admits Other</v>
      </c>
      <c r="K880" s="448">
        <f>calcR2LOB1Emp1NetProduction*paramR2WorkWeeksPYear*cbalR2LOB1Seg3Perc*(1-cbalR2LOB1Prod2Seg3Perc)</f>
        <v>3789.577376225327</v>
      </c>
      <c r="L880" s="448">
        <f>calcR2LOB1Emp1NetProduction*paramR2WorkWeeksPYear*cbalR2LOB1Seg3Perc*(1-cbalR2LOB1Prod2Seg3Perc)</f>
        <v>6574.9787403169194</v>
      </c>
      <c r="M880" s="448">
        <f>calcR2LOB1Emp1NetProduction*paramR2WorkWeeksPYear*cbalR2LOB1Seg3Perc*(1-cbalR2LOB1Prod2Seg3Perc)</f>
        <v>3876.1977479696325</v>
      </c>
      <c r="N880" s="131" t="s">
        <v>6600</v>
      </c>
    </row>
    <row r="881" spans="1:14" ht="12.75" customHeight="1">
      <c r="A881" s="461"/>
      <c r="D881" s="170" t="str">
        <f>nmProd2 &amp; " " &amp; nmSeg1</f>
        <v>Recerts Medicare</v>
      </c>
      <c r="E881" s="448">
        <f>calcLOB1Emp1NetProduction*paramWorkWeeksPYear*cbalLOB1Seg1Perc*cbalLOB1Prod2Seg1Perc</f>
        <v>2613.5869012499998</v>
      </c>
      <c r="F881" s="448">
        <f>calcLOB1Emp1NetProduction*paramWorkWeeksPYear*cbalLOB1Seg1Perc*cbalLOB1Prod2Seg1Perc</f>
        <v>4157.833521429503</v>
      </c>
      <c r="G881" s="448">
        <f>calcLOB1Emp1NetProduction*paramWorkWeeksPYear*cbalLOB1Seg1Perc*cbalLOB1Prod2Seg1Perc</f>
        <v>2532.897016345481</v>
      </c>
      <c r="H881" s="131" t="s">
        <v>2638</v>
      </c>
      <c r="J881" s="170" t="str">
        <f>nmProd2 &amp; " " &amp; nmSeg1</f>
        <v>Recerts Medicare</v>
      </c>
      <c r="K881" s="448">
        <f>calcR2LOB1Emp1NetProduction*paramR2WorkWeeksPYear*cbalR2LOB1Seg1Perc*cbalR2LOB1Prod2Seg1Perc</f>
        <v>2289.5363314694682</v>
      </c>
      <c r="L881" s="448">
        <f>calcR2LOB1Emp1NetProduction*paramR2WorkWeeksPYear*cbalR2LOB1Seg1Perc*cbalR2LOB1Prod2Seg1Perc</f>
        <v>3972.3829889414719</v>
      </c>
      <c r="M881" s="448">
        <f>calcR2LOB1Emp1NetProduction*paramR2WorkWeeksPYear*cbalR2LOB1Seg1Perc*cbalR2LOB1Prod2Seg1Perc</f>
        <v>2341.8694727316529</v>
      </c>
      <c r="N881" s="131" t="s">
        <v>6601</v>
      </c>
    </row>
    <row r="882" spans="1:14" ht="12.75" customHeight="1">
      <c r="A882" s="461"/>
      <c r="D882" s="170" t="str">
        <f>nmProd2 &amp; " " &amp; nmSeg2</f>
        <v>Recerts PPS</v>
      </c>
      <c r="E882" s="448">
        <f>calcLOB1Emp1NetProduction*paramWorkWeeksPYear*cbalLOB1Seg2Perc*cbalLOB1Prod2Seg2Perc</f>
        <v>450.61843124999996</v>
      </c>
      <c r="F882" s="448">
        <f>calcLOB1Emp1NetProduction*paramWorkWeeksPYear*cbalLOB1Seg2Perc*cbalLOB1Prod2Seg2Perc</f>
        <v>716.86784852232813</v>
      </c>
      <c r="G882" s="448">
        <f>calcLOB1Emp1NetProduction*paramWorkWeeksPYear*cbalLOB1Seg2Perc*cbalLOB1Prod2Seg2Perc</f>
        <v>436.70638212853129</v>
      </c>
      <c r="H882" s="131" t="s">
        <v>2639</v>
      </c>
      <c r="J882" s="170" t="str">
        <f>nmProd2 &amp; " " &amp; nmSeg2</f>
        <v>Recerts PPS</v>
      </c>
      <c r="K882" s="448">
        <f>calcR2LOB1Emp1NetProduction*paramR2WorkWeeksPYear*cbalR2LOB1Seg2Perc*cbalR2LOB1Prod2Seg2Perc</f>
        <v>394.74764335680493</v>
      </c>
      <c r="L882" s="448">
        <f>calcR2LOB1Emp1NetProduction*paramR2WorkWeeksPYear*cbalR2LOB1Seg2Perc*cbalR2LOB1Prod2Seg2Perc</f>
        <v>684.89361878301247</v>
      </c>
      <c r="M882" s="448">
        <f>calcR2LOB1Emp1NetProduction*paramR2WorkWeeksPYear*cbalR2LOB1Seg2Perc*cbalR2LOB1Prod2Seg2Perc</f>
        <v>403.77059874683675</v>
      </c>
      <c r="N882" s="131" t="s">
        <v>6602</v>
      </c>
    </row>
    <row r="883" spans="1:14" ht="12.75" customHeight="1">
      <c r="A883" s="461"/>
      <c r="D883" s="170" t="str">
        <f>nmProd2 &amp; " " &amp; nmSeg3</f>
        <v>Recerts Other</v>
      </c>
      <c r="E883" s="448">
        <f>calcLOB1Emp1NetProduction*paramWorkWeeksPYear*cbalLOB1Seg3Perc*cbalLOB1Prod2Seg3Perc</f>
        <v>1441.9789799999999</v>
      </c>
      <c r="F883" s="448">
        <f>calcLOB1Emp1NetProduction*paramWorkWeeksPYear*cbalLOB1Seg3Perc*cbalLOB1Prod2Seg3Perc</f>
        <v>2293.9771152714502</v>
      </c>
      <c r="G883" s="448">
        <f>calcLOB1Emp1NetProduction*paramWorkWeeksPYear*cbalLOB1Seg3Perc*cbalLOB1Prod2Seg3Perc</f>
        <v>1397.4604228113001</v>
      </c>
      <c r="H883" s="131" t="s">
        <v>2640</v>
      </c>
      <c r="J883" s="170" t="str">
        <f>nmProd2 &amp; " " &amp; nmSeg3</f>
        <v>Recerts Other</v>
      </c>
      <c r="K883" s="448">
        <f>calcR2LOB1Emp1NetProduction*paramR2WorkWeeksPYear*cbalR2LOB1Seg3Perc*cbalR2LOB1Prod2Seg3Perc</f>
        <v>1263.1924587417757</v>
      </c>
      <c r="L883" s="448">
        <f>calcR2LOB1Emp1NetProduction*paramR2WorkWeeksPYear*cbalR2LOB1Seg3Perc*cbalR2LOB1Prod2Seg3Perc</f>
        <v>2191.6595801056396</v>
      </c>
      <c r="M883" s="448">
        <f>calcR2LOB1Emp1NetProduction*paramR2WorkWeeksPYear*cbalR2LOB1Seg3Perc*cbalR2LOB1Prod2Seg3Perc</f>
        <v>1292.0659159898776</v>
      </c>
      <c r="N883" s="131" t="s">
        <v>6603</v>
      </c>
    </row>
    <row r="884" spans="1:14" ht="1.5" customHeight="1">
      <c r="A884" s="461"/>
      <c r="D884" s="449"/>
      <c r="E884" s="450"/>
      <c r="F884" s="450"/>
      <c r="G884" s="450"/>
      <c r="H884" s="131"/>
      <c r="J884" s="449"/>
      <c r="K884" s="450"/>
      <c r="L884" s="450"/>
      <c r="M884" s="450"/>
      <c r="N884" s="131"/>
    </row>
    <row r="885" spans="1:14" ht="12.75" customHeight="1">
      <c r="A885" s="461"/>
      <c r="D885" s="170" t="str">
        <f>"Total "&amp; nmEmp1</f>
        <v>Total Skilled Nursing</v>
      </c>
      <c r="E885" s="448">
        <f>SUM(E878:E884)</f>
        <v>18024.737249999998</v>
      </c>
      <c r="F885" s="448">
        <f t="shared" ref="F885:G885" si="99">SUM(F878:F884)</f>
        <v>28674.713940893125</v>
      </c>
      <c r="G885" s="448">
        <f t="shared" si="99"/>
        <v>17468.255285141247</v>
      </c>
      <c r="H885" s="131" t="s">
        <v>2641</v>
      </c>
      <c r="J885" s="170" t="str">
        <f>"Total "&amp; nmEmp1</f>
        <v>Total Skilled Nursing</v>
      </c>
      <c r="K885" s="448">
        <f>SUM(K878:K884)</f>
        <v>15789.905734272195</v>
      </c>
      <c r="L885" s="448">
        <f t="shared" ref="L885:M885" si="100">SUM(L878:L884)</f>
        <v>27395.744751320497</v>
      </c>
      <c r="M885" s="448">
        <f t="shared" si="100"/>
        <v>16150.823949873467</v>
      </c>
      <c r="N885" s="131" t="s">
        <v>6604</v>
      </c>
    </row>
    <row r="886" spans="1:14" ht="12.75" customHeight="1">
      <c r="A886" s="461"/>
      <c r="E886" s="448"/>
      <c r="F886" s="448"/>
      <c r="G886" s="448"/>
      <c r="H886" s="131"/>
      <c r="K886" s="448"/>
      <c r="L886" s="448"/>
      <c r="M886" s="448"/>
      <c r="N886" s="131"/>
    </row>
    <row r="887" spans="1:14" ht="12.75" customHeight="1">
      <c r="A887" s="461"/>
      <c r="C887" s="87" t="str">
        <f>nmEmp2</f>
        <v>Occupational Therapy</v>
      </c>
    </row>
    <row r="888" spans="1:14" ht="12.75" customHeight="1">
      <c r="A888" s="461"/>
      <c r="D888" s="170" t="str">
        <f>nmProd1 &amp; " " &amp; nmSeg1</f>
        <v>Admits Medicare</v>
      </c>
      <c r="E888" s="448">
        <f>calcLOB1Emp2NetProduction*paramWorkWeeksPYear*cbalLOB1Seg1Perc*(1-cbalLOB1Prod2Seg1Perc)</f>
        <v>1991.2121955000002</v>
      </c>
      <c r="F888" s="448">
        <f>calcLOB1Emp2NetProduction*paramWorkWeeksPYear*cbalLOB1Seg1Perc*(1-cbalLOB1Prod2Seg1Perc)</f>
        <v>3402.2069444868748</v>
      </c>
      <c r="G888" s="448">
        <f>calcLOB1Emp2NetProduction*paramWorkWeeksPYear*cbalLOB1Seg1Perc*(1-cbalLOB1Prod2Seg1Perc)</f>
        <v>2190.2009762441248</v>
      </c>
      <c r="H888" s="131" t="s">
        <v>2642</v>
      </c>
      <c r="J888" s="170" t="str">
        <f>nmProd1 &amp; " " &amp; nmSeg1</f>
        <v>Admits Medicare</v>
      </c>
      <c r="K888" s="448">
        <f>calcR2LOB1Emp2NetProduction*paramR2WorkWeeksPYear*cbalR2LOB1Seg1Perc*(1-cbalR2LOB1Prod2Seg1Perc)</f>
        <v>1732.9612070642172</v>
      </c>
      <c r="L888" s="448">
        <f>calcR2LOB1Emp2NetProduction*paramR2WorkWeeksPYear*cbalR2LOB1Seg1Perc*(1-cbalR2LOB1Prod2Seg1Perc)</f>
        <v>3380.2978124708652</v>
      </c>
      <c r="M888" s="448">
        <f>calcR2LOB1Emp2NetProduction*paramR2WorkWeeksPYear*cbalR2LOB1Seg1Perc*(1-cbalR2LOB1Prod2Seg1Perc)</f>
        <v>2085.5446183952649</v>
      </c>
      <c r="N888" s="131" t="s">
        <v>6605</v>
      </c>
    </row>
    <row r="889" spans="1:14" ht="12.75" customHeight="1">
      <c r="A889" s="461"/>
      <c r="D889" s="170" t="str">
        <f>nmProd1 &amp; " " &amp; nmSeg2</f>
        <v>Admits PPS</v>
      </c>
      <c r="E889" s="448">
        <f>calcLOB1Emp2NetProduction*paramWorkWeeksPYear*cbalLOB1Seg2Perc*(1-cbalLOB1Prod2Seg2Perc)</f>
        <v>343.31244750000008</v>
      </c>
      <c r="F889" s="448">
        <f>calcLOB1Emp2NetProduction*paramWorkWeeksPYear*cbalLOB1Seg2Perc*(1-cbalLOB1Prod2Seg2Perc)</f>
        <v>586.58740422187509</v>
      </c>
      <c r="G889" s="448">
        <f>calcLOB1Emp2NetProduction*paramWorkWeeksPYear*cbalLOB1Seg2Perc*(1-cbalLOB1Prod2Seg2Perc)</f>
        <v>377.620857973125</v>
      </c>
      <c r="H889" s="131" t="s">
        <v>2643</v>
      </c>
      <c r="J889" s="170" t="str">
        <f>nmProd1 &amp; " " &amp; nmSeg2</f>
        <v>Admits PPS</v>
      </c>
      <c r="K889" s="448">
        <f>calcR2LOB1Emp2NetProduction*paramR2WorkWeeksPYear*cbalR2LOB1Seg2Perc*(1-cbalR2LOB1Prod2Seg2Perc)</f>
        <v>298.78641501107199</v>
      </c>
      <c r="L889" s="448">
        <f>calcR2LOB1Emp2NetProduction*paramR2WorkWeeksPYear*cbalR2LOB1Seg2Perc*(1-cbalR2LOB1Prod2Seg2Perc)</f>
        <v>582.80996766739065</v>
      </c>
      <c r="M889" s="448">
        <f>calcR2LOB1Emp2NetProduction*paramR2WorkWeeksPYear*cbalR2LOB1Seg2Perc*(1-cbalR2LOB1Prod2Seg2Perc)</f>
        <v>359.57665834401126</v>
      </c>
      <c r="N889" s="131" t="s">
        <v>6606</v>
      </c>
    </row>
    <row r="890" spans="1:14" ht="12.75" customHeight="1">
      <c r="A890" s="461"/>
      <c r="D890" s="170" t="str">
        <f>nmProd1 &amp; " " &amp; nmSeg3</f>
        <v>Admits Other</v>
      </c>
      <c r="E890" s="448">
        <f>calcLOB1Emp2NetProduction*paramWorkWeeksPYear*cbalLOB1Seg3Perc*(1-cbalLOB1Prod2Seg3Perc)</f>
        <v>1098.5998320000001</v>
      </c>
      <c r="F890" s="448">
        <f>calcLOB1Emp2NetProduction*paramWorkWeeksPYear*cbalLOB1Seg3Perc*(1-cbalLOB1Prod2Seg3Perc)</f>
        <v>1877.0796935100002</v>
      </c>
      <c r="G890" s="448">
        <f>calcLOB1Emp2NetProduction*paramWorkWeeksPYear*cbalLOB1Seg3Perc*(1-cbalLOB1Prod2Seg3Perc)</f>
        <v>1208.386745514</v>
      </c>
      <c r="H890" s="131" t="s">
        <v>2644</v>
      </c>
      <c r="J890" s="170" t="str">
        <f>nmProd1 &amp; " " &amp; nmSeg3</f>
        <v>Admits Other</v>
      </c>
      <c r="K890" s="448">
        <f>calcR2LOB1Emp2NetProduction*paramR2WorkWeeksPYear*cbalR2LOB1Seg3Perc*(1-cbalR2LOB1Prod2Seg3Perc)</f>
        <v>956.11652803543041</v>
      </c>
      <c r="L890" s="448">
        <f>calcR2LOB1Emp2NetProduction*paramR2WorkWeeksPYear*cbalR2LOB1Seg3Perc*(1-cbalR2LOB1Prod2Seg3Perc)</f>
        <v>1864.9918965356496</v>
      </c>
      <c r="M890" s="448">
        <f>calcR2LOB1Emp2NetProduction*paramR2WorkWeeksPYear*cbalR2LOB1Seg3Perc*(1-cbalR2LOB1Prod2Seg3Perc)</f>
        <v>1150.645306700836</v>
      </c>
      <c r="N890" s="131" t="s">
        <v>6607</v>
      </c>
    </row>
    <row r="891" spans="1:14" ht="12.75" customHeight="1">
      <c r="A891" s="461"/>
      <c r="D891" s="170" t="str">
        <f>nmProd2 &amp; " " &amp; nmSeg1</f>
        <v>Recerts Medicare</v>
      </c>
      <c r="E891" s="448">
        <f>calcLOB1Emp2NetProduction*paramWorkWeeksPYear*cbalLOB1Seg1Perc*cbalLOB1Prod2Seg1Perc</f>
        <v>663.73739850000004</v>
      </c>
      <c r="F891" s="448">
        <f>calcLOB1Emp2NetProduction*paramWorkWeeksPYear*cbalLOB1Seg1Perc*cbalLOB1Prod2Seg1Perc</f>
        <v>1134.0689814956249</v>
      </c>
      <c r="G891" s="448">
        <f>calcLOB1Emp2NetProduction*paramWorkWeeksPYear*cbalLOB1Seg1Perc*cbalLOB1Prod2Seg1Perc</f>
        <v>730.06699208137491</v>
      </c>
      <c r="H891" s="131" t="s">
        <v>2645</v>
      </c>
      <c r="J891" s="170" t="str">
        <f>nmProd2 &amp; " " &amp; nmSeg1</f>
        <v>Recerts Medicare</v>
      </c>
      <c r="K891" s="448">
        <f>calcR2LOB1Emp2NetProduction*paramR2WorkWeeksPYear*cbalR2LOB1Seg1Perc*cbalR2LOB1Prod2Seg1Perc</f>
        <v>577.6537356880724</v>
      </c>
      <c r="L891" s="448">
        <f>calcR2LOB1Emp2NetProduction*paramR2WorkWeeksPYear*cbalR2LOB1Seg1Perc*cbalR2LOB1Prod2Seg1Perc</f>
        <v>1126.7659374902885</v>
      </c>
      <c r="M891" s="448">
        <f>calcR2LOB1Emp2NetProduction*paramR2WorkWeeksPYear*cbalR2LOB1Seg1Perc*cbalR2LOB1Prod2Seg1Perc</f>
        <v>695.18153946508835</v>
      </c>
      <c r="N891" s="131" t="s">
        <v>6608</v>
      </c>
    </row>
    <row r="892" spans="1:14" ht="12.75" customHeight="1">
      <c r="A892" s="461"/>
      <c r="D892" s="170" t="str">
        <f>nmProd2 &amp; " " &amp; nmSeg2</f>
        <v>Recerts PPS</v>
      </c>
      <c r="E892" s="448">
        <f>calcLOB1Emp2NetProduction*paramWorkWeeksPYear*cbalLOB1Seg2Perc*cbalLOB1Prod2Seg2Perc</f>
        <v>114.43748250000002</v>
      </c>
      <c r="F892" s="448">
        <f>calcLOB1Emp2NetProduction*paramWorkWeeksPYear*cbalLOB1Seg2Perc*cbalLOB1Prod2Seg2Perc</f>
        <v>195.52913474062504</v>
      </c>
      <c r="G892" s="448">
        <f>calcLOB1Emp2NetProduction*paramWorkWeeksPYear*cbalLOB1Seg2Perc*cbalLOB1Prod2Seg2Perc</f>
        <v>125.873619324375</v>
      </c>
      <c r="H892" s="131" t="s">
        <v>2646</v>
      </c>
      <c r="J892" s="170" t="str">
        <f>nmProd2 &amp; " " &amp; nmSeg2</f>
        <v>Recerts PPS</v>
      </c>
      <c r="K892" s="448">
        <f>calcR2LOB1Emp2NetProduction*paramR2WorkWeeksPYear*cbalR2LOB1Seg2Perc*cbalR2LOB1Prod2Seg2Perc</f>
        <v>99.595471670357327</v>
      </c>
      <c r="L892" s="448">
        <f>calcR2LOB1Emp2NetProduction*paramR2WorkWeeksPYear*cbalR2LOB1Seg2Perc*cbalR2LOB1Prod2Seg2Perc</f>
        <v>194.26998922246355</v>
      </c>
      <c r="M892" s="448">
        <f>calcR2LOB1Emp2NetProduction*paramR2WorkWeeksPYear*cbalR2LOB1Seg2Perc*cbalR2LOB1Prod2Seg2Perc</f>
        <v>119.85888611467043</v>
      </c>
      <c r="N892" s="131" t="s">
        <v>6609</v>
      </c>
    </row>
    <row r="893" spans="1:14" ht="12.75" customHeight="1">
      <c r="A893" s="461"/>
      <c r="D893" s="170" t="str">
        <f>nmProd2 &amp; " " &amp; nmSeg3</f>
        <v>Recerts Other</v>
      </c>
      <c r="E893" s="448">
        <f>calcLOB1Emp2NetProduction*paramWorkWeeksPYear*cbalLOB1Seg3Perc*cbalLOB1Prod2Seg3Perc</f>
        <v>366.19994400000002</v>
      </c>
      <c r="F893" s="448">
        <f>calcLOB1Emp2NetProduction*paramWorkWeeksPYear*cbalLOB1Seg3Perc*cbalLOB1Prod2Seg3Perc</f>
        <v>625.6932311700001</v>
      </c>
      <c r="G893" s="448">
        <f>calcLOB1Emp2NetProduction*paramWorkWeeksPYear*cbalLOB1Seg3Perc*cbalLOB1Prod2Seg3Perc</f>
        <v>402.79558183800003</v>
      </c>
      <c r="H893" s="131" t="s">
        <v>2647</v>
      </c>
      <c r="J893" s="170" t="str">
        <f>nmProd2 &amp; " " &amp; nmSeg3</f>
        <v>Recerts Other</v>
      </c>
      <c r="K893" s="448">
        <f>calcR2LOB1Emp2NetProduction*paramR2WorkWeeksPYear*cbalR2LOB1Seg3Perc*cbalR2LOB1Prod2Seg3Perc</f>
        <v>318.70550934514347</v>
      </c>
      <c r="L893" s="448">
        <f>calcR2LOB1Emp2NetProduction*paramR2WorkWeeksPYear*cbalR2LOB1Seg3Perc*cbalR2LOB1Prod2Seg3Perc</f>
        <v>621.66396551188325</v>
      </c>
      <c r="M893" s="448">
        <f>calcR2LOB1Emp2NetProduction*paramR2WorkWeeksPYear*cbalR2LOB1Seg3Perc*cbalR2LOB1Prod2Seg3Perc</f>
        <v>383.54843556694533</v>
      </c>
      <c r="N893" s="131" t="s">
        <v>6610</v>
      </c>
    </row>
    <row r="894" spans="1:14" ht="1.5" customHeight="1">
      <c r="A894" s="461"/>
      <c r="D894" s="449"/>
      <c r="E894" s="450"/>
      <c r="F894" s="450"/>
      <c r="G894" s="450"/>
      <c r="H894" s="131"/>
      <c r="J894" s="449"/>
      <c r="K894" s="450"/>
      <c r="L894" s="450"/>
      <c r="M894" s="450"/>
      <c r="N894" s="131"/>
    </row>
    <row r="895" spans="1:14" ht="12.75" customHeight="1">
      <c r="A895" s="461"/>
      <c r="D895" s="170" t="str">
        <f>"Total "&amp; nmEmp2</f>
        <v>Total Occupational Therapy</v>
      </c>
      <c r="E895" s="448">
        <f>SUM(E888:E894)</f>
        <v>4577.4993000000013</v>
      </c>
      <c r="F895" s="448">
        <f t="shared" ref="F895:G895" si="101">SUM(F888:F894)</f>
        <v>7821.165389625</v>
      </c>
      <c r="G895" s="448">
        <f t="shared" si="101"/>
        <v>5034.944772975</v>
      </c>
      <c r="H895" s="131" t="s">
        <v>2648</v>
      </c>
      <c r="J895" s="170" t="str">
        <f>"Total "&amp; nmEmp2</f>
        <v>Total Occupational Therapy</v>
      </c>
      <c r="K895" s="448">
        <f>SUM(K888:K894)</f>
        <v>3983.818866814293</v>
      </c>
      <c r="L895" s="448">
        <f t="shared" ref="L895:M895" si="102">SUM(L888:L894)</f>
        <v>7770.7995688985411</v>
      </c>
      <c r="M895" s="448">
        <f t="shared" si="102"/>
        <v>4794.3554445868158</v>
      </c>
      <c r="N895" s="131" t="s">
        <v>6611</v>
      </c>
    </row>
    <row r="896" spans="1:14" ht="12.75" customHeight="1">
      <c r="A896" s="461"/>
      <c r="E896" s="448"/>
      <c r="F896" s="448"/>
      <c r="G896" s="448"/>
      <c r="H896" s="131"/>
      <c r="K896" s="448"/>
      <c r="L896" s="448"/>
      <c r="M896" s="448"/>
      <c r="N896" s="131"/>
    </row>
    <row r="897" spans="1:14" ht="12.75" customHeight="1">
      <c r="A897" s="461"/>
      <c r="C897" s="87" t="str">
        <f>nmEmp3</f>
        <v>Physical Therapy</v>
      </c>
    </row>
    <row r="898" spans="1:14" ht="12.75" customHeight="1">
      <c r="A898" s="461"/>
      <c r="D898" s="170" t="str">
        <f>nmProd1 &amp; " " &amp; nmSeg1</f>
        <v>Admits Medicare</v>
      </c>
      <c r="E898" s="448">
        <f>calcLOB1Emp3NetProduction*paramWorkWeeksPYear*cbalLOB1Seg1Perc*(1-cbalLOB1Prod2Seg1Perc)</f>
        <v>7826.0328000000009</v>
      </c>
      <c r="F898" s="448">
        <f>calcLOB1Emp3NetProduction*paramWorkWeeksPYear*cbalLOB1Seg1Perc*(1-cbalLOB1Prod2Seg1Perc)</f>
        <v>13834.704329999997</v>
      </c>
      <c r="G898" s="448">
        <f>calcLOB1Emp3NetProduction*paramWorkWeeksPYear*cbalLOB1Seg1Perc*(1-cbalLOB1Prod2Seg1Perc)</f>
        <v>7846.8606000000009</v>
      </c>
      <c r="H898" s="131" t="s">
        <v>2649</v>
      </c>
      <c r="J898" s="170" t="str">
        <f>nmProd1 &amp; " " &amp; nmSeg1</f>
        <v>Admits Medicare</v>
      </c>
      <c r="K898" s="448">
        <f>calcR2LOB1Emp3NetProduction*paramR2WorkWeeksPYear*cbalR2LOB1Seg1Perc*(1-cbalR2LOB1Prod2Seg1Perc)</f>
        <v>6795.2368884589923</v>
      </c>
      <c r="L898" s="448">
        <f>calcR2LOB1Emp3NetProduction*paramR2WorkWeeksPYear*cbalR2LOB1Seg1Perc*(1-cbalR2LOB1Prod2Seg1Perc)</f>
        <v>13765.644230399541</v>
      </c>
      <c r="M898" s="448">
        <f>calcR2LOB1Emp3NetProduction*paramR2WorkWeeksPYear*cbalR2LOB1Seg1Perc*(1-cbalR2LOB1Prod2Seg1Perc)</f>
        <v>7478.4772281784699</v>
      </c>
      <c r="N898" s="131" t="s">
        <v>6612</v>
      </c>
    </row>
    <row r="899" spans="1:14" ht="12.75" customHeight="1">
      <c r="A899" s="461"/>
      <c r="D899" s="170" t="str">
        <f>nmProd1 &amp; " " &amp; nmSeg2</f>
        <v>Admits PPS</v>
      </c>
      <c r="E899" s="448">
        <f>calcLOB1Emp3NetProduction*paramWorkWeeksPYear*cbalLOB1Seg2Perc*(1-cbalLOB1Prod2Seg2Perc)</f>
        <v>1349.3160000000005</v>
      </c>
      <c r="F899" s="448">
        <f>calcLOB1Emp3NetProduction*paramWorkWeeksPYear*cbalLOB1Seg2Perc*(1-cbalLOB1Prod2Seg2Perc)</f>
        <v>2385.29385</v>
      </c>
      <c r="G899" s="448">
        <f>calcLOB1Emp3NetProduction*paramWorkWeeksPYear*cbalLOB1Seg2Perc*(1-cbalLOB1Prod2Seg2Perc)</f>
        <v>1352.9070000000002</v>
      </c>
      <c r="H899" s="131" t="s">
        <v>2650</v>
      </c>
      <c r="J899" s="170" t="str">
        <f>nmProd1 &amp; " " &amp; nmSeg2</f>
        <v>Admits PPS</v>
      </c>
      <c r="K899" s="448">
        <f>calcR2LOB1Emp3NetProduction*paramR2WorkWeeksPYear*cbalR2LOB1Seg2Perc*(1-cbalR2LOB1Prod2Seg2Perc)</f>
        <v>1171.5925669756884</v>
      </c>
      <c r="L899" s="448">
        <f>calcR2LOB1Emp3NetProduction*paramR2WorkWeeksPYear*cbalR2LOB1Seg2Perc*(1-cbalR2LOB1Prod2Seg2Perc)</f>
        <v>2373.3869362757832</v>
      </c>
      <c r="M899" s="448">
        <f>calcR2LOB1Emp3NetProduction*paramR2WorkWeeksPYear*cbalR2LOB1Seg2Perc*(1-cbalR2LOB1Prod2Seg2Perc)</f>
        <v>1289.3926255480121</v>
      </c>
      <c r="N899" s="131" t="s">
        <v>6613</v>
      </c>
    </row>
    <row r="900" spans="1:14" ht="12.75" customHeight="1">
      <c r="A900" s="461"/>
      <c r="D900" s="170" t="str">
        <f>nmProd1 &amp; " " &amp; nmSeg3</f>
        <v>Admits Other</v>
      </c>
      <c r="E900" s="448">
        <f>calcLOB1Emp3NetProduction*paramWorkWeeksPYear*cbalLOB1Seg3Perc*(1-cbalLOB1Prod2Seg3Perc)</f>
        <v>4317.811200000001</v>
      </c>
      <c r="F900" s="448">
        <f>calcLOB1Emp3NetProduction*paramWorkWeeksPYear*cbalLOB1Seg3Perc*(1-cbalLOB1Prod2Seg3Perc)</f>
        <v>7632.9403199999997</v>
      </c>
      <c r="G900" s="448">
        <f>calcLOB1Emp3NetProduction*paramWorkWeeksPYear*cbalLOB1Seg3Perc*(1-cbalLOB1Prod2Seg3Perc)</f>
        <v>4329.3024000000005</v>
      </c>
      <c r="H900" s="131" t="s">
        <v>2651</v>
      </c>
      <c r="J900" s="170" t="str">
        <f>nmProd1 &amp; " " &amp; nmSeg3</f>
        <v>Admits Other</v>
      </c>
      <c r="K900" s="448">
        <f>calcR2LOB1Emp3NetProduction*paramR2WorkWeeksPYear*cbalR2LOB1Seg3Perc*(1-cbalR2LOB1Prod2Seg3Perc)</f>
        <v>3749.0962143222032</v>
      </c>
      <c r="L900" s="448">
        <f>calcR2LOB1Emp3NetProduction*paramR2WorkWeeksPYear*cbalR2LOB1Seg3Perc*(1-cbalR2LOB1Prod2Seg3Perc)</f>
        <v>7594.8381960825054</v>
      </c>
      <c r="M900" s="448">
        <f>calcR2LOB1Emp3NetProduction*paramR2WorkWeeksPYear*cbalR2LOB1Seg3Perc*(1-cbalR2LOB1Prod2Seg3Perc)</f>
        <v>4126.056401753639</v>
      </c>
      <c r="N900" s="131" t="s">
        <v>6614</v>
      </c>
    </row>
    <row r="901" spans="1:14" ht="12.75" customHeight="1">
      <c r="A901" s="461"/>
      <c r="D901" s="170" t="str">
        <f>nmProd2 &amp; " " &amp; nmSeg1</f>
        <v>Recerts Medicare</v>
      </c>
      <c r="E901" s="448">
        <f>calcLOB1Emp3NetProduction*paramWorkWeeksPYear*cbalLOB1Seg1Perc*cbalLOB1Prod2Seg1Perc</f>
        <v>2608.6776000000004</v>
      </c>
      <c r="F901" s="448">
        <f>calcLOB1Emp3NetProduction*paramWorkWeeksPYear*cbalLOB1Seg1Perc*cbalLOB1Prod2Seg1Perc</f>
        <v>4611.5681099999993</v>
      </c>
      <c r="G901" s="448">
        <f>calcLOB1Emp3NetProduction*paramWorkWeeksPYear*cbalLOB1Seg1Perc*cbalLOB1Prod2Seg1Perc</f>
        <v>2615.6202000000003</v>
      </c>
      <c r="H901" s="131" t="s">
        <v>2652</v>
      </c>
      <c r="J901" s="170" t="str">
        <f>nmProd2 &amp; " " &amp; nmSeg1</f>
        <v>Recerts Medicare</v>
      </c>
      <c r="K901" s="448">
        <f>calcR2LOB1Emp3NetProduction*paramR2WorkWeeksPYear*cbalR2LOB1Seg1Perc*cbalR2LOB1Prod2Seg1Perc</f>
        <v>2265.078962819664</v>
      </c>
      <c r="L901" s="448">
        <f>calcR2LOB1Emp3NetProduction*paramR2WorkWeeksPYear*cbalR2LOB1Seg1Perc*cbalR2LOB1Prod2Seg1Perc</f>
        <v>4588.548076799847</v>
      </c>
      <c r="M901" s="448">
        <f>calcR2LOB1Emp3NetProduction*paramR2WorkWeeksPYear*cbalR2LOB1Seg1Perc*cbalR2LOB1Prod2Seg1Perc</f>
        <v>2492.8257427261565</v>
      </c>
      <c r="N901" s="131" t="s">
        <v>6615</v>
      </c>
    </row>
    <row r="902" spans="1:14" ht="12.75" customHeight="1">
      <c r="A902" s="461"/>
      <c r="D902" s="170" t="str">
        <f>nmProd2 &amp; " " &amp; nmSeg2</f>
        <v>Recerts PPS</v>
      </c>
      <c r="E902" s="448">
        <f>calcLOB1Emp3NetProduction*paramWorkWeeksPYear*cbalLOB1Seg2Perc*cbalLOB1Prod2Seg2Perc</f>
        <v>449.77200000000016</v>
      </c>
      <c r="F902" s="448">
        <f>calcLOB1Emp3NetProduction*paramWorkWeeksPYear*cbalLOB1Seg2Perc*cbalLOB1Prod2Seg2Perc</f>
        <v>795.09794999999997</v>
      </c>
      <c r="G902" s="448">
        <f>calcLOB1Emp3NetProduction*paramWorkWeeksPYear*cbalLOB1Seg2Perc*cbalLOB1Prod2Seg2Perc</f>
        <v>450.96900000000005</v>
      </c>
      <c r="H902" s="131" t="s">
        <v>2653</v>
      </c>
      <c r="J902" s="170" t="str">
        <f>nmProd2 &amp; " " &amp; nmSeg2</f>
        <v>Recerts PPS</v>
      </c>
      <c r="K902" s="448">
        <f>calcR2LOB1Emp3NetProduction*paramR2WorkWeeksPYear*cbalR2LOB1Seg2Perc*cbalR2LOB1Prod2Seg2Perc</f>
        <v>390.53085565856281</v>
      </c>
      <c r="L902" s="448">
        <f>calcR2LOB1Emp3NetProduction*paramR2WorkWeeksPYear*cbalR2LOB1Seg2Perc*cbalR2LOB1Prod2Seg2Perc</f>
        <v>791.12897875859437</v>
      </c>
      <c r="M902" s="448">
        <f>calcR2LOB1Emp3NetProduction*paramR2WorkWeeksPYear*cbalR2LOB1Seg2Perc*cbalR2LOB1Prod2Seg2Perc</f>
        <v>429.79754184933739</v>
      </c>
      <c r="N902" s="131" t="s">
        <v>6616</v>
      </c>
    </row>
    <row r="903" spans="1:14" ht="12.75" customHeight="1">
      <c r="A903" s="461"/>
      <c r="D903" s="170" t="str">
        <f>nmProd2 &amp; " " &amp; nmSeg3</f>
        <v>Recerts Other</v>
      </c>
      <c r="E903" s="448">
        <f>calcLOB1Emp3NetProduction*paramWorkWeeksPYear*cbalLOB1Seg3Perc*cbalLOB1Prod2Seg3Perc</f>
        <v>1439.2704000000003</v>
      </c>
      <c r="F903" s="448">
        <f>calcLOB1Emp3NetProduction*paramWorkWeeksPYear*cbalLOB1Seg3Perc*cbalLOB1Prod2Seg3Perc</f>
        <v>2544.3134399999999</v>
      </c>
      <c r="G903" s="448">
        <f>calcLOB1Emp3NetProduction*paramWorkWeeksPYear*cbalLOB1Seg3Perc*cbalLOB1Prod2Seg3Perc</f>
        <v>1443.1008000000002</v>
      </c>
      <c r="H903" s="131" t="s">
        <v>2654</v>
      </c>
      <c r="J903" s="170" t="str">
        <f>nmProd2 &amp; " " &amp; nmSeg3</f>
        <v>Recerts Other</v>
      </c>
      <c r="K903" s="448">
        <f>calcR2LOB1Emp3NetProduction*paramR2WorkWeeksPYear*cbalR2LOB1Seg3Perc*cbalR2LOB1Prod2Seg3Perc</f>
        <v>1249.6987381074011</v>
      </c>
      <c r="L903" s="448">
        <f>calcR2LOB1Emp3NetProduction*paramR2WorkWeeksPYear*cbalR2LOB1Seg3Perc*cbalR2LOB1Prod2Seg3Perc</f>
        <v>2531.6127320275018</v>
      </c>
      <c r="M903" s="448">
        <f>calcR2LOB1Emp3NetProduction*paramR2WorkWeeksPYear*cbalR2LOB1Seg3Perc*cbalR2LOB1Prod2Seg3Perc</f>
        <v>1375.3521339178797</v>
      </c>
      <c r="N903" s="131" t="s">
        <v>6617</v>
      </c>
    </row>
    <row r="904" spans="1:14" ht="1.5" customHeight="1">
      <c r="A904" s="461"/>
      <c r="D904" s="449"/>
      <c r="E904" s="450"/>
      <c r="F904" s="450"/>
      <c r="G904" s="450"/>
      <c r="H904" s="131"/>
      <c r="J904" s="449"/>
      <c r="K904" s="450"/>
      <c r="L904" s="450"/>
      <c r="M904" s="450"/>
      <c r="N904" s="131"/>
    </row>
    <row r="905" spans="1:14" ht="12.75" customHeight="1">
      <c r="A905" s="461"/>
      <c r="D905" s="170" t="str">
        <f>"Total "&amp; nmEmp3</f>
        <v>Total Physical Therapy</v>
      </c>
      <c r="E905" s="448">
        <f>SUM(E898:E904)</f>
        <v>17990.880000000005</v>
      </c>
      <c r="F905" s="448">
        <f t="shared" ref="F905:G905" si="103">SUM(F898:F904)</f>
        <v>31803.917999999998</v>
      </c>
      <c r="G905" s="448">
        <f t="shared" si="103"/>
        <v>18038.760000000002</v>
      </c>
      <c r="H905" s="131" t="s">
        <v>2655</v>
      </c>
      <c r="J905" s="170" t="str">
        <f>"Total "&amp; nmEmp3</f>
        <v>Total Physical Therapy</v>
      </c>
      <c r="K905" s="448">
        <f>SUM(K898:K904)</f>
        <v>15621.234226342513</v>
      </c>
      <c r="L905" s="448">
        <f t="shared" ref="L905:M905" si="104">SUM(L898:L904)</f>
        <v>31645.159150343774</v>
      </c>
      <c r="M905" s="448">
        <f t="shared" si="104"/>
        <v>17191.901673973494</v>
      </c>
      <c r="N905" s="131" t="s">
        <v>6618</v>
      </c>
    </row>
    <row r="906" spans="1:14" ht="12.75" customHeight="1">
      <c r="A906" s="461"/>
    </row>
    <row r="907" spans="1:14" ht="12.75" customHeight="1">
      <c r="A907" s="461"/>
      <c r="C907" s="131" t="s">
        <v>8253</v>
      </c>
    </row>
    <row r="908" spans="1:14" ht="12.75" customHeight="1">
      <c r="A908" s="461"/>
      <c r="C908" s="131" t="s">
        <v>550</v>
      </c>
      <c r="E908" s="448">
        <f>COUNTIF(E$163:E$174,"&gt;0")+cbalLOB1NumProdClinician13</f>
        <v>6.8475000000000001</v>
      </c>
      <c r="F908" s="448">
        <f>COUNTIF(F$163:F$174,"&gt;0")+cbalLOB1NumProdClinician13</f>
        <v>10.535021484375001</v>
      </c>
      <c r="G908" s="448">
        <f>COUNTIF(G$163:G$174,"&gt;0")+cbalLOB1NumProdClinician13</f>
        <v>6.9817617187500005</v>
      </c>
      <c r="H908" s="131" t="s">
        <v>8286</v>
      </c>
      <c r="K908" s="448">
        <f>COUNTIF(K$163:K$174,"&gt;0")+cbalR2LOB1NumProdClinician13</f>
        <v>6.1743051779382139</v>
      </c>
      <c r="L908" s="448">
        <f>COUNTIF(L$163:L$174,"&gt;0")+cbalR2LOB1NumProdClinician13</f>
        <v>9.7421635513923128</v>
      </c>
      <c r="M908" s="448">
        <f>COUNTIF(M$163:M$174,"&gt;0")+cbalR2LOB1NumProdClinician13</f>
        <v>6.3602928241922312</v>
      </c>
      <c r="N908" s="131" t="s">
        <v>8290</v>
      </c>
    </row>
    <row r="909" spans="1:14" ht="12.75" customHeight="1">
      <c r="A909" s="461"/>
      <c r="C909" s="131" t="s">
        <v>554</v>
      </c>
      <c r="E909" s="448">
        <f>COUNTIF($E176:$E187,"&gt;0")+cbalLOB1NumProdClinician14</f>
        <v>7.5575000000000001</v>
      </c>
      <c r="F909" s="448">
        <f>COUNTIF($E176:$E187,"&gt;0")+cbalLOB1NumProdClinician14</f>
        <v>9.5539907692307686</v>
      </c>
      <c r="G909" s="448">
        <f>COUNTIF($E176:$E187,"&gt;0")+cbalLOB1NumProdClinician14</f>
        <v>5.9205038461538457</v>
      </c>
      <c r="H909" s="131" t="s">
        <v>8287</v>
      </c>
      <c r="K909" s="448">
        <f>COUNTIF($E176:$E187,"&gt;0")+cbalR2LOB1NumProdClinician14</f>
        <v>6.585107479244086</v>
      </c>
      <c r="L909" s="448">
        <f>COUNTIF($E176:$E187,"&gt;0")+cbalR2LOB1NumProdClinician14</f>
        <v>8.7591368302629533</v>
      </c>
      <c r="M909" s="448">
        <f>COUNTIF($E176:$E187,"&gt;0")+cbalR2LOB1NumProdClinician14</f>
        <v>5.3085960115123498</v>
      </c>
      <c r="N909" s="131" t="s">
        <v>8291</v>
      </c>
    </row>
    <row r="910" spans="1:14" ht="12.75" customHeight="1">
      <c r="A910" s="461"/>
      <c r="C910" s="131" t="s">
        <v>627</v>
      </c>
      <c r="E910" s="448">
        <f>calcLOB1Disc1EmpCount+calcLOB1Disc2EmpCount</f>
        <v>14.405000000000001</v>
      </c>
      <c r="F910" s="448">
        <f>calcLOB1Disc1EmpCount+calcLOB1Disc2EmpCount</f>
        <v>20.08901225360577</v>
      </c>
      <c r="G910" s="448">
        <f>calcLOB1Disc1EmpCount+calcLOB1Disc2EmpCount</f>
        <v>12.902265564903846</v>
      </c>
      <c r="H910" s="131" t="s">
        <v>8336</v>
      </c>
      <c r="K910" s="448">
        <f>calcR2LOB1Disc1EmpCount+calcR2LOB1Disc2EmpCount</f>
        <v>12.759412657182299</v>
      </c>
      <c r="L910" s="448">
        <f>calcR2LOB1Disc1EmpCount+calcR2LOB1Disc2EmpCount</f>
        <v>18.501300381655266</v>
      </c>
      <c r="M910" s="448">
        <f>calcR2LOB1Disc1EmpCount+calcR2LOB1Disc2EmpCount</f>
        <v>11.668888835704582</v>
      </c>
      <c r="N910" s="131" t="s">
        <v>8337</v>
      </c>
    </row>
    <row r="911" spans="1:14" ht="12.75" customHeight="1">
      <c r="A911" s="461"/>
      <c r="C911" s="131" t="s">
        <v>556</v>
      </c>
      <c r="E911" s="448">
        <f>COUNTIF(E$608:E$619,"&gt;0")+cbalLOB1NumProdClinician15</f>
        <v>12.55</v>
      </c>
      <c r="F911" s="448">
        <f>COUNTIF(F$608:F$619,"&gt;0")+cbalLOB1NumProdClinician15</f>
        <v>20.283475000000003</v>
      </c>
      <c r="G911" s="448">
        <f>COUNTIF(G$608:G$619,"&gt;0")+cbalLOB1NumProdClinician15</f>
        <v>12.089928571428571</v>
      </c>
      <c r="H911" s="131" t="s">
        <v>8288</v>
      </c>
      <c r="K911" s="448">
        <f>COUNTIF(K$608:K$619,"&gt;0")+cbalR2LOB1NumProdClinician15</f>
        <v>11.054011506529363</v>
      </c>
      <c r="L911" s="448">
        <f>COUNTIF(L$608:L$619,"&gt;0")+cbalR2LOB1NumProdClinician15</f>
        <v>18.570078116255601</v>
      </c>
      <c r="M911" s="448">
        <f>COUNTIF(M$608:M$619,"&gt;0")+cbalR2LOB1NumProdClinician15</f>
        <v>10.827261611057232</v>
      </c>
      <c r="N911" s="131" t="s">
        <v>8292</v>
      </c>
    </row>
    <row r="912" spans="1:14" ht="12.75" customHeight="1">
      <c r="A912" s="461"/>
      <c r="C912" s="131" t="s">
        <v>555</v>
      </c>
      <c r="E912" s="448">
        <f>COUNTIF(E$452:E$463,"&gt;0")+cbalLOB1NumProdClinician16</f>
        <v>3.5649999999999999</v>
      </c>
      <c r="F912" s="448">
        <f>COUNTIF(F$452:F$463,"&gt;0")+cbalLOB1NumProdClinician16</f>
        <v>5.8711250000000001</v>
      </c>
      <c r="G912" s="448">
        <f>COUNTIF(G$452:G$463,"&gt;0")+cbalLOB1NumProdClinician16</f>
        <v>3.8314750000000002</v>
      </c>
      <c r="H912" s="131" t="s">
        <v>8289</v>
      </c>
      <c r="K912" s="448">
        <f>COUNTIF(K$452:K$463,"&gt;0")+cbalR2LOB1NumProdClinician16</f>
        <v>3.1162034519588091</v>
      </c>
      <c r="L912" s="448">
        <f>COUNTIF(L$452:L$463,"&gt;0")+cbalR2LOB1NumProdClinician16</f>
        <v>5.3585703766576573</v>
      </c>
      <c r="M912" s="448">
        <f>COUNTIF(M$452:M$463,"&gt;0")+cbalR2LOB1NumProdClinician16</f>
        <v>3.3895415638700315</v>
      </c>
      <c r="N912" s="131" t="s">
        <v>8293</v>
      </c>
    </row>
    <row r="913" spans="1:14" ht="12.75" customHeight="1">
      <c r="A913" s="461"/>
    </row>
    <row r="914" spans="1:14" ht="12.75" customHeight="1">
      <c r="A914" s="461"/>
      <c r="C914" s="131" t="s">
        <v>2685</v>
      </c>
    </row>
    <row r="915" spans="1:14" ht="12.75" customHeight="1">
      <c r="A915" s="461"/>
      <c r="D915" s="131" t="s">
        <v>551</v>
      </c>
      <c r="E915" s="485">
        <f>COUNTIF(cbal!E$89:E$100,calc!$D915)+cbalLOB1AddFullTime</f>
        <v>29.6</v>
      </c>
      <c r="F915" s="485">
        <f>COUNTIF(cbal!F$89:F$100,calc!$D915)+cbalLOB1AddFullTime</f>
        <v>43</v>
      </c>
      <c r="G915" s="485">
        <f>COUNTIF(cbal!G$89:G$100,calc!$D915)+cbalLOB1AddFullTime</f>
        <v>24</v>
      </c>
      <c r="H915" s="131" t="s">
        <v>2686</v>
      </c>
      <c r="J915" s="131" t="s">
        <v>551</v>
      </c>
      <c r="K915" s="485">
        <f>COUNTIF(cbal!K$89:K$100,calc!$D915)+cbalR2LOB1AddFullTime</f>
        <v>29.6</v>
      </c>
      <c r="L915" s="485">
        <f>COUNTIF(cbal!L$89:L$100,calc!$D915)+cbalR2LOB1AddFullTime</f>
        <v>43</v>
      </c>
      <c r="M915" s="485">
        <f>COUNTIF(cbal!M$89:M$100,calc!$D915)+cbalR2LOB1AddFullTime</f>
        <v>24</v>
      </c>
      <c r="N915" s="131" t="s">
        <v>7667</v>
      </c>
    </row>
    <row r="916" spans="1:14" ht="12.75" customHeight="1">
      <c r="A916" s="461"/>
      <c r="D916" s="131" t="s">
        <v>553</v>
      </c>
      <c r="E916" s="485">
        <f>COUNTIF(cbal!E$89:E$100,calc!$D916)+cbalLOB1AddPartTime</f>
        <v>7.4</v>
      </c>
      <c r="F916" s="485">
        <f>COUNTIF(cbal!F$89:F$100,calc!$D916)+cbalLOB1AddPartTime</f>
        <v>14</v>
      </c>
      <c r="G916" s="485">
        <f>COUNTIF(cbal!G$89:G$100,calc!$D916)+cbalLOB1AddPartTime</f>
        <v>8</v>
      </c>
      <c r="H916" s="131" t="s">
        <v>2687</v>
      </c>
      <c r="J916" s="131" t="s">
        <v>553</v>
      </c>
      <c r="K916" s="485">
        <f>COUNTIF(cbal!K$89:K$100,calc!$D916)+cbalR2LOB1AddPartTime</f>
        <v>7.4</v>
      </c>
      <c r="L916" s="485">
        <f>COUNTIF(cbal!L$89:L$100,calc!$D916)+cbalR2LOB1AddPartTime</f>
        <v>14</v>
      </c>
      <c r="M916" s="485">
        <f>COUNTIF(cbal!M$89:M$100,calc!$D916)+cbalR2LOB1AddPartTime</f>
        <v>8</v>
      </c>
      <c r="N916" s="131" t="s">
        <v>7668</v>
      </c>
    </row>
    <row r="917" spans="1:14" ht="12.75" customHeight="1">
      <c r="A917" s="461"/>
      <c r="D917" s="131"/>
      <c r="J917" s="131"/>
    </row>
    <row r="918" spans="1:14" ht="12.75" customHeight="1">
      <c r="A918" s="461"/>
      <c r="C918" s="131" t="s">
        <v>1497</v>
      </c>
      <c r="D918" s="131"/>
      <c r="J918" s="131"/>
    </row>
    <row r="919" spans="1:14" ht="12.75" customHeight="1">
      <c r="A919" s="461"/>
      <c r="D919" s="131" t="s">
        <v>630</v>
      </c>
      <c r="E919" s="170">
        <f>IF(decLOB1Cln11Dis_R1="RN",11,IF(decLOB1Cln11Dis_R1="LPN", 13, IF(decLOB1Cln11Dis_R1="PT", 15,IF(decLOB1Cln11Dis_R1="OT",17,IF(decLOB1Cln11Dis_R1="PTA",23,IF(decLOB1Cln11Dis_R1="OTA",25,0))))))</f>
        <v>0</v>
      </c>
      <c r="F919" s="170">
        <f>IF(decLOB1Cln11Dis_R1="RN",11,IF(decLOB1Cln11Dis_R1="LPN", 13, IF(decLOB1Cln11Dis_R1="PT", 15,IF(decLOB1Cln11Dis_R1="OT",17,IF(decLOB1Cln11Dis_R1="PTA",23,IF(decLOB1Cln11Dis_R1="OTA",25,0))))))</f>
        <v>0</v>
      </c>
      <c r="G919" s="170">
        <f>IF(decLOB1Cln11Dis_R1="RN",11,IF(decLOB1Cln11Dis_R1="LPN", 13, IF(decLOB1Cln11Dis_R1="PT", 15,IF(decLOB1Cln11Dis_R1="OT",17,IF(decLOB1Cln11Dis_R1="PTA",23,IF(decLOB1Cln11Dis_R1="OTA",25,0))))))</f>
        <v>0</v>
      </c>
      <c r="J919" s="131" t="s">
        <v>630</v>
      </c>
      <c r="K919" s="170">
        <f>IF(decLOB1Cln11Dis_R2="RN",11,IF(decLOB1Cln11Dis_R2="LPN", 13, IF(decLOB1Cln11Dis_R2="PT", 15,IF(decLOB1Cln11Dis_R2="OT",17,IF(decLOB1Cln11Dis_R2="PTA",23,IF(decLOB1Cln11Dis_R2="OTA",25,0))))))</f>
        <v>0</v>
      </c>
      <c r="L919" s="170">
        <f>IF(decLOB1Cln11Dis_R2="RN",11,IF(decLOB1Cln11Dis_R2="LPN", 13, IF(decLOB1Cln11Dis_R2="PT", 15,IF(decLOB1Cln11Dis_R2="OT",17,IF(decLOB1Cln11Dis_R2="PTA",23,IF(decLOB1Cln11Dis_R2="OTA",25,0))))))</f>
        <v>0</v>
      </c>
      <c r="M919" s="170">
        <f>IF(decLOB1Cln11Dis_R2="RN",11,IF(decLOB1Cln11Dis_R2="LPN", 13, IF(decLOB1Cln11Dis_R2="PT", 15,IF(decLOB1Cln11Dis_R2="OT",17,IF(decLOB1Cln11Dis_R2="PTA",23,IF(decLOB1Cln11Dis_R2="OTA",25,0))))))</f>
        <v>0</v>
      </c>
    </row>
    <row r="920" spans="1:14" ht="12.75" customHeight="1">
      <c r="A920" s="461"/>
      <c r="D920" s="131" t="s">
        <v>2865</v>
      </c>
      <c r="E920" s="170">
        <f>IF(decLOB1Cln11Status_R1="Part-Time",1,0)</f>
        <v>0</v>
      </c>
      <c r="F920" s="170">
        <f>IF(decLOB1Cln11Status_R1="Part-Time",1,0)</f>
        <v>0</v>
      </c>
      <c r="G920" s="170">
        <f>IF(decLOB1Cln11Status_R1="Part-Time",1,0)</f>
        <v>0</v>
      </c>
      <c r="J920" s="131" t="s">
        <v>2865</v>
      </c>
      <c r="K920" s="170">
        <f>IF(decLOB1Cln11Status_R2="Part-Time",1,0)</f>
        <v>0</v>
      </c>
      <c r="L920" s="170">
        <f>IF(decLOB1Cln11Status_R2="Part-Time",1,0)</f>
        <v>0</v>
      </c>
      <c r="M920" s="170">
        <f>IF(decLOB1Cln11Status_R2="Part-Time",1,0)</f>
        <v>0</v>
      </c>
    </row>
    <row r="921" spans="1:14" ht="1.5" customHeight="1">
      <c r="A921" s="461"/>
      <c r="D921" s="449"/>
      <c r="E921" s="450"/>
      <c r="F921" s="450"/>
      <c r="G921" s="450"/>
      <c r="H921" s="131"/>
      <c r="J921" s="449"/>
      <c r="K921" s="450"/>
      <c r="L921" s="450"/>
      <c r="M921" s="450"/>
      <c r="N921" s="131"/>
    </row>
    <row r="922" spans="1:14" ht="12.75" customHeight="1">
      <c r="A922" s="461"/>
      <c r="D922" s="131" t="s">
        <v>2866</v>
      </c>
      <c r="E922" s="170">
        <f>SUM(E919:E921)</f>
        <v>0</v>
      </c>
      <c r="F922" s="170">
        <f t="shared" ref="F922:G922" si="105">SUM(F919:F921)</f>
        <v>0</v>
      </c>
      <c r="G922" s="170">
        <f t="shared" si="105"/>
        <v>0</v>
      </c>
      <c r="H922" s="131" t="s">
        <v>2867</v>
      </c>
      <c r="J922" s="131" t="s">
        <v>2866</v>
      </c>
      <c r="K922" s="170">
        <f>SUM(K919:K921)</f>
        <v>0</v>
      </c>
      <c r="L922" s="170">
        <f t="shared" ref="L922:M922" si="106">SUM(L919:L921)</f>
        <v>0</v>
      </c>
      <c r="M922" s="170">
        <f t="shared" si="106"/>
        <v>0</v>
      </c>
      <c r="N922" s="131" t="s">
        <v>6619</v>
      </c>
    </row>
    <row r="923" spans="1:14" ht="12.75" customHeight="1">
      <c r="A923" s="461"/>
      <c r="D923" s="131"/>
      <c r="J923" s="131"/>
    </row>
    <row r="924" spans="1:14" ht="12.75" customHeight="1">
      <c r="A924" s="461"/>
      <c r="D924" s="131" t="s">
        <v>1498</v>
      </c>
      <c r="J924" s="131" t="s">
        <v>1498</v>
      </c>
    </row>
    <row r="925" spans="1:14" ht="12.75" customHeight="1">
      <c r="A925" s="461"/>
      <c r="D925" s="131" t="s">
        <v>630</v>
      </c>
      <c r="E925" s="170">
        <f>IF(decLOB1Cln12Dis_R1="RN",11,IF(decLOB1Cln12Dis_R1="LPN", 13, IF(decLOB1Cln12Dis_R1="PT", 15,IF(decLOB1Cln12Dis_R1="OT",17,IF(decLOB1Cln12Dis_R1="PTA",23,IF(decLOB1Cln12Dis_R1="OTA",25,0))))))</f>
        <v>0</v>
      </c>
      <c r="F925" s="170">
        <f>IF(decLOB1Cln12Dis_R1="RN",11,IF(decLOB1Cln12Dis_R1="LPN", 13, IF(decLOB1Cln12Dis_R1="PT", 15,IF(decLOB1Cln12Dis_R1="OT",17,IF(decLOB1Cln12Dis_R1="PTA",23,IF(decLOB1Cln12Dis_R1="OTA",25,0))))))</f>
        <v>0</v>
      </c>
      <c r="G925" s="170">
        <f>IF(decLOB1Cln12Dis_R1="RN",11,IF(decLOB1Cln12Dis_R1="LPN", 13, IF(decLOB1Cln12Dis_R1="PT", 15,IF(decLOB1Cln12Dis_R1="OT",17,IF(decLOB1Cln12Dis_R1="PTA",23,IF(decLOB1Cln12Dis_R1="OTA",25,0))))))</f>
        <v>0</v>
      </c>
      <c r="J925" s="131" t="s">
        <v>630</v>
      </c>
      <c r="K925" s="170">
        <f>IF(decLOB1Cln12Dis_R2="RN",11,IF(decLOB1Cln12Dis_R2="LPN", 13, IF(decLOB1Cln12Dis_R2="PT", 15,IF(decLOB1Cln12Dis_R2="OT",17,IF(decLOB1Cln12Dis_R2="PTA",23,IF(decLOB1Cln12Dis_R2="OTA",25,0))))))</f>
        <v>0</v>
      </c>
      <c r="L925" s="170">
        <f>IF(decLOB1Cln12Dis_R2="RN",11,IF(decLOB1Cln12Dis_R2="LPN", 13, IF(decLOB1Cln12Dis_R2="PT", 15,IF(decLOB1Cln12Dis_R2="OT",17,IF(decLOB1Cln12Dis_R2="PTA",23,IF(decLOB1Cln12Dis_R2="OTA",25,0))))))</f>
        <v>0</v>
      </c>
      <c r="M925" s="170">
        <f>IF(decLOB1Cln12Dis_R2="RN",11,IF(decLOB1Cln12Dis_R2="LPN", 13, IF(decLOB1Cln12Dis_R2="PT", 15,IF(decLOB1Cln12Dis_R2="OT",17,IF(decLOB1Cln12Dis_R2="PTA",23,IF(decLOB1Cln12Dis_R2="OTA",25,0))))))</f>
        <v>0</v>
      </c>
    </row>
    <row r="926" spans="1:14" ht="12.75" customHeight="1">
      <c r="A926" s="461"/>
      <c r="D926" s="131" t="s">
        <v>2865</v>
      </c>
      <c r="E926" s="170">
        <f>IF(decLOB1Cln12Status_R1="Part-Time",1,0)</f>
        <v>0</v>
      </c>
      <c r="F926" s="170">
        <f>IF(decLOB1Cln12Status_R1="Part-Time",1,0)</f>
        <v>0</v>
      </c>
      <c r="G926" s="170">
        <f>IF(decLOB1Cln12Status_R1="Part-Time",1,0)</f>
        <v>0</v>
      </c>
      <c r="J926" s="131" t="s">
        <v>2865</v>
      </c>
      <c r="K926" s="170">
        <f>IF(decLOB1Cln12Status_R2="Part-Time",1,0)</f>
        <v>0</v>
      </c>
      <c r="L926" s="170">
        <f>IF(decLOB1Cln12Status_R2="Part-Time",1,0)</f>
        <v>0</v>
      </c>
      <c r="M926" s="170">
        <f>IF(decLOB1Cln12Status_R2="Part-Time",1,0)</f>
        <v>0</v>
      </c>
    </row>
    <row r="927" spans="1:14" ht="1.5" customHeight="1">
      <c r="A927" s="461"/>
      <c r="D927" s="449"/>
      <c r="E927" s="450"/>
      <c r="F927" s="450"/>
      <c r="G927" s="450"/>
      <c r="H927" s="131"/>
      <c r="J927" s="449"/>
      <c r="K927" s="450"/>
      <c r="L927" s="450"/>
      <c r="M927" s="450"/>
      <c r="N927" s="131"/>
    </row>
    <row r="928" spans="1:14" ht="12.75" customHeight="1">
      <c r="A928" s="461"/>
      <c r="D928" s="131" t="s">
        <v>2866</v>
      </c>
      <c r="E928" s="170">
        <f>SUM(E925:E927)</f>
        <v>0</v>
      </c>
      <c r="F928" s="170">
        <f t="shared" ref="F928" si="107">SUM(F925:F927)</f>
        <v>0</v>
      </c>
      <c r="G928" s="170">
        <f t="shared" ref="G928" si="108">SUM(G925:G927)</f>
        <v>0</v>
      </c>
      <c r="H928" s="131" t="s">
        <v>2918</v>
      </c>
      <c r="J928" s="131" t="s">
        <v>2866</v>
      </c>
      <c r="K928" s="170">
        <f>SUM(K925:K927)</f>
        <v>0</v>
      </c>
      <c r="L928" s="170">
        <f t="shared" ref="L928:M928" si="109">SUM(L925:L927)</f>
        <v>0</v>
      </c>
      <c r="M928" s="170">
        <f t="shared" si="109"/>
        <v>0</v>
      </c>
      <c r="N928" s="131" t="s">
        <v>6620</v>
      </c>
    </row>
    <row r="929" spans="1:14" ht="12.75" customHeight="1">
      <c r="A929" s="461"/>
    </row>
    <row r="930" spans="1:14" ht="12.75" customHeight="1">
      <c r="A930" s="461"/>
      <c r="C930" s="87" t="s">
        <v>2969</v>
      </c>
      <c r="K930" s="757"/>
      <c r="L930" s="504"/>
    </row>
    <row r="931" spans="1:14" ht="12.75" customHeight="1">
      <c r="A931" s="461"/>
      <c r="C931" s="504">
        <v>0.8</v>
      </c>
      <c r="D931" s="131" t="s">
        <v>561</v>
      </c>
      <c r="E931" s="504">
        <f>$C931</f>
        <v>0.8</v>
      </c>
      <c r="F931" s="686">
        <v>0.9</v>
      </c>
      <c r="G931" s="686">
        <v>1.02</v>
      </c>
      <c r="H931" s="170" t="s">
        <v>2954</v>
      </c>
      <c r="J931" s="131" t="s">
        <v>561</v>
      </c>
      <c r="K931" s="758">
        <f>$C$931-($C931*K976)/10</f>
        <v>0.74</v>
      </c>
      <c r="L931" s="686">
        <v>0.98</v>
      </c>
      <c r="M931" s="686">
        <v>1.02</v>
      </c>
      <c r="N931" s="170" t="s">
        <v>6621</v>
      </c>
    </row>
    <row r="932" spans="1:14" ht="12.75" customHeight="1">
      <c r="A932" s="461"/>
      <c r="C932" s="480">
        <v>0</v>
      </c>
      <c r="D932" s="131" t="s">
        <v>562</v>
      </c>
      <c r="E932" s="504">
        <f t="shared" ref="E932:G936" si="110">$C932</f>
        <v>0</v>
      </c>
      <c r="F932" s="504">
        <f t="shared" si="110"/>
        <v>0</v>
      </c>
      <c r="G932" s="504">
        <f t="shared" si="110"/>
        <v>0</v>
      </c>
      <c r="H932" s="170" t="s">
        <v>2955</v>
      </c>
      <c r="J932" s="131" t="s">
        <v>562</v>
      </c>
      <c r="K932" s="504">
        <f t="shared" ref="K932:M936" si="111">$C932</f>
        <v>0</v>
      </c>
      <c r="L932" s="504">
        <f t="shared" si="111"/>
        <v>0</v>
      </c>
      <c r="M932" s="504">
        <f t="shared" si="111"/>
        <v>0</v>
      </c>
      <c r="N932" s="170" t="s">
        <v>6622</v>
      </c>
    </row>
    <row r="933" spans="1:14" ht="12.75" customHeight="1">
      <c r="A933" s="461"/>
      <c r="C933" s="480">
        <v>0</v>
      </c>
      <c r="D933" s="131" t="s">
        <v>563</v>
      </c>
      <c r="E933" s="504">
        <f t="shared" si="110"/>
        <v>0</v>
      </c>
      <c r="F933" s="504">
        <f t="shared" si="110"/>
        <v>0</v>
      </c>
      <c r="G933" s="504">
        <f t="shared" si="110"/>
        <v>0</v>
      </c>
      <c r="H933" s="170" t="s">
        <v>2956</v>
      </c>
      <c r="J933" s="131" t="s">
        <v>563</v>
      </c>
      <c r="K933" s="504">
        <f t="shared" si="111"/>
        <v>0</v>
      </c>
      <c r="L933" s="504">
        <f t="shared" si="111"/>
        <v>0</v>
      </c>
      <c r="M933" s="504">
        <f t="shared" si="111"/>
        <v>0</v>
      </c>
      <c r="N933" s="170" t="s">
        <v>6623</v>
      </c>
    </row>
    <row r="934" spans="1:14" ht="12.75" customHeight="1">
      <c r="A934" s="461"/>
      <c r="C934" s="480">
        <v>0</v>
      </c>
      <c r="D934" s="131" t="s">
        <v>564</v>
      </c>
      <c r="E934" s="504">
        <f t="shared" si="110"/>
        <v>0</v>
      </c>
      <c r="F934" s="504">
        <f t="shared" si="110"/>
        <v>0</v>
      </c>
      <c r="G934" s="504">
        <f t="shared" si="110"/>
        <v>0</v>
      </c>
      <c r="H934" s="170" t="s">
        <v>2957</v>
      </c>
      <c r="J934" s="131" t="s">
        <v>564</v>
      </c>
      <c r="K934" s="504">
        <f t="shared" si="111"/>
        <v>0</v>
      </c>
      <c r="L934" s="504">
        <f t="shared" si="111"/>
        <v>0</v>
      </c>
      <c r="M934" s="504">
        <f t="shared" si="111"/>
        <v>0</v>
      </c>
      <c r="N934" s="170" t="s">
        <v>6624</v>
      </c>
    </row>
    <row r="935" spans="1:14" ht="12.75" customHeight="1">
      <c r="A935" s="461"/>
      <c r="C935" s="480">
        <v>0</v>
      </c>
      <c r="D935" s="131" t="s">
        <v>565</v>
      </c>
      <c r="E935" s="504">
        <f t="shared" si="110"/>
        <v>0</v>
      </c>
      <c r="F935" s="504">
        <f t="shared" si="110"/>
        <v>0</v>
      </c>
      <c r="G935" s="504">
        <f t="shared" si="110"/>
        <v>0</v>
      </c>
      <c r="H935" s="170" t="s">
        <v>2958</v>
      </c>
      <c r="J935" s="131" t="s">
        <v>565</v>
      </c>
      <c r="K935" s="504">
        <f t="shared" si="111"/>
        <v>0</v>
      </c>
      <c r="L935" s="504">
        <f t="shared" si="111"/>
        <v>0</v>
      </c>
      <c r="M935" s="504">
        <f t="shared" si="111"/>
        <v>0</v>
      </c>
      <c r="N935" s="170" t="s">
        <v>6625</v>
      </c>
    </row>
    <row r="936" spans="1:14" ht="12.75" customHeight="1">
      <c r="A936" s="461"/>
      <c r="C936" s="480">
        <v>0</v>
      </c>
      <c r="D936" s="131" t="s">
        <v>566</v>
      </c>
      <c r="E936" s="504">
        <f t="shared" si="110"/>
        <v>0</v>
      </c>
      <c r="F936" s="504">
        <f t="shared" si="110"/>
        <v>0</v>
      </c>
      <c r="G936" s="504">
        <f t="shared" si="110"/>
        <v>0</v>
      </c>
      <c r="H936" s="170" t="s">
        <v>2959</v>
      </c>
      <c r="J936" s="131" t="s">
        <v>566</v>
      </c>
      <c r="K936" s="504">
        <f t="shared" si="111"/>
        <v>0</v>
      </c>
      <c r="L936" s="504">
        <f t="shared" si="111"/>
        <v>0</v>
      </c>
      <c r="M936" s="504">
        <f t="shared" si="111"/>
        <v>0</v>
      </c>
      <c r="N936" s="170" t="s">
        <v>6626</v>
      </c>
    </row>
    <row r="937" spans="1:14" ht="1.5" customHeight="1">
      <c r="A937" s="461"/>
      <c r="D937" s="449"/>
      <c r="E937" s="450"/>
      <c r="F937" s="450"/>
      <c r="G937" s="450"/>
      <c r="H937" s="131"/>
      <c r="J937" s="449"/>
      <c r="K937" s="450"/>
      <c r="L937" s="450"/>
      <c r="M937" s="450"/>
      <c r="N937" s="131"/>
    </row>
    <row r="938" spans="1:14" ht="12.75" customHeight="1">
      <c r="A938" s="461"/>
      <c r="D938" s="131" t="s">
        <v>13</v>
      </c>
      <c r="E938" s="504">
        <f>SUM(E931:E937)</f>
        <v>0.8</v>
      </c>
      <c r="F938" s="504">
        <f t="shared" ref="F938:G938" si="112">SUM(F931:F937)</f>
        <v>0.9</v>
      </c>
      <c r="G938" s="504">
        <f t="shared" si="112"/>
        <v>1.02</v>
      </c>
      <c r="H938" s="131" t="s">
        <v>2960</v>
      </c>
      <c r="J938" s="131" t="s">
        <v>13</v>
      </c>
      <c r="K938" s="504">
        <f>SUM(K931:K937)</f>
        <v>0.74</v>
      </c>
      <c r="L938" s="504">
        <f t="shared" ref="L938:M938" si="113">SUM(L931:L937)</f>
        <v>0.98</v>
      </c>
      <c r="M938" s="504">
        <f t="shared" si="113"/>
        <v>1.02</v>
      </c>
      <c r="N938" s="131" t="s">
        <v>6627</v>
      </c>
    </row>
    <row r="939" spans="1:14" ht="12.75" customHeight="1">
      <c r="A939" s="461"/>
    </row>
    <row r="940" spans="1:14" ht="12.75" customHeight="1">
      <c r="A940" s="461"/>
      <c r="C940" s="87" t="s">
        <v>2968</v>
      </c>
    </row>
    <row r="941" spans="1:14" ht="12.75" customHeight="1">
      <c r="A941" s="461"/>
      <c r="C941" s="504">
        <v>0.7</v>
      </c>
      <c r="D941" s="131" t="s">
        <v>561</v>
      </c>
      <c r="E941" s="504">
        <f>calcLOB1DOOBaseTime1*paramLOB1DOOProductivity</f>
        <v>0.8</v>
      </c>
      <c r="F941" s="504">
        <f>calcLOB1DOOBaseTime1*paramLOB1DOOProductivity</f>
        <v>0.9</v>
      </c>
      <c r="G941" s="504">
        <f>calcLOB1DOOBaseTime1*paramLOB1DOOProductivity</f>
        <v>1.02</v>
      </c>
      <c r="H941" s="170" t="s">
        <v>2961</v>
      </c>
      <c r="J941" s="131" t="s">
        <v>561</v>
      </c>
      <c r="K941" s="504">
        <f>calcR2LOB1DOOBaseTime1*paramR2LOB1DOOProductivity</f>
        <v>0.74</v>
      </c>
      <c r="L941" s="504">
        <f>calcR2LOB1DOOBaseTime1*paramR2LOB1DOOProductivity</f>
        <v>0.98</v>
      </c>
      <c r="M941" s="504">
        <f>calcR2LOB1DOOBaseTime1*paramR2LOB1DOOProductivity</f>
        <v>1.02</v>
      </c>
      <c r="N941" s="170" t="s">
        <v>6628</v>
      </c>
    </row>
    <row r="942" spans="1:14" ht="12.75" customHeight="1">
      <c r="A942" s="461"/>
      <c r="C942" s="480">
        <v>0.05</v>
      </c>
      <c r="D942" s="131" t="s">
        <v>562</v>
      </c>
      <c r="E942" s="504">
        <f>calcLOB1DOOBaseTime2+(paramLOB1DOOTime2-1)</f>
        <v>0</v>
      </c>
      <c r="F942" s="504">
        <f>calcLOB1DOOBaseTime2+(paramLOB1DOOTime2-1)</f>
        <v>0</v>
      </c>
      <c r="G942" s="504">
        <f>calcLOB1DOOBaseTime2+(paramLOB1DOOTime2-1)</f>
        <v>0</v>
      </c>
      <c r="H942" s="170" t="s">
        <v>2962</v>
      </c>
      <c r="J942" s="131" t="s">
        <v>562</v>
      </c>
      <c r="K942" s="504">
        <f>calcR2LOB1DOOBaseTime2+(paramR2LOB1DOOTime2-1)</f>
        <v>0</v>
      </c>
      <c r="L942" s="504">
        <f>calcR2LOB1DOOBaseTime2+(paramR2LOB1DOOTime2-1)</f>
        <v>0</v>
      </c>
      <c r="M942" s="504">
        <f>calcR2LOB1DOOBaseTime2+(paramR2LOB1DOOTime2-1)</f>
        <v>0</v>
      </c>
      <c r="N942" s="170" t="s">
        <v>6629</v>
      </c>
    </row>
    <row r="943" spans="1:14" ht="12.75" customHeight="1">
      <c r="A943" s="461"/>
      <c r="C943" s="480">
        <v>0.05</v>
      </c>
      <c r="D943" s="131" t="s">
        <v>563</v>
      </c>
      <c r="E943" s="504">
        <f>calcLOB1DOOBaseTime2+(paramLOB1DOOTime3-1)</f>
        <v>0</v>
      </c>
      <c r="F943" s="504">
        <f>calcLOB1DOOBaseTime2+(paramLOB1DOOTime3-1)</f>
        <v>0</v>
      </c>
      <c r="G943" s="504">
        <f>calcLOB1DOOBaseTime2+(paramLOB1DOOTime3-1)</f>
        <v>0</v>
      </c>
      <c r="H943" s="170" t="s">
        <v>2963</v>
      </c>
      <c r="J943" s="131" t="s">
        <v>563</v>
      </c>
      <c r="K943" s="504">
        <f>calcR2LOB1DOOBaseTime2+(paramR2LOB1DOOTime3-1)</f>
        <v>0</v>
      </c>
      <c r="L943" s="504">
        <f>calcR2LOB1DOOBaseTime2+(paramR2LOB1DOOTime3-1)</f>
        <v>0</v>
      </c>
      <c r="M943" s="504">
        <f>calcR2LOB1DOOBaseTime2+(paramR2LOB1DOOTime3-1)</f>
        <v>0</v>
      </c>
      <c r="N943" s="170" t="s">
        <v>6630</v>
      </c>
    </row>
    <row r="944" spans="1:14" ht="12.75" customHeight="1">
      <c r="A944" s="461"/>
      <c r="C944" s="480">
        <v>0.05</v>
      </c>
      <c r="D944" s="131" t="s">
        <v>564</v>
      </c>
      <c r="E944" s="504">
        <f>calcLOB1DOOBaseTime2+(paramLOB1DOOTime4-1)</f>
        <v>0</v>
      </c>
      <c r="F944" s="504">
        <f>calcLOB1DOOBaseTime2+(paramLOB1DOOTime4-1)</f>
        <v>0</v>
      </c>
      <c r="G944" s="504">
        <f>calcLOB1DOOBaseTime2+(paramLOB1DOOTime4-1)</f>
        <v>0</v>
      </c>
      <c r="H944" s="170" t="s">
        <v>2964</v>
      </c>
      <c r="J944" s="131" t="s">
        <v>564</v>
      </c>
      <c r="K944" s="504">
        <f>calcR2LOB1DOOBaseTime2+(paramR2LOB1DOOTime4-1)</f>
        <v>0</v>
      </c>
      <c r="L944" s="504">
        <f>calcR2LOB1DOOBaseTime2+(paramR2LOB1DOOTime4-1)</f>
        <v>0</v>
      </c>
      <c r="M944" s="504">
        <f>calcR2LOB1DOOBaseTime2+(paramR2LOB1DOOTime4-1)</f>
        <v>0</v>
      </c>
      <c r="N944" s="170" t="s">
        <v>6631</v>
      </c>
    </row>
    <row r="945" spans="1:16" ht="12.75" customHeight="1">
      <c r="A945" s="461"/>
      <c r="C945" s="480">
        <v>0.05</v>
      </c>
      <c r="D945" s="131" t="s">
        <v>565</v>
      </c>
      <c r="E945" s="504">
        <f>calcLOB1DOOBaseTime2+(paramLOB1DOOTime5-1)</f>
        <v>0</v>
      </c>
      <c r="F945" s="504">
        <f>calcLOB1DOOBaseTime2+(paramLOB1DOOTime5-1)</f>
        <v>0</v>
      </c>
      <c r="G945" s="504">
        <f>calcLOB1DOOBaseTime2+(paramLOB1DOOTime5-1)</f>
        <v>0</v>
      </c>
      <c r="H945" s="170" t="s">
        <v>2965</v>
      </c>
      <c r="J945" s="131" t="s">
        <v>565</v>
      </c>
      <c r="K945" s="504">
        <f>calcR2LOB1DOOBaseTime2+(paramR2LOB1DOOTime5-1)</f>
        <v>0</v>
      </c>
      <c r="L945" s="504">
        <f>calcR2LOB1DOOBaseTime2+(paramR2LOB1DOOTime5-1)</f>
        <v>0</v>
      </c>
      <c r="M945" s="504">
        <f>calcR2LOB1DOOBaseTime2+(paramR2LOB1DOOTime5-1)</f>
        <v>0</v>
      </c>
      <c r="N945" s="170" t="s">
        <v>6632</v>
      </c>
    </row>
    <row r="946" spans="1:16" ht="12.75" customHeight="1">
      <c r="A946" s="461"/>
      <c r="C946" s="480">
        <v>0.05</v>
      </c>
      <c r="D946" s="131" t="s">
        <v>566</v>
      </c>
      <c r="E946" s="504">
        <f>calcLOB1DOOBaseTime2+(paramLOB1DOOTime6-1)</f>
        <v>0</v>
      </c>
      <c r="F946" s="504">
        <f>calcLOB1DOOBaseTime2+(paramLOB1DOOTime6-1)</f>
        <v>0</v>
      </c>
      <c r="G946" s="504">
        <f>calcLOB1DOOBaseTime2+(paramLOB1DOOTime6-1)</f>
        <v>0</v>
      </c>
      <c r="H946" s="170" t="s">
        <v>2966</v>
      </c>
      <c r="J946" s="131" t="s">
        <v>566</v>
      </c>
      <c r="K946" s="504">
        <f>calcR2LOB1DOOBaseTime2+(paramR2LOB1DOOTime6-1)</f>
        <v>0</v>
      </c>
      <c r="L946" s="504">
        <f>calcR2LOB1DOOBaseTime2+(paramR2LOB1DOOTime6-1)</f>
        <v>0</v>
      </c>
      <c r="M946" s="504">
        <f>calcR2LOB1DOOBaseTime2+(paramR2LOB1DOOTime6-1)</f>
        <v>0</v>
      </c>
      <c r="N946" s="170" t="s">
        <v>6633</v>
      </c>
    </row>
    <row r="947" spans="1:16" ht="1.5" customHeight="1">
      <c r="A947" s="461"/>
      <c r="D947" s="449"/>
      <c r="E947" s="450"/>
      <c r="F947" s="450"/>
      <c r="G947" s="450"/>
      <c r="H947" s="131"/>
      <c r="J947" s="449"/>
      <c r="K947" s="450"/>
      <c r="L947" s="450"/>
      <c r="M947" s="450"/>
      <c r="N947" s="131"/>
    </row>
    <row r="948" spans="1:16" ht="12.75" customHeight="1">
      <c r="A948" s="461"/>
      <c r="D948" s="131" t="s">
        <v>13</v>
      </c>
      <c r="E948" s="504">
        <f>SUM(E941:E947)</f>
        <v>0.8</v>
      </c>
      <c r="F948" s="504">
        <f t="shared" ref="F948" si="114">SUM(F941:F947)</f>
        <v>0.9</v>
      </c>
      <c r="G948" s="504">
        <f t="shared" ref="G948" si="115">SUM(G941:G947)</f>
        <v>1.02</v>
      </c>
      <c r="H948" s="131" t="s">
        <v>2967</v>
      </c>
      <c r="J948" s="131" t="s">
        <v>13</v>
      </c>
      <c r="K948" s="504">
        <f>SUM(K941:K947)</f>
        <v>0.74</v>
      </c>
      <c r="L948" s="504">
        <f t="shared" ref="L948:M948" si="116">SUM(L941:L947)</f>
        <v>0.98</v>
      </c>
      <c r="M948" s="504">
        <f t="shared" si="116"/>
        <v>1.02</v>
      </c>
      <c r="N948" s="131" t="s">
        <v>6634</v>
      </c>
    </row>
    <row r="949" spans="1:16" ht="12.75" customHeight="1">
      <c r="A949" s="461"/>
    </row>
    <row r="950" spans="1:16" ht="12.75" customHeight="1">
      <c r="A950" s="461"/>
      <c r="C950" s="87" t="s">
        <v>2970</v>
      </c>
    </row>
    <row r="951" spans="1:16" ht="12.75" customHeight="1">
      <c r="A951" s="461"/>
      <c r="C951" s="504">
        <v>0.7</v>
      </c>
      <c r="D951" s="131" t="s">
        <v>561</v>
      </c>
      <c r="E951" s="504">
        <f>calcLOB1DOOBaseTime1*paramLOB1DOOProductivity</f>
        <v>0.8</v>
      </c>
      <c r="F951" s="504">
        <f>calcLOB1DOOBaseTime1*paramLOB1DOOProductivity</f>
        <v>0.9</v>
      </c>
      <c r="G951" s="504">
        <f>calcLOB1DOOBaseTime1*paramLOB1DOOProductivity</f>
        <v>1.02</v>
      </c>
      <c r="H951" s="170" t="s">
        <v>2971</v>
      </c>
      <c r="J951" s="131" t="s">
        <v>561</v>
      </c>
      <c r="K951" s="504">
        <f>calcR2LOB1DOOBaseTime1*paramR2LOB1DOOProductivity</f>
        <v>0.74</v>
      </c>
      <c r="L951" s="504">
        <f>calcR2LOB1DOOBaseTime1*paramR2LOB1DOOProductivity</f>
        <v>0.98</v>
      </c>
      <c r="M951" s="504">
        <f>calcR2LOB1DOOBaseTime1*paramR2LOB1DOOProductivity</f>
        <v>1.02</v>
      </c>
      <c r="N951" s="170" t="s">
        <v>6635</v>
      </c>
    </row>
    <row r="952" spans="1:16" ht="12.75" customHeight="1">
      <c r="A952" s="461"/>
      <c r="C952" s="480">
        <v>0.05</v>
      </c>
      <c r="D952" s="131" t="s">
        <v>562</v>
      </c>
      <c r="E952" s="504">
        <f>MAX(calcLOB1DOOActionTime2+0,calcLOB1DOOActionTime2+decLOB1DOOAdjTime2_R1)</f>
        <v>0</v>
      </c>
      <c r="F952" s="504">
        <f>MAX(calcLOB1DOOActionTime2+0,calcLOB1DOOActionTime2+decLOB1DOOAdjTime2_R1)</f>
        <v>0</v>
      </c>
      <c r="G952" s="504">
        <f>MAX(calcLOB1DOOActionTime2+0,calcLOB1DOOActionTime2+decLOB1DOOAdjTime2_R1)</f>
        <v>0</v>
      </c>
      <c r="H952" s="170" t="s">
        <v>2972</v>
      </c>
      <c r="J952" s="131" t="s">
        <v>562</v>
      </c>
      <c r="K952" s="504">
        <f>MAX(calcR2LOB1DOOActionTime2+0,calcR2LOB1DOOActionTime2+decLOB1DOOAdjTime2_R2)</f>
        <v>0</v>
      </c>
      <c r="L952" s="504">
        <f>MAX(calcR2LOB1DOOActionTime2+0,calcR2LOB1DOOActionTime2+decLOB1DOOAdjTime2_R2)</f>
        <v>0</v>
      </c>
      <c r="M952" s="504">
        <f>MAX(calcR2LOB1DOOActionTime2+0,calcR2LOB1DOOActionTime2+decLOB1DOOAdjTime2_R2)</f>
        <v>0</v>
      </c>
      <c r="N952" s="170" t="s">
        <v>6636</v>
      </c>
    </row>
    <row r="953" spans="1:16" ht="12.75" customHeight="1">
      <c r="A953" s="461"/>
      <c r="C953" s="480">
        <v>0.05</v>
      </c>
      <c r="D953" s="131" t="s">
        <v>563</v>
      </c>
      <c r="E953" s="504">
        <f>MAX(calcLOB1DOOActionTime3+0,calcLOB1DOOActionTime3+decLOB1DOOAdjTime3_R1)</f>
        <v>0</v>
      </c>
      <c r="F953" s="504">
        <f>MAX(calcLOB1DOOActionTime3+0,calcLOB1DOOActionTime3+decLOB1DOOAdjTime3_R1)</f>
        <v>0.03</v>
      </c>
      <c r="G953" s="504">
        <f>MAX(calcLOB1DOOActionTime3+0,calcLOB1DOOActionTime3+decLOB1DOOAdjTime3_R1)</f>
        <v>0.01</v>
      </c>
      <c r="H953" s="170" t="s">
        <v>2973</v>
      </c>
      <c r="J953" s="131" t="s">
        <v>563</v>
      </c>
      <c r="K953" s="504">
        <f>MAX(calcR2LOB1DOOActionTime3+0,calcR2LOB1DOOActionTime3+decLOB1DOOAdjTime3_R2)</f>
        <v>0</v>
      </c>
      <c r="L953" s="504">
        <f>MAX(calcR2LOB1DOOActionTime3+0,calcR2LOB1DOOActionTime3+decLOB1DOOAdjTime3_R2)</f>
        <v>0.03</v>
      </c>
      <c r="M953" s="504">
        <f>MAX(calcR2LOB1DOOActionTime3+0,calcR2LOB1DOOActionTime3+decLOB1DOOAdjTime3_R2)</f>
        <v>0.05</v>
      </c>
      <c r="N953" s="170" t="s">
        <v>6637</v>
      </c>
    </row>
    <row r="954" spans="1:16" ht="12.75" customHeight="1">
      <c r="A954" s="461"/>
      <c r="C954" s="480">
        <v>0.05</v>
      </c>
      <c r="D954" s="131" t="s">
        <v>564</v>
      </c>
      <c r="E954" s="504">
        <f>MAX(calcLOB1DOOActionTime4+0,calcLOB1DOOActionTime4+decLOB1DOOAdjTime4_R1)</f>
        <v>0</v>
      </c>
      <c r="F954" s="504">
        <f>MAX(calcLOB1DOOActionTime4+0,calcLOB1DOOActionTime4+decLOB1DOOAdjTime4_R1)</f>
        <v>0</v>
      </c>
      <c r="G954" s="504">
        <f>MAX(calcLOB1DOOActionTime4+0,calcLOB1DOOActionTime4+decLOB1DOOAdjTime4_R1)</f>
        <v>0</v>
      </c>
      <c r="H954" s="170" t="s">
        <v>2974</v>
      </c>
      <c r="J954" s="131" t="s">
        <v>564</v>
      </c>
      <c r="K954" s="504">
        <f>MAX(calcR2LOB1DOOActionTime4+0,calcR2LOB1DOOActionTime4+decLOB1DOOAdjTime4_R2)</f>
        <v>0</v>
      </c>
      <c r="L954" s="504">
        <f>MAX(calcR2LOB1DOOActionTime4+0,calcR2LOB1DOOActionTime4+decLOB1DOOAdjTime4_R2)</f>
        <v>0</v>
      </c>
      <c r="M954" s="504">
        <f>MAX(calcR2LOB1DOOActionTime4+0,calcR2LOB1DOOActionTime4+decLOB1DOOAdjTime4_R2)</f>
        <v>0</v>
      </c>
      <c r="N954" s="170" t="s">
        <v>6638</v>
      </c>
    </row>
    <row r="955" spans="1:16" ht="12.75" customHeight="1">
      <c r="A955" s="461"/>
      <c r="C955" s="480">
        <v>0.05</v>
      </c>
      <c r="D955" s="131" t="s">
        <v>565</v>
      </c>
      <c r="E955" s="504">
        <f>MAX(calcLOB1DOOActionTime5+0,calcLOB1DOOActionTime5+decLOB1DOOAdjTime5_R1)</f>
        <v>0</v>
      </c>
      <c r="F955" s="504">
        <f>MAX(calcLOB1DOOActionTime5+0,calcLOB1DOOActionTime5+decLOB1DOOAdjTime5_R1)</f>
        <v>0</v>
      </c>
      <c r="G955" s="504">
        <f>MAX(calcLOB1DOOActionTime5+0,calcLOB1DOOActionTime5+decLOB1DOOAdjTime5_R1)</f>
        <v>0</v>
      </c>
      <c r="H955" s="170" t="s">
        <v>2975</v>
      </c>
      <c r="J955" s="131" t="s">
        <v>565</v>
      </c>
      <c r="K955" s="504">
        <f>MAX(calcR2LOB1DOOActionTime5+0,calcR2LOB1DOOActionTime5+decLOB1DOOAdjTime5_R2)</f>
        <v>0</v>
      </c>
      <c r="L955" s="504">
        <f>MAX(calcR2LOB1DOOActionTime5+0,calcR2LOB1DOOActionTime5+decLOB1DOOAdjTime5_R2)</f>
        <v>0</v>
      </c>
      <c r="M955" s="504">
        <f>MAX(calcR2LOB1DOOActionTime5+0,calcR2LOB1DOOActionTime5+decLOB1DOOAdjTime5_R2)</f>
        <v>0</v>
      </c>
      <c r="N955" s="170" t="s">
        <v>6639</v>
      </c>
    </row>
    <row r="956" spans="1:16" ht="12.75" customHeight="1">
      <c r="A956" s="461"/>
      <c r="C956" s="480">
        <v>0.05</v>
      </c>
      <c r="D956" s="131" t="s">
        <v>566</v>
      </c>
      <c r="E956" s="504">
        <f>MAX(calcLOB1DOOActionTime6+0,calcLOB1DOOActionTime6+decLOB1DOOAdjTime6_R1)</f>
        <v>0</v>
      </c>
      <c r="F956" s="504">
        <f>MAX(calcLOB1DOOActionTime6+0,calcLOB1DOOActionTime6+decLOB1DOOAdjTime6_R1)</f>
        <v>0</v>
      </c>
      <c r="G956" s="504">
        <f>MAX(calcLOB1DOOActionTime6+0,calcLOB1DOOActionTime6+decLOB1DOOAdjTime6_R1)</f>
        <v>0</v>
      </c>
      <c r="H956" s="170" t="s">
        <v>2976</v>
      </c>
      <c r="J956" s="131" t="s">
        <v>566</v>
      </c>
      <c r="K956" s="504">
        <f>MAX(calcR2LOB1DOOActionTime6+0,calcR2LOB1DOOActionTime6+decLOB1DOOAdjTime6_R2)</f>
        <v>0</v>
      </c>
      <c r="L956" s="504">
        <f>MAX(calcR2LOB1DOOActionTime6+0,calcR2LOB1DOOActionTime6+decLOB1DOOAdjTime6_R2)</f>
        <v>0</v>
      </c>
      <c r="M956" s="504">
        <f>MAX(calcR2LOB1DOOActionTime6+0,calcR2LOB1DOOActionTime6+decLOB1DOOAdjTime6_R2)</f>
        <v>0</v>
      </c>
      <c r="N956" s="170" t="s">
        <v>6640</v>
      </c>
    </row>
    <row r="957" spans="1:16" ht="1.5" customHeight="1">
      <c r="A957" s="461"/>
      <c r="D957" s="449"/>
      <c r="E957" s="450"/>
      <c r="F957" s="450"/>
      <c r="G957" s="450"/>
      <c r="H957" s="131"/>
      <c r="J957" s="449"/>
      <c r="K957" s="450"/>
      <c r="L957" s="450"/>
      <c r="M957" s="450"/>
      <c r="N957" s="131"/>
    </row>
    <row r="958" spans="1:16" ht="12.75" customHeight="1">
      <c r="A958" s="461"/>
      <c r="D958" s="131" t="s">
        <v>13</v>
      </c>
      <c r="E958" s="504">
        <f>SUM(E951:E957)</f>
        <v>0.8</v>
      </c>
      <c r="F958" s="504">
        <f t="shared" ref="F958" si="117">SUM(F951:F957)</f>
        <v>0.93</v>
      </c>
      <c r="G958" s="504">
        <f t="shared" ref="G958" si="118">SUM(G951:G957)</f>
        <v>1.03</v>
      </c>
      <c r="H958" s="131" t="s">
        <v>2977</v>
      </c>
      <c r="J958" s="131" t="s">
        <v>13</v>
      </c>
      <c r="K958" s="504">
        <f>SUM(K951:K957)</f>
        <v>0.74</v>
      </c>
      <c r="L958" s="504">
        <f t="shared" ref="L958:M958" si="119">SUM(L951:L957)</f>
        <v>1.01</v>
      </c>
      <c r="M958" s="504">
        <f t="shared" si="119"/>
        <v>1.07</v>
      </c>
      <c r="N958" s="131" t="s">
        <v>6641</v>
      </c>
      <c r="P958" s="821"/>
    </row>
    <row r="959" spans="1:16" ht="12.75" customHeight="1">
      <c r="A959" s="461"/>
      <c r="P959" s="821"/>
    </row>
    <row r="960" spans="1:16" ht="12.75" customHeight="1">
      <c r="A960" s="461"/>
      <c r="C960" s="131" t="s">
        <v>8219</v>
      </c>
      <c r="P960" s="822"/>
    </row>
    <row r="961" spans="1:17" ht="12.75" customHeight="1">
      <c r="A961" s="461"/>
      <c r="C961" s="131"/>
      <c r="D961" s="131" t="s">
        <v>3588</v>
      </c>
      <c r="E961" s="746">
        <f>COUNTIF(dec!E31:E42,"&gt;0")</f>
        <v>0</v>
      </c>
      <c r="F961" s="746">
        <f>COUNTIF(dec!F31:F42,"&gt;0")</f>
        <v>0</v>
      </c>
      <c r="G961" s="746">
        <f>COUNTIF(dec!G31:G42,"&gt;0")</f>
        <v>0</v>
      </c>
      <c r="K961" s="746">
        <f>COUNTIF(dec!K31:K42,"&gt;0")</f>
        <v>0</v>
      </c>
      <c r="L961" s="746">
        <f>COUNTIF(dec!L31:L42,"&gt;0")</f>
        <v>0</v>
      </c>
      <c r="M961" s="746">
        <f>COUNTIF(dec!M31:M42,"&gt;0")</f>
        <v>0</v>
      </c>
      <c r="P961" s="823"/>
    </row>
    <row r="962" spans="1:17" ht="12.75" customHeight="1">
      <c r="A962" s="461"/>
      <c r="C962" s="824">
        <v>-1E-3</v>
      </c>
      <c r="D962" s="131" t="s">
        <v>8220</v>
      </c>
      <c r="E962" s="451">
        <f>E961*$C$962</f>
        <v>0</v>
      </c>
      <c r="F962" s="451">
        <f t="shared" ref="F962:G962" si="120">F961*$C$962</f>
        <v>0</v>
      </c>
      <c r="G962" s="451">
        <f t="shared" si="120"/>
        <v>0</v>
      </c>
      <c r="H962" s="131" t="s">
        <v>8221</v>
      </c>
      <c r="K962" s="451">
        <f>K961*$C$962</f>
        <v>0</v>
      </c>
      <c r="L962" s="451">
        <f t="shared" ref="L962" si="121">L961*$C$962</f>
        <v>0</v>
      </c>
      <c r="M962" s="451">
        <f t="shared" ref="M962" si="122">M961*$C$962</f>
        <v>0</v>
      </c>
      <c r="N962" s="131" t="s">
        <v>8222</v>
      </c>
    </row>
    <row r="963" spans="1:17" ht="12.75" customHeight="1">
      <c r="A963" s="461"/>
    </row>
    <row r="964" spans="1:17" ht="12.75" customHeight="1">
      <c r="A964" s="461"/>
    </row>
    <row r="965" spans="1:17" ht="12.75" customHeight="1">
      <c r="A965" s="461"/>
      <c r="B965" s="607">
        <v>1</v>
      </c>
      <c r="C965" s="608" t="s">
        <v>2978</v>
      </c>
      <c r="D965" s="609"/>
      <c r="E965" s="609"/>
      <c r="F965" s="609"/>
      <c r="G965" s="609"/>
      <c r="H965" s="610"/>
      <c r="I965" s="607">
        <v>1</v>
      </c>
      <c r="J965" s="608" t="s">
        <v>2978</v>
      </c>
      <c r="K965" s="609"/>
      <c r="L965" s="609"/>
      <c r="M965" s="609"/>
      <c r="N965" s="610"/>
    </row>
    <row r="966" spans="1:17" ht="12.75" customHeight="1">
      <c r="A966" s="461"/>
      <c r="B966" s="611">
        <v>2</v>
      </c>
      <c r="C966" s="612"/>
      <c r="D966" s="613" t="s">
        <v>2979</v>
      </c>
      <c r="E966" s="614">
        <f>obalLOB1CSAT</f>
        <v>0.85</v>
      </c>
      <c r="F966" s="614">
        <f>obalLOB1CSAT</f>
        <v>0.85</v>
      </c>
      <c r="G966" s="614">
        <f>obalLOB1CSAT</f>
        <v>0.85</v>
      </c>
      <c r="H966" s="615"/>
      <c r="I966" s="611">
        <v>2</v>
      </c>
      <c r="J966" s="613" t="s">
        <v>2979</v>
      </c>
      <c r="K966" s="614">
        <f>obalR2LOB1CSAT</f>
        <v>0.8599</v>
      </c>
      <c r="L966" s="614">
        <f>obalR2LOB1CSAT</f>
        <v>0.84666999999999992</v>
      </c>
      <c r="M966" s="614">
        <f>obalR2LOB1CSAT</f>
        <v>0.82153999999999994</v>
      </c>
      <c r="N966" s="615"/>
      <c r="P966" s="170" t="s">
        <v>2979</v>
      </c>
      <c r="Q966" s="170" t="s">
        <v>2979</v>
      </c>
    </row>
    <row r="967" spans="1:17" ht="12.75" customHeight="1">
      <c r="A967" s="461"/>
      <c r="B967" s="611">
        <v>3</v>
      </c>
      <c r="C967" s="617">
        <v>0.5</v>
      </c>
      <c r="D967" s="613" t="s">
        <v>2980</v>
      </c>
      <c r="E967" s="614">
        <f>(paramLOB1ReferralSatisfaction-1)*$C967</f>
        <v>0</v>
      </c>
      <c r="F967" s="614">
        <f>(paramLOB1ReferralSatisfaction-1)*$C967</f>
        <v>2.5000000000000022E-2</v>
      </c>
      <c r="G967" s="614">
        <f>(paramLOB1ReferralSatisfaction-1)*$C967</f>
        <v>1.5000000000000013E-2</v>
      </c>
      <c r="H967" s="615"/>
      <c r="I967" s="611">
        <v>3</v>
      </c>
      <c r="J967" s="613" t="s">
        <v>2980</v>
      </c>
      <c r="K967" s="614">
        <f>(paramR2LOB1ReferralSatisfaction-1)*$C967</f>
        <v>0</v>
      </c>
      <c r="L967" s="614">
        <f>(paramR2LOB1ReferralSatisfaction-1)*$C967</f>
        <v>6.0000000000000053E-2</v>
      </c>
      <c r="M967" s="614">
        <f>(paramR2LOB1ReferralSatisfaction-1)*$C967</f>
        <v>5.0000000000000044E-2</v>
      </c>
      <c r="N967" s="615"/>
      <c r="P967" s="170" t="s">
        <v>2980</v>
      </c>
      <c r="Q967" s="170" t="s">
        <v>2980</v>
      </c>
    </row>
    <row r="968" spans="1:17" ht="12.75" customHeight="1">
      <c r="A968" s="461"/>
      <c r="B968" s="611">
        <v>4</v>
      </c>
      <c r="C968" s="616">
        <v>-2</v>
      </c>
      <c r="D968" s="613" t="s">
        <v>1615</v>
      </c>
      <c r="E968" s="614">
        <f>(cbalLOB1ClinicianAvgMissPerc-obalLOB1ClinicianAvgMissPerc)*$C968</f>
        <v>8.9999999999999802E-3</v>
      </c>
      <c r="F968" s="687">
        <v>-0.04</v>
      </c>
      <c r="G968" s="687">
        <v>-0.04</v>
      </c>
      <c r="H968" s="615"/>
      <c r="I968" s="611">
        <v>4</v>
      </c>
      <c r="J968" s="613" t="s">
        <v>1615</v>
      </c>
      <c r="K968" s="767">
        <f>(cbalR2LOB1ClinicianAvgMissPerc-obalR2LOB1ClinicianAvgMissPerc)*($C968*0.5)</f>
        <v>0</v>
      </c>
      <c r="L968" s="687">
        <v>-0.04</v>
      </c>
      <c r="M968" s="687">
        <v>-0.05</v>
      </c>
      <c r="N968" s="615"/>
      <c r="P968" s="771" t="s">
        <v>491</v>
      </c>
      <c r="Q968" s="170" t="s">
        <v>1615</v>
      </c>
    </row>
    <row r="969" spans="1:17" ht="12.75" customHeight="1">
      <c r="A969" s="461"/>
      <c r="B969" s="611">
        <v>5</v>
      </c>
      <c r="C969" s="617">
        <v>0.3</v>
      </c>
      <c r="D969" s="613" t="s">
        <v>489</v>
      </c>
      <c r="E969" s="614">
        <f>(calcLOB1ESAT-obalLOB1ESAT)*$C969</f>
        <v>0</v>
      </c>
      <c r="F969" s="614">
        <f>(calcLOB1ESAT-obalLOB1ESAT)*$C969</f>
        <v>7.6499999999999901E-3</v>
      </c>
      <c r="G969" s="614">
        <f>(calcLOB1ESAT-obalLOB1ESAT)*$C969</f>
        <v>-1.9500000000000183E-3</v>
      </c>
      <c r="H969" s="615"/>
      <c r="I969" s="611">
        <v>5</v>
      </c>
      <c r="J969" s="613" t="s">
        <v>489</v>
      </c>
      <c r="K969" s="614">
        <f>(calcR2LOB1ESAT-obalR2LOB1ESAT)*$C969</f>
        <v>-1.0515584014389489E-2</v>
      </c>
      <c r="L969" s="614">
        <f>(calcR2LOB1ESAT-obalR2LOB1ESAT)*$C969</f>
        <v>6.1500000000000218E-3</v>
      </c>
      <c r="M969" s="614">
        <f>(calcR2LOB1ESAT-obalR2LOB1ESAT)*$C969</f>
        <v>-1.9500000000000183E-3</v>
      </c>
      <c r="N969" s="615"/>
      <c r="P969" s="170" t="s">
        <v>1615</v>
      </c>
      <c r="Q969" s="170" t="s">
        <v>489</v>
      </c>
    </row>
    <row r="970" spans="1:17" ht="12.75" customHeight="1">
      <c r="A970" s="461"/>
      <c r="B970" s="611">
        <v>6</v>
      </c>
      <c r="C970" s="617">
        <v>0.1</v>
      </c>
      <c r="D970" s="613" t="s">
        <v>4351</v>
      </c>
      <c r="E970" s="614">
        <f>(calcLOB1Stars-obalLOB1Stars)*$C970</f>
        <v>9.0000000000000084E-4</v>
      </c>
      <c r="F970" s="614">
        <f>(calcLOB1Stars-obalLOB1Stars)*$C970</f>
        <v>4.0200000000000019E-3</v>
      </c>
      <c r="G970" s="614">
        <f>(calcLOB1Stars-obalLOB1Stars)*$C970</f>
        <v>-1.5100000000000003E-3</v>
      </c>
      <c r="H970" s="615"/>
      <c r="I970" s="611">
        <v>6</v>
      </c>
      <c r="J970" s="613" t="s">
        <v>4351</v>
      </c>
      <c r="K970" s="614">
        <f>(calcR2LOB1Stars-obalR2LOB1Stars)*$C970</f>
        <v>-1.4020778685852608E-3</v>
      </c>
      <c r="L970" s="614">
        <f>(calcR2LOB1Stars-obalR2LOB1Stars)*$C970</f>
        <v>-1.9300000000000096E-3</v>
      </c>
      <c r="M970" s="614">
        <f>(calcR2LOB1Stars-obalR2LOB1Stars)*$C970</f>
        <v>-1.5100000000000113E-3</v>
      </c>
      <c r="N970" s="615"/>
      <c r="P970" s="170" t="s">
        <v>489</v>
      </c>
      <c r="Q970" s="170" t="s">
        <v>4351</v>
      </c>
    </row>
    <row r="971" spans="1:17" ht="12.75" customHeight="1">
      <c r="A971" s="461"/>
      <c r="B971" s="611"/>
      <c r="C971" s="617">
        <v>0.25</v>
      </c>
      <c r="D971" s="613" t="s">
        <v>8379</v>
      </c>
      <c r="E971" s="614">
        <v>0</v>
      </c>
      <c r="F971" s="614">
        <v>0</v>
      </c>
      <c r="G971" s="614">
        <v>0</v>
      </c>
      <c r="H971" s="615"/>
      <c r="I971" s="611"/>
      <c r="J971" s="613" t="s">
        <v>8379</v>
      </c>
      <c r="K971" s="614">
        <v>0</v>
      </c>
      <c r="L971" s="614">
        <v>0</v>
      </c>
      <c r="M971" s="614">
        <v>0</v>
      </c>
      <c r="N971" s="615"/>
      <c r="P971" s="170" t="s">
        <v>4351</v>
      </c>
      <c r="Q971" s="170" t="s">
        <v>8379</v>
      </c>
    </row>
    <row r="972" spans="1:17" ht="1.5" customHeight="1">
      <c r="A972" s="461"/>
      <c r="B972" s="611">
        <v>7</v>
      </c>
      <c r="C972" s="612"/>
      <c r="D972" s="618"/>
      <c r="E972" s="619"/>
      <c r="F972" s="619"/>
      <c r="G972" s="619"/>
      <c r="H972" s="620"/>
      <c r="I972" s="611">
        <v>7</v>
      </c>
      <c r="J972" s="618"/>
      <c r="K972" s="619"/>
      <c r="L972" s="619"/>
      <c r="M972" s="619"/>
      <c r="N972" s="620"/>
      <c r="P972" s="170" t="s">
        <v>8379</v>
      </c>
    </row>
    <row r="973" spans="1:17" ht="12.75" customHeight="1">
      <c r="A973" s="461"/>
      <c r="B973" s="621">
        <v>8</v>
      </c>
      <c r="C973" s="622"/>
      <c r="D973" s="623" t="str">
        <f>C965</f>
        <v>Referrals Satisfaction</v>
      </c>
      <c r="E973" s="624">
        <f>SUMPRODUCT(E966:E972)</f>
        <v>0.8599</v>
      </c>
      <c r="F973" s="624">
        <f>SUMPRODUCT(F966:F972)</f>
        <v>0.84666999999999992</v>
      </c>
      <c r="G973" s="624">
        <f>SUMPRODUCT(G966:G972)</f>
        <v>0.82153999999999994</v>
      </c>
      <c r="H973" s="625" t="s">
        <v>2982</v>
      </c>
      <c r="I973" s="621">
        <v>8</v>
      </c>
      <c r="J973" s="623">
        <f>I965</f>
        <v>1</v>
      </c>
      <c r="K973" s="624">
        <f>SUMPRODUCT(K966:K972)</f>
        <v>0.84798233811702528</v>
      </c>
      <c r="L973" s="624">
        <f>SUMPRODUCT(L966:L972)</f>
        <v>0.87088999999999994</v>
      </c>
      <c r="M973" s="624">
        <f>SUMPRODUCT(M966:M972)</f>
        <v>0.81807999999999992</v>
      </c>
      <c r="N973" s="625" t="s">
        <v>6642</v>
      </c>
    </row>
    <row r="974" spans="1:17" ht="12.75" customHeight="1">
      <c r="A974" s="461"/>
    </row>
    <row r="975" spans="1:17" ht="12.75" customHeight="1">
      <c r="A975" s="461"/>
      <c r="B975" s="607">
        <v>1</v>
      </c>
      <c r="C975" s="608" t="s">
        <v>489</v>
      </c>
      <c r="D975" s="609"/>
      <c r="E975" s="609"/>
      <c r="F975" s="609"/>
      <c r="G975" s="609"/>
      <c r="H975" s="610"/>
      <c r="I975" s="607">
        <v>1</v>
      </c>
      <c r="J975" s="608" t="s">
        <v>489</v>
      </c>
      <c r="K975" s="609"/>
      <c r="L975" s="609"/>
      <c r="M975" s="609"/>
      <c r="N975" s="610"/>
    </row>
    <row r="976" spans="1:17" ht="12.75" customHeight="1">
      <c r="A976" s="461"/>
      <c r="B976" s="611">
        <v>2</v>
      </c>
      <c r="C976" s="612"/>
      <c r="D976" s="613" t="s">
        <v>2979</v>
      </c>
      <c r="E976" s="614">
        <f>obalLOB1ESAT</f>
        <v>0.75</v>
      </c>
      <c r="F976" s="614">
        <f>obalLOB1ESAT</f>
        <v>0.75</v>
      </c>
      <c r="G976" s="614">
        <f>obalLOB1ESAT</f>
        <v>0.75</v>
      </c>
      <c r="H976" s="615"/>
      <c r="I976" s="611">
        <v>2</v>
      </c>
      <c r="J976" s="613" t="s">
        <v>2979</v>
      </c>
      <c r="K976" s="614">
        <f>obalR2LOB1ESAT</f>
        <v>0.75</v>
      </c>
      <c r="L976" s="614">
        <f>obalR2LOB1ESAT</f>
        <v>0.77549999999999997</v>
      </c>
      <c r="M976" s="614">
        <f>obalR2LOB1ESAT</f>
        <v>0.74349999999999994</v>
      </c>
      <c r="N976" s="615"/>
    </row>
    <row r="977" spans="1:14" ht="12.75" customHeight="1">
      <c r="A977" s="461"/>
      <c r="B977" s="611">
        <v>3</v>
      </c>
      <c r="C977" s="617">
        <v>0.35</v>
      </c>
      <c r="D977" s="613" t="s">
        <v>2980</v>
      </c>
      <c r="E977" s="614">
        <f>(paramLOB1EmployeeEngagement-1)*$C977</f>
        <v>0</v>
      </c>
      <c r="F977" s="614">
        <f>(paramLOB1EmployeeEngagement-1)*$C977</f>
        <v>1.0500000000000009E-2</v>
      </c>
      <c r="G977" s="614">
        <f>(paramLOB1EmployeeEngagement-1)*$C977</f>
        <v>3.5000000000000027E-3</v>
      </c>
      <c r="H977" s="615"/>
      <c r="I977" s="611">
        <v>3</v>
      </c>
      <c r="J977" s="613" t="s">
        <v>2980</v>
      </c>
      <c r="K977" s="614">
        <f>(paramR2LOB1EmployeeEngagement-1)*$C977</f>
        <v>0</v>
      </c>
      <c r="L977" s="614">
        <f>(paramR2LOB1EmployeeEngagement-1)*$C977</f>
        <v>1.0500000000000009E-2</v>
      </c>
      <c r="M977" s="614">
        <f>(paramR2LOB1EmployeeEngagement-1)*$C977</f>
        <v>3.5000000000000027E-3</v>
      </c>
      <c r="N977" s="615"/>
    </row>
    <row r="978" spans="1:14" ht="12.75" customHeight="1">
      <c r="A978" s="461"/>
      <c r="B978" s="611">
        <v>4</v>
      </c>
      <c r="C978" s="617">
        <v>0.5</v>
      </c>
      <c r="D978" s="613" t="s">
        <v>4639</v>
      </c>
      <c r="E978" s="614">
        <f>decLOB1DOOAdjTime3_R1*$C978</f>
        <v>0</v>
      </c>
      <c r="F978" s="614">
        <f>decLOB1DOOAdjTime3_R1*$C978</f>
        <v>1.4999999999999999E-2</v>
      </c>
      <c r="G978" s="614">
        <f>decLOB1DOOAdjTime3_R1*$C978</f>
        <v>5.0000000000000001E-3</v>
      </c>
      <c r="H978" s="615"/>
      <c r="I978" s="611">
        <v>4</v>
      </c>
      <c r="J978" s="613" t="s">
        <v>4639</v>
      </c>
      <c r="K978" s="614">
        <f>decLOB1DOOAdjTime3_R2*$C$978</f>
        <v>0</v>
      </c>
      <c r="L978" s="614">
        <f>decLOB1DOOAdjTime3_R2*$C$978</f>
        <v>1.4999999999999999E-2</v>
      </c>
      <c r="M978" s="614">
        <f>decLOB1DOOAdjTime3_R2*$C$978</f>
        <v>2.5000000000000001E-2</v>
      </c>
      <c r="N978" s="615"/>
    </row>
    <row r="979" spans="1:14" ht="12.75" customHeight="1">
      <c r="A979" s="461"/>
      <c r="B979" s="611">
        <v>5</v>
      </c>
      <c r="C979" s="616">
        <v>-0.5</v>
      </c>
      <c r="D979" s="613" t="s">
        <v>491</v>
      </c>
      <c r="E979" s="614">
        <f>MAX(0,calcLOB1DOOTotalPlanTime-1)*$C979</f>
        <v>0</v>
      </c>
      <c r="F979" s="614">
        <f>MAX(0,calcLOB1DOOTotalPlanTime-1)*$C979</f>
        <v>0</v>
      </c>
      <c r="G979" s="614">
        <f>MAX(0,calcLOB1DOOTotalPlanTime-1)*$C979</f>
        <v>-1.5000000000000013E-2</v>
      </c>
      <c r="H979" s="615"/>
      <c r="I979" s="611">
        <v>5</v>
      </c>
      <c r="J979" s="613" t="s">
        <v>491</v>
      </c>
      <c r="K979" s="614">
        <f>MAX(0,calcR2LOB1DOOTotalPlanTime-1)*$C979</f>
        <v>0</v>
      </c>
      <c r="L979" s="614">
        <f>MAX(0,calcR2LOB1DOOTotalPlanTime-1)*$C979</f>
        <v>-5.0000000000000044E-3</v>
      </c>
      <c r="M979" s="614">
        <f>MAX(0,calcR2LOB1DOOTotalPlanTime-1)*$C979</f>
        <v>-3.5000000000000031E-2</v>
      </c>
      <c r="N979" s="615"/>
    </row>
    <row r="980" spans="1:14" ht="12.75" customHeight="1">
      <c r="A980" s="461"/>
      <c r="B980" s="611">
        <v>6</v>
      </c>
      <c r="C980" s="616"/>
      <c r="D980" s="613" t="s">
        <v>8223</v>
      </c>
      <c r="E980" s="614">
        <f>calcLOB1DOOStaffModImpact</f>
        <v>0</v>
      </c>
      <c r="F980" s="614">
        <f>calcLOB1DOOStaffModImpact</f>
        <v>0</v>
      </c>
      <c r="G980" s="614">
        <f>calcLOB1DOOStaffModImpact</f>
        <v>0</v>
      </c>
      <c r="H980" s="615"/>
      <c r="I980" s="611">
        <v>6</v>
      </c>
      <c r="J980" s="613" t="s">
        <v>8223</v>
      </c>
      <c r="K980" s="614">
        <f>calcR2LOB1DOOStaffModImpact</f>
        <v>0</v>
      </c>
      <c r="L980" s="614">
        <f>calcR2LOB1DOOStaffModImpact</f>
        <v>0</v>
      </c>
      <c r="M980" s="614">
        <f>calcR2LOB1DOOStaffModImpact</f>
        <v>0</v>
      </c>
      <c r="N980" s="615"/>
    </row>
    <row r="981" spans="1:14" ht="12.75" customHeight="1">
      <c r="A981" s="461"/>
      <c r="B981" s="611"/>
      <c r="C981" s="617">
        <v>0.25</v>
      </c>
      <c r="D981" s="613" t="s">
        <v>8379</v>
      </c>
      <c r="E981" s="614">
        <f>MIN(0,(1-obalLOB1AvgUtilization))*$C981</f>
        <v>0</v>
      </c>
      <c r="F981" s="614">
        <f>MIN(0,(1-obalLOB1AvgUtilization))*$C981</f>
        <v>0</v>
      </c>
      <c r="G981" s="614">
        <f>MIN(0,(1-obalLOB1AvgUtilization))*$C981</f>
        <v>0</v>
      </c>
      <c r="H981" s="615"/>
      <c r="I981" s="611"/>
      <c r="J981" s="613" t="s">
        <v>8379</v>
      </c>
      <c r="K981" s="614">
        <f>MIN(0,(1-obalR2LOB1AvgUtilization))*$C981</f>
        <v>-3.5051946714631632E-2</v>
      </c>
      <c r="L981" s="614">
        <f>MIN(0,(1-obalR2LOB1AvgUtilization))*$C981</f>
        <v>0</v>
      </c>
      <c r="M981" s="614">
        <f>MIN(0,(1-obalR2LOB1AvgUtilization))*$C981</f>
        <v>0</v>
      </c>
      <c r="N981" s="615"/>
    </row>
    <row r="982" spans="1:14" ht="1.5" customHeight="1">
      <c r="A982" s="461"/>
      <c r="B982" s="611"/>
      <c r="C982" s="612"/>
      <c r="D982" s="618"/>
      <c r="E982" s="619"/>
      <c r="F982" s="619"/>
      <c r="G982" s="619"/>
      <c r="H982" s="620"/>
      <c r="I982" s="611"/>
      <c r="J982" s="618"/>
      <c r="K982" s="619"/>
      <c r="L982" s="619"/>
      <c r="M982" s="619"/>
      <c r="N982" s="620"/>
    </row>
    <row r="983" spans="1:14" ht="12.75" customHeight="1">
      <c r="A983" s="461"/>
      <c r="B983" s="621">
        <v>7</v>
      </c>
      <c r="C983" s="622"/>
      <c r="D983" s="623" t="str">
        <f>C975</f>
        <v>Employee Engagement</v>
      </c>
      <c r="E983" s="624">
        <f>SUMPRODUCT(E976:E982)</f>
        <v>0.75</v>
      </c>
      <c r="F983" s="624">
        <f>SUMPRODUCT(F976:F982)</f>
        <v>0.77549999999999997</v>
      </c>
      <c r="G983" s="624">
        <f>SUMPRODUCT(G976:G982)</f>
        <v>0.74349999999999994</v>
      </c>
      <c r="H983" s="625" t="s">
        <v>2983</v>
      </c>
      <c r="I983" s="621">
        <v>7</v>
      </c>
      <c r="J983" s="623">
        <f>I975</f>
        <v>1</v>
      </c>
      <c r="K983" s="624">
        <f>SUMPRODUCT(K976:K982)</f>
        <v>0.71494805328536837</v>
      </c>
      <c r="L983" s="624">
        <f>SUMPRODUCT(L976:L982)</f>
        <v>0.79600000000000004</v>
      </c>
      <c r="M983" s="624">
        <f>SUMPRODUCT(M976:M982)</f>
        <v>0.73699999999999988</v>
      </c>
      <c r="N983" s="625" t="s">
        <v>6643</v>
      </c>
    </row>
    <row r="984" spans="1:14" ht="12.75" customHeight="1">
      <c r="A984" s="461"/>
    </row>
    <row r="985" spans="1:14" ht="12.75" customHeight="1">
      <c r="A985" s="461"/>
      <c r="C985" s="131" t="s">
        <v>2984</v>
      </c>
    </row>
    <row r="986" spans="1:14" ht="12.75" customHeight="1">
      <c r="A986" s="461"/>
      <c r="D986" s="131" t="s">
        <v>2979</v>
      </c>
      <c r="E986" s="451">
        <f>obalLOB1BDEngage</f>
        <v>0.8</v>
      </c>
      <c r="F986" s="451">
        <f>obalLOB1BDEngage</f>
        <v>0.8</v>
      </c>
      <c r="G986" s="451">
        <f>obalLOB1BDEngage</f>
        <v>0.8</v>
      </c>
      <c r="J986" s="131" t="s">
        <v>2979</v>
      </c>
      <c r="K986" s="451">
        <f>obalR2LOB1BDEngage</f>
        <v>0.8</v>
      </c>
      <c r="L986" s="451">
        <f>obalR2LOB1BDEngage</f>
        <v>0.8</v>
      </c>
      <c r="M986" s="451">
        <f>obalR2LOB1BDEngage</f>
        <v>0.79700000000000004</v>
      </c>
    </row>
    <row r="987" spans="1:14" ht="12.75" customHeight="1">
      <c r="A987" s="461"/>
      <c r="D987" s="131" t="s">
        <v>2980</v>
      </c>
      <c r="E987" s="451">
        <f>paramLOB1BDEngagement-1</f>
        <v>0</v>
      </c>
      <c r="F987" s="451">
        <f>paramLOB1BDEngagement-1</f>
        <v>0</v>
      </c>
      <c r="G987" s="451">
        <f>paramLOB1BDEngagement-1</f>
        <v>0</v>
      </c>
      <c r="J987" s="131" t="s">
        <v>2980</v>
      </c>
      <c r="K987" s="451">
        <f>paramR2LOB1BDEngagement-1</f>
        <v>0</v>
      </c>
      <c r="L987" s="451">
        <f>paramR2LOB1BDEngagement-1</f>
        <v>0</v>
      </c>
      <c r="M987" s="451">
        <f>paramR2LOB1BDEngagement-1</f>
        <v>0</v>
      </c>
    </row>
    <row r="988" spans="1:14" ht="12.75" customHeight="1">
      <c r="A988" s="461"/>
      <c r="C988" s="504">
        <v>-0.1</v>
      </c>
      <c r="D988" s="131" t="s">
        <v>491</v>
      </c>
      <c r="E988" s="451">
        <f>MAX(0,calcLOB1DOOTotalPlanTime-1)*$C988</f>
        <v>0</v>
      </c>
      <c r="F988" s="451">
        <f>MAX(0,calcLOB1DOOTotalPlanTime-1)*$C988</f>
        <v>0</v>
      </c>
      <c r="G988" s="451">
        <f>MAX(0,calcLOB1DOOTotalPlanTime-1)*$C988</f>
        <v>-3.0000000000000027E-3</v>
      </c>
      <c r="J988" s="131" t="s">
        <v>491</v>
      </c>
      <c r="K988" s="451">
        <f>MAX(0,calcR2LOB1DOOTotalPlanTime-1)*$C988</f>
        <v>0</v>
      </c>
      <c r="L988" s="451">
        <f>MAX(0,calcR2LOB1DOOTotalPlanTime-1)*$C988</f>
        <v>-1.0000000000000009E-3</v>
      </c>
      <c r="M988" s="451">
        <f>MAX(0,calcR2LOB1DOOTotalPlanTime-1)*$C988</f>
        <v>-7.0000000000000062E-3</v>
      </c>
    </row>
    <row r="989" spans="1:14" ht="12.75" customHeight="1">
      <c r="A989" s="461"/>
      <c r="D989" s="131" t="s">
        <v>592</v>
      </c>
      <c r="E989" s="451">
        <v>0</v>
      </c>
      <c r="F989" s="451">
        <v>0</v>
      </c>
      <c r="G989" s="451">
        <v>0</v>
      </c>
      <c r="J989" s="131" t="s">
        <v>592</v>
      </c>
      <c r="K989" s="451">
        <v>0</v>
      </c>
      <c r="L989" s="451">
        <v>0</v>
      </c>
      <c r="M989" s="451">
        <v>0</v>
      </c>
    </row>
    <row r="990" spans="1:14" ht="1.5" customHeight="1">
      <c r="A990" s="461"/>
      <c r="D990" s="449"/>
      <c r="E990" s="505"/>
      <c r="F990" s="505"/>
      <c r="G990" s="505"/>
      <c r="H990" s="131"/>
      <c r="J990" s="449"/>
      <c r="K990" s="505"/>
      <c r="L990" s="505"/>
      <c r="M990" s="505"/>
      <c r="N990" s="131"/>
    </row>
    <row r="991" spans="1:14" ht="12.75" customHeight="1">
      <c r="A991" s="461"/>
      <c r="D991" s="131" t="s">
        <v>2981</v>
      </c>
      <c r="E991" s="451">
        <f>SUMPRODUCT(E986:E990)</f>
        <v>0.8</v>
      </c>
      <c r="F991" s="451">
        <f t="shared" ref="F991" si="123">SUMPRODUCT(F986:F990)</f>
        <v>0.8</v>
      </c>
      <c r="G991" s="451">
        <f t="shared" ref="G991" si="124">SUMPRODUCT(G986:G990)</f>
        <v>0.79700000000000004</v>
      </c>
      <c r="H991" s="131" t="s">
        <v>2987</v>
      </c>
      <c r="J991" s="131" t="s">
        <v>2981</v>
      </c>
      <c r="K991" s="451">
        <f>SUMPRODUCT(K986:K990)</f>
        <v>0.8</v>
      </c>
      <c r="L991" s="451">
        <f t="shared" ref="L991:M991" si="125">SUMPRODUCT(L986:L990)</f>
        <v>0.79900000000000004</v>
      </c>
      <c r="M991" s="451">
        <f t="shared" si="125"/>
        <v>0.79</v>
      </c>
      <c r="N991" s="131" t="s">
        <v>6644</v>
      </c>
    </row>
    <row r="992" spans="1:14" ht="12.75" customHeight="1">
      <c r="A992" s="461"/>
    </row>
    <row r="993" spans="1:14" ht="12.75" customHeight="1">
      <c r="A993" s="461"/>
      <c r="B993" s="607">
        <v>1</v>
      </c>
      <c r="C993" s="626" t="s">
        <v>4352</v>
      </c>
      <c r="D993" s="609"/>
      <c r="E993" s="609"/>
      <c r="F993" s="609"/>
      <c r="G993" s="609"/>
      <c r="H993" s="610"/>
      <c r="I993" s="607">
        <v>1</v>
      </c>
      <c r="J993" s="626" t="s">
        <v>4352</v>
      </c>
      <c r="K993" s="609"/>
      <c r="L993" s="609"/>
      <c r="M993" s="609"/>
      <c r="N993" s="610"/>
    </row>
    <row r="994" spans="1:14" ht="12.75" customHeight="1">
      <c r="A994" s="461"/>
      <c r="B994" s="611">
        <v>2</v>
      </c>
      <c r="C994" s="627"/>
      <c r="D994" s="613" t="s">
        <v>2979</v>
      </c>
      <c r="E994" s="628">
        <f>obalLOB1Stars</f>
        <v>0.78</v>
      </c>
      <c r="F994" s="628">
        <f>obalLOB1Stars</f>
        <v>0.78</v>
      </c>
      <c r="G994" s="628">
        <f>obalLOB1Stars</f>
        <v>0.78</v>
      </c>
      <c r="H994" s="620" t="s">
        <v>4355</v>
      </c>
      <c r="I994" s="611">
        <v>2</v>
      </c>
      <c r="J994" s="613" t="s">
        <v>2979</v>
      </c>
      <c r="K994" s="628">
        <f>obalR2LOB1Stars</f>
        <v>0.78900000000000003</v>
      </c>
      <c r="L994" s="628">
        <f>obalR2LOB1Stars</f>
        <v>0.82020000000000004</v>
      </c>
      <c r="M994" s="628">
        <f>obalR2LOB1Stars</f>
        <v>0.76490000000000002</v>
      </c>
      <c r="N994" s="620"/>
    </row>
    <row r="995" spans="1:14" ht="12.75" customHeight="1">
      <c r="A995" s="461"/>
      <c r="B995" s="611">
        <v>3</v>
      </c>
      <c r="C995" s="617">
        <v>0.5</v>
      </c>
      <c r="D995" s="613" t="s">
        <v>2980</v>
      </c>
      <c r="E995" s="614">
        <f>(paramLOB1Stars-1)*$C995</f>
        <v>0</v>
      </c>
      <c r="F995" s="614">
        <f>(paramLOB1Stars-1)*$C995</f>
        <v>5.0000000000000044E-2</v>
      </c>
      <c r="G995" s="614">
        <f>(paramLOB1Stars-1)*$C995</f>
        <v>2.5000000000000022E-2</v>
      </c>
      <c r="H995" s="615"/>
      <c r="I995" s="611">
        <v>3</v>
      </c>
      <c r="J995" s="613" t="s">
        <v>2980</v>
      </c>
      <c r="K995" s="614">
        <f>(paramR2LOB1Stars-1)*$C995</f>
        <v>0</v>
      </c>
      <c r="L995" s="614">
        <f>(paramR2LOB1Stars-1)*$C995</f>
        <v>1.5000000000000013E-2</v>
      </c>
      <c r="M995" s="614">
        <f>(paramR2LOB1Stars-1)*$C995</f>
        <v>1.5000000000000013E-2</v>
      </c>
      <c r="N995" s="615"/>
    </row>
    <row r="996" spans="1:14" ht="12.75" customHeight="1">
      <c r="A996" s="461"/>
      <c r="B996" s="611">
        <v>4</v>
      </c>
      <c r="C996" s="616">
        <v>-0.25</v>
      </c>
      <c r="D996" s="613" t="s">
        <v>491</v>
      </c>
      <c r="E996" s="614">
        <f>MAX(0,calcLOB1DOOTotalPlanTime-1)*$C996</f>
        <v>0</v>
      </c>
      <c r="F996" s="614">
        <f>MAX(0,calcLOB1DOOTotalPlanTime-1)*$C996</f>
        <v>0</v>
      </c>
      <c r="G996" s="614">
        <f>MAX(0,calcLOB1DOOTotalPlanTime-1)*$C996</f>
        <v>-7.5000000000000067E-3</v>
      </c>
      <c r="H996" s="615"/>
      <c r="I996" s="611">
        <v>4</v>
      </c>
      <c r="J996" s="613" t="s">
        <v>491</v>
      </c>
      <c r="K996" s="614">
        <f>MAX(0,calcR2LOB1DOOTotalPlanTime-1)*$C996</f>
        <v>0</v>
      </c>
      <c r="L996" s="614">
        <f>MAX(0,calcR2LOB1DOOTotalPlanTime-1)*$C996</f>
        <v>-2.5000000000000022E-3</v>
      </c>
      <c r="M996" s="614">
        <f>MAX(0,calcR2LOB1DOOTotalPlanTime-1)*$C996</f>
        <v>-1.7500000000000016E-2</v>
      </c>
      <c r="N996" s="615"/>
    </row>
    <row r="997" spans="1:14" ht="12.75" customHeight="1">
      <c r="A997" s="461"/>
      <c r="B997" s="611">
        <v>5</v>
      </c>
      <c r="C997" s="616">
        <v>-2</v>
      </c>
      <c r="D997" s="613" t="s">
        <v>1615</v>
      </c>
      <c r="E997" s="614">
        <f>(cbalLOB1ClinicianAvgMissPerc-obalLOB1ClinicianAvgMissPerc)*$C997</f>
        <v>8.9999999999999802E-3</v>
      </c>
      <c r="F997" s="687">
        <v>-0.02</v>
      </c>
      <c r="G997" s="687">
        <v>-0.03</v>
      </c>
      <c r="H997" s="615"/>
      <c r="I997" s="611">
        <v>5</v>
      </c>
      <c r="J997" s="613" t="s">
        <v>1615</v>
      </c>
      <c r="K997" s="767">
        <f>(cbalR2LOB1ClinicianAvgMissPerc-obalR2LOB1ClinicianAvgMissPerc)*($C997*0.5)</f>
        <v>0</v>
      </c>
      <c r="L997" s="687">
        <v>-0.04</v>
      </c>
      <c r="M997" s="687">
        <v>-0.01</v>
      </c>
      <c r="N997" s="615"/>
    </row>
    <row r="998" spans="1:14" ht="12.75" customHeight="1">
      <c r="A998" s="461"/>
      <c r="B998" s="611">
        <v>6</v>
      </c>
      <c r="C998" s="617">
        <v>0.25</v>
      </c>
      <c r="D998" s="613" t="s">
        <v>8379</v>
      </c>
      <c r="E998" s="614">
        <v>0</v>
      </c>
      <c r="F998" s="614">
        <v>0</v>
      </c>
      <c r="G998" s="614">
        <v>0</v>
      </c>
      <c r="H998" s="615"/>
      <c r="I998" s="611">
        <v>6</v>
      </c>
      <c r="J998" s="613" t="s">
        <v>8379</v>
      </c>
      <c r="K998" s="614">
        <v>0</v>
      </c>
      <c r="L998" s="614">
        <v>0</v>
      </c>
      <c r="M998" s="614">
        <v>0</v>
      </c>
      <c r="N998" s="615"/>
    </row>
    <row r="999" spans="1:14" ht="12.75" customHeight="1">
      <c r="A999" s="461"/>
      <c r="B999" s="611">
        <v>7</v>
      </c>
      <c r="C999" s="617">
        <v>0.4</v>
      </c>
      <c r="D999" s="613" t="s">
        <v>489</v>
      </c>
      <c r="E999" s="614">
        <f>(calcLOB1ESAT-obalLOB1ESAT)*$C999</f>
        <v>0</v>
      </c>
      <c r="F999" s="614">
        <f>(calcLOB1ESAT-obalLOB1ESAT)*$C999</f>
        <v>1.0199999999999987E-2</v>
      </c>
      <c r="G999" s="614">
        <f>(calcLOB1ESAT-obalLOB1ESAT)*$C999</f>
        <v>-2.6000000000000246E-3</v>
      </c>
      <c r="H999" s="615"/>
      <c r="I999" s="611">
        <v>7</v>
      </c>
      <c r="J999" s="613" t="s">
        <v>489</v>
      </c>
      <c r="K999" s="614">
        <f>(calcR2LOB1ESAT-obalR2LOB1ESAT)*$C999</f>
        <v>-1.4020778685852654E-2</v>
      </c>
      <c r="L999" s="614">
        <f>(calcR2LOB1ESAT-obalR2LOB1ESAT)*$C999</f>
        <v>8.2000000000000302E-3</v>
      </c>
      <c r="M999" s="614">
        <f>(calcR2LOB1ESAT-obalR2LOB1ESAT)*$C999</f>
        <v>-2.6000000000000246E-3</v>
      </c>
      <c r="N999" s="615"/>
    </row>
    <row r="1000" spans="1:14" ht="1.5" customHeight="1">
      <c r="A1000" s="461"/>
      <c r="B1000" s="611">
        <v>8</v>
      </c>
      <c r="C1000" s="612"/>
      <c r="D1000" s="618"/>
      <c r="E1000" s="619"/>
      <c r="F1000" s="619"/>
      <c r="G1000" s="619"/>
      <c r="H1000" s="620"/>
      <c r="I1000" s="611">
        <v>8</v>
      </c>
      <c r="J1000" s="618"/>
      <c r="K1000" s="619"/>
      <c r="L1000" s="619"/>
      <c r="M1000" s="619"/>
      <c r="N1000" s="620"/>
    </row>
    <row r="1001" spans="1:14" ht="12.75" customHeight="1">
      <c r="A1001" s="461"/>
      <c r="B1001" s="621">
        <v>9</v>
      </c>
      <c r="C1001" s="622"/>
      <c r="D1001" s="623" t="str">
        <f>C993</f>
        <v>Clinical Quality</v>
      </c>
      <c r="E1001" s="624">
        <f>SUMPRODUCT(E994:E1000)</f>
        <v>0.78900000000000003</v>
      </c>
      <c r="F1001" s="624">
        <f t="shared" ref="F1001:G1001" si="126">SUMPRODUCT(F994:F1000)</f>
        <v>0.82020000000000004</v>
      </c>
      <c r="G1001" s="624">
        <f t="shared" si="126"/>
        <v>0.76490000000000002</v>
      </c>
      <c r="H1001" s="625" t="s">
        <v>2988</v>
      </c>
      <c r="I1001" s="621">
        <v>9</v>
      </c>
      <c r="J1001" s="623">
        <f>I993</f>
        <v>1</v>
      </c>
      <c r="K1001" s="624">
        <f>SUMPRODUCT(K994:K1000)</f>
        <v>0.77497922131414743</v>
      </c>
      <c r="L1001" s="624">
        <f t="shared" ref="L1001" si="127">SUMPRODUCT(L994:L1000)</f>
        <v>0.80089999999999995</v>
      </c>
      <c r="M1001" s="624">
        <f t="shared" ref="M1001" si="128">SUMPRODUCT(M994:M1000)</f>
        <v>0.74979999999999991</v>
      </c>
      <c r="N1001" s="625"/>
    </row>
    <row r="1002" spans="1:14" ht="12.75" customHeight="1">
      <c r="A1002" s="461"/>
    </row>
    <row r="1003" spans="1:14" ht="12.75" customHeight="1">
      <c r="A1003" s="461"/>
      <c r="C1003" s="131" t="str">
        <f>nmDisc1 &amp; " Retention Rate"</f>
        <v>RN Retention Rate</v>
      </c>
    </row>
    <row r="1004" spans="1:14" ht="12.75" customHeight="1">
      <c r="A1004" s="461"/>
      <c r="D1004" s="131" t="s">
        <v>2979</v>
      </c>
      <c r="E1004" s="451">
        <f>obalLOB1Disc1Retention</f>
        <v>0.95</v>
      </c>
      <c r="F1004" s="451">
        <f>obalLOB1Disc1Retention</f>
        <v>0.95</v>
      </c>
      <c r="G1004" s="451">
        <f>obalLOB1Disc1Retention</f>
        <v>0.95</v>
      </c>
      <c r="J1004" s="131" t="s">
        <v>2979</v>
      </c>
      <c r="K1004" s="451">
        <f>obalR2LOB1Disc1Retention</f>
        <v>0.85499999999999998</v>
      </c>
      <c r="L1004" s="451">
        <f>obalR2LOB1Disc1Retention</f>
        <v>0.87680250000000004</v>
      </c>
      <c r="M1004" s="451">
        <f>obalR2LOB1Disc1Retention</f>
        <v>0.84944249999999999</v>
      </c>
    </row>
    <row r="1005" spans="1:14" ht="12.75" customHeight="1">
      <c r="A1005" s="461"/>
      <c r="C1005" s="581"/>
      <c r="D1005" s="131" t="s">
        <v>489</v>
      </c>
      <c r="E1005" s="451">
        <f>1+(calcLOB1ESAT-obalLOB1ESAT)</f>
        <v>1</v>
      </c>
      <c r="F1005" s="451">
        <f>1+(calcLOB1ESAT-obalLOB1ESAT)</f>
        <v>1.0255000000000001</v>
      </c>
      <c r="G1005" s="451">
        <f>1+(calcLOB1ESAT-obalLOB1ESAT)</f>
        <v>0.99349999999999994</v>
      </c>
      <c r="J1005" s="131" t="s">
        <v>489</v>
      </c>
      <c r="K1005" s="451">
        <f>1+(calcR2LOB1ESAT-obalR2LOB1ESAT)</f>
        <v>0.96494805328536837</v>
      </c>
      <c r="L1005" s="451">
        <f>1+(calcR2LOB1ESAT-obalR2LOB1ESAT)</f>
        <v>1.0205000000000002</v>
      </c>
      <c r="M1005" s="451">
        <f>1+(calcR2LOB1ESAT-obalR2LOB1ESAT)</f>
        <v>0.99349999999999994</v>
      </c>
    </row>
    <row r="1006" spans="1:14" ht="12.75" customHeight="1">
      <c r="A1006" s="461"/>
      <c r="C1006" s="504"/>
      <c r="D1006" s="131" t="s">
        <v>4611</v>
      </c>
      <c r="E1006" s="451">
        <f>1+(cbalLOB1DOOTime2-obalLOB1DOOTime2)</f>
        <v>1</v>
      </c>
      <c r="F1006" s="451">
        <f>1+(cbalLOB1DOOTime2-obalLOB1DOOTime2)</f>
        <v>1</v>
      </c>
      <c r="G1006" s="451">
        <f>1+(cbalLOB1DOOTime2-obalLOB1DOOTime2)</f>
        <v>1</v>
      </c>
      <c r="J1006" s="131" t="s">
        <v>4611</v>
      </c>
      <c r="K1006" s="451">
        <f>1+(cbalR2LOB1DOOTime2-obalR2LOB1DOOTime2)</f>
        <v>1</v>
      </c>
      <c r="L1006" s="451">
        <f>1+(cbalR2LOB1DOOTime2-obalR2LOB1DOOTime2)</f>
        <v>1</v>
      </c>
      <c r="M1006" s="451">
        <f>1+(cbalR2LOB1DOOTime2-obalR2LOB1DOOTime2)</f>
        <v>1</v>
      </c>
    </row>
    <row r="1007" spans="1:14" ht="12.75" customHeight="1">
      <c r="A1007" s="461"/>
      <c r="C1007" s="504"/>
      <c r="D1007" s="131" t="str">
        <f>nmDisc1 &amp; " Productivity"</f>
        <v>RN Productivity</v>
      </c>
      <c r="E1007" s="451">
        <f>paramLOB1Disc1Productivity</f>
        <v>1</v>
      </c>
      <c r="F1007" s="451">
        <f>paramLOB1Disc1Productivity</f>
        <v>1</v>
      </c>
      <c r="G1007" s="451">
        <f>paramLOB1Disc1Productivity</f>
        <v>1</v>
      </c>
      <c r="J1007" s="131" t="str">
        <f>nmDisc1 &amp; " Productivity"</f>
        <v>RN Productivity</v>
      </c>
      <c r="K1007" s="451">
        <f>paramR2LOB1Disc1Productivity</f>
        <v>1</v>
      </c>
      <c r="L1007" s="451">
        <f>paramR2LOB1Disc1Productivity</f>
        <v>1</v>
      </c>
      <c r="M1007" s="451">
        <f>paramR2LOB1Disc1Productivity</f>
        <v>1</v>
      </c>
    </row>
    <row r="1008" spans="1:14" ht="12.75" customHeight="1">
      <c r="A1008" s="461"/>
      <c r="C1008" s="504"/>
      <c r="D1008" s="131" t="s">
        <v>417</v>
      </c>
      <c r="E1008" s="759">
        <v>0.9</v>
      </c>
      <c r="F1008" s="759">
        <v>0.9</v>
      </c>
      <c r="G1008" s="759">
        <v>0.9</v>
      </c>
      <c r="J1008" s="131"/>
      <c r="K1008" s="451">
        <v>1</v>
      </c>
      <c r="L1008" s="451">
        <v>1</v>
      </c>
      <c r="M1008" s="451">
        <v>1</v>
      </c>
    </row>
    <row r="1009" spans="1:14" ht="1.5" customHeight="1">
      <c r="A1009" s="461"/>
      <c r="D1009" s="449"/>
      <c r="E1009" s="505"/>
      <c r="F1009" s="505"/>
      <c r="G1009" s="505"/>
      <c r="H1009" s="131"/>
      <c r="J1009" s="449"/>
      <c r="K1009" s="505"/>
      <c r="L1009" s="505"/>
      <c r="M1009" s="505"/>
      <c r="N1009" s="131"/>
    </row>
    <row r="1010" spans="1:14" ht="12.75" customHeight="1">
      <c r="A1010" s="461"/>
      <c r="D1010" s="131" t="s">
        <v>2981</v>
      </c>
      <c r="E1010" s="480">
        <f>MIN(1,PRODUCT(E1004:E1009))</f>
        <v>0.85499999999999998</v>
      </c>
      <c r="F1010" s="480">
        <f t="shared" ref="F1010:G1010" si="129">MIN(1,PRODUCT(F1004:F1009))</f>
        <v>0.87680250000000004</v>
      </c>
      <c r="G1010" s="480">
        <f t="shared" si="129"/>
        <v>0.84944249999999999</v>
      </c>
      <c r="H1010" s="131" t="s">
        <v>4608</v>
      </c>
      <c r="J1010" s="131" t="s">
        <v>2981</v>
      </c>
      <c r="K1010" s="480">
        <f>MIN(1,PRODUCT(K1004:K1009))</f>
        <v>0.82503058555898989</v>
      </c>
      <c r="L1010" s="480">
        <f t="shared" ref="L1010:M1010" si="130">MIN(1,PRODUCT(L1004:L1009))</f>
        <v>0.89477695125000023</v>
      </c>
      <c r="M1010" s="480">
        <f t="shared" si="130"/>
        <v>0.84392112374999995</v>
      </c>
      <c r="N1010" s="131" t="s">
        <v>6645</v>
      </c>
    </row>
    <row r="1011" spans="1:14" ht="12.75" customHeight="1">
      <c r="A1011" s="461"/>
    </row>
    <row r="1012" spans="1:14" ht="12.75" customHeight="1">
      <c r="A1012" s="461"/>
      <c r="C1012" s="131" t="str">
        <f>nmDisc2 &amp; " Retention Rate"</f>
        <v>LPN Retention Rate</v>
      </c>
    </row>
    <row r="1013" spans="1:14" ht="12.75" customHeight="1">
      <c r="A1013" s="461"/>
      <c r="D1013" s="131" t="s">
        <v>2979</v>
      </c>
      <c r="E1013" s="451">
        <f>obalLOB1Disc2Retention</f>
        <v>0.95</v>
      </c>
      <c r="F1013" s="451">
        <f>obalLOB1Disc2Retention</f>
        <v>0.95</v>
      </c>
      <c r="G1013" s="451">
        <f>obalLOB1Disc2Retention</f>
        <v>0.95</v>
      </c>
      <c r="J1013" s="131" t="s">
        <v>2979</v>
      </c>
      <c r="K1013" s="451">
        <f>obalR2LOB1Disc2Retention</f>
        <v>0.95</v>
      </c>
      <c r="L1013" s="451">
        <f>obalR2LOB1Disc2Retention</f>
        <v>0.97422500000000001</v>
      </c>
      <c r="M1013" s="451">
        <f>obalR2LOB1Disc2Retention</f>
        <v>0.94382499999999991</v>
      </c>
    </row>
    <row r="1014" spans="1:14" ht="12.75" customHeight="1">
      <c r="A1014" s="461"/>
      <c r="C1014" s="581"/>
      <c r="D1014" s="131" t="s">
        <v>489</v>
      </c>
      <c r="E1014" s="451">
        <f>1+(calcLOB1ESAT-obalLOB1ESAT)</f>
        <v>1</v>
      </c>
      <c r="F1014" s="451">
        <f>1+(calcLOB1ESAT-obalLOB1ESAT)</f>
        <v>1.0255000000000001</v>
      </c>
      <c r="G1014" s="451">
        <f>1+(calcLOB1ESAT-obalLOB1ESAT)</f>
        <v>0.99349999999999994</v>
      </c>
      <c r="J1014" s="131" t="s">
        <v>489</v>
      </c>
      <c r="K1014" s="451">
        <f>1+(calcR2LOB1ESAT-obalR2LOB1ESAT)</f>
        <v>0.96494805328536837</v>
      </c>
      <c r="L1014" s="451">
        <f>1+(calcR2LOB1ESAT-obalR2LOB1ESAT)</f>
        <v>1.0205000000000002</v>
      </c>
      <c r="M1014" s="451">
        <f>1+(calcR2LOB1ESAT-obalR2LOB1ESAT)</f>
        <v>0.99349999999999994</v>
      </c>
    </row>
    <row r="1015" spans="1:14" ht="12.75" customHeight="1">
      <c r="A1015" s="461"/>
      <c r="C1015" s="504"/>
      <c r="D1015" s="131" t="s">
        <v>4611</v>
      </c>
      <c r="E1015" s="451">
        <f>1+(cbalLOB1DOOTime2-obalLOB1DOOTime2)</f>
        <v>1</v>
      </c>
      <c r="F1015" s="451">
        <f>1+(cbalLOB1DOOTime2-obalLOB1DOOTime2)</f>
        <v>1</v>
      </c>
      <c r="G1015" s="451">
        <f>1+(cbalLOB1DOOTime2-obalLOB1DOOTime2)</f>
        <v>1</v>
      </c>
      <c r="J1015" s="131" t="s">
        <v>4611</v>
      </c>
      <c r="K1015" s="451">
        <f>1+(cbalR2LOB1DOOTime2-obalR2LOB1DOOTime2)</f>
        <v>1</v>
      </c>
      <c r="L1015" s="451">
        <f>1+(cbalR2LOB1DOOTime2-obalR2LOB1DOOTime2)</f>
        <v>1</v>
      </c>
      <c r="M1015" s="451">
        <f>1+(cbalR2LOB1DOOTime2-obalR2LOB1DOOTime2)</f>
        <v>1</v>
      </c>
    </row>
    <row r="1016" spans="1:14" ht="12.75" customHeight="1">
      <c r="A1016" s="461"/>
      <c r="C1016" s="504"/>
      <c r="D1016" s="131" t="str">
        <f>nmDisc2 &amp; " Productivity"</f>
        <v>LPN Productivity</v>
      </c>
      <c r="E1016" s="451">
        <f>paramLOB1Disc2Productivity</f>
        <v>1</v>
      </c>
      <c r="F1016" s="451">
        <f>paramLOB1Disc2Productivity</f>
        <v>1</v>
      </c>
      <c r="G1016" s="451">
        <f>paramLOB1Disc2Productivity</f>
        <v>1</v>
      </c>
      <c r="J1016" s="131" t="str">
        <f>nmDisc2 &amp; " Productivity"</f>
        <v>LPN Productivity</v>
      </c>
      <c r="K1016" s="451">
        <f>paramR2LOB1Disc2Productivity</f>
        <v>1</v>
      </c>
      <c r="L1016" s="451">
        <f>paramR2LOB1Disc2Productivity</f>
        <v>1</v>
      </c>
      <c r="M1016" s="451">
        <f>paramR2LOB1Disc2Productivity</f>
        <v>1</v>
      </c>
    </row>
    <row r="1017" spans="1:14" ht="1.5" customHeight="1">
      <c r="A1017" s="461"/>
      <c r="D1017" s="449"/>
      <c r="E1017" s="505"/>
      <c r="F1017" s="505"/>
      <c r="G1017" s="505"/>
      <c r="H1017" s="131"/>
      <c r="J1017" s="449"/>
      <c r="K1017" s="505"/>
      <c r="L1017" s="505"/>
      <c r="M1017" s="505"/>
      <c r="N1017" s="131"/>
    </row>
    <row r="1018" spans="1:14" ht="12.75" customHeight="1">
      <c r="A1018" s="461"/>
      <c r="D1018" s="131" t="s">
        <v>2981</v>
      </c>
      <c r="E1018" s="480">
        <f>MIN(1,PRODUCT(E1013:E1017))</f>
        <v>0.95</v>
      </c>
      <c r="F1018" s="480">
        <f t="shared" ref="F1018" si="131">MIN(1,PRODUCT(F1013:F1017))</f>
        <v>0.97422500000000001</v>
      </c>
      <c r="G1018" s="480">
        <f t="shared" ref="G1018" si="132">MIN(1,PRODUCT(G1013:G1017))</f>
        <v>0.94382499999999991</v>
      </c>
      <c r="H1018" s="131" t="s">
        <v>4609</v>
      </c>
      <c r="J1018" s="131" t="s">
        <v>2981</v>
      </c>
      <c r="K1018" s="480">
        <f>MIN(1,PRODUCT(K1013:K1017))</f>
        <v>0.91670065062109996</v>
      </c>
      <c r="L1018" s="480">
        <f t="shared" ref="L1018:M1018" si="133">MIN(1,PRODUCT(L1013:L1017))</f>
        <v>0.99419661250000024</v>
      </c>
      <c r="M1018" s="480">
        <f t="shared" si="133"/>
        <v>0.93769013749999985</v>
      </c>
      <c r="N1018" s="131" t="s">
        <v>6646</v>
      </c>
    </row>
    <row r="1019" spans="1:14" ht="12.75" customHeight="1">
      <c r="A1019" s="461"/>
    </row>
    <row r="1020" spans="1:14" ht="12.75" customHeight="1">
      <c r="A1020" s="461"/>
      <c r="C1020" s="131" t="str">
        <f>nmDisc3 &amp; " Retention Rate"</f>
        <v>PT Retention Rate</v>
      </c>
    </row>
    <row r="1021" spans="1:14" ht="12.75" customHeight="1">
      <c r="A1021" s="461"/>
      <c r="D1021" s="131" t="s">
        <v>2979</v>
      </c>
      <c r="E1021" s="451">
        <f>obalLOB1Disc3Retention</f>
        <v>0.95</v>
      </c>
      <c r="F1021" s="451">
        <f>obalLOB1Disc3Retention</f>
        <v>0.95</v>
      </c>
      <c r="G1021" s="451">
        <f>obalLOB1Disc3Retention</f>
        <v>0.95</v>
      </c>
      <c r="J1021" s="131" t="s">
        <v>2979</v>
      </c>
      <c r="K1021" s="451">
        <f>obalR2LOB1Disc3Retention</f>
        <v>0.95</v>
      </c>
      <c r="L1021" s="451">
        <f>obalR2LOB1Disc3Retention</f>
        <v>0.97422500000000001</v>
      </c>
      <c r="M1021" s="451">
        <f>obalR2LOB1Disc3Retention</f>
        <v>0.94382499999999991</v>
      </c>
    </row>
    <row r="1022" spans="1:14" ht="12.75" customHeight="1">
      <c r="A1022" s="461"/>
      <c r="C1022" s="581"/>
      <c r="D1022" s="131" t="s">
        <v>489</v>
      </c>
      <c r="E1022" s="451">
        <f>1+(calcLOB1ESAT-obalLOB1ESAT)</f>
        <v>1</v>
      </c>
      <c r="F1022" s="451">
        <f>1+(calcLOB1ESAT-obalLOB1ESAT)</f>
        <v>1.0255000000000001</v>
      </c>
      <c r="G1022" s="451">
        <f>1+(calcLOB1ESAT-obalLOB1ESAT)</f>
        <v>0.99349999999999994</v>
      </c>
      <c r="J1022" s="131" t="s">
        <v>489</v>
      </c>
      <c r="K1022" s="451">
        <f>1+(calcR2LOB1ESAT-obalR2LOB1ESAT)</f>
        <v>0.96494805328536837</v>
      </c>
      <c r="L1022" s="451">
        <f>1+(calcR2LOB1ESAT-obalR2LOB1ESAT)</f>
        <v>1.0205000000000002</v>
      </c>
      <c r="M1022" s="451">
        <f>1+(calcR2LOB1ESAT-obalR2LOB1ESAT)</f>
        <v>0.99349999999999994</v>
      </c>
    </row>
    <row r="1023" spans="1:14" ht="12.75" customHeight="1">
      <c r="A1023" s="461"/>
      <c r="C1023" s="504"/>
      <c r="D1023" s="131" t="s">
        <v>4611</v>
      </c>
      <c r="E1023" s="451">
        <f>1+(cbalLOB1DOOTime2-obalLOB1DOOTime2)</f>
        <v>1</v>
      </c>
      <c r="F1023" s="451">
        <f>1+(cbalLOB1DOOTime2-obalLOB1DOOTime2)</f>
        <v>1</v>
      </c>
      <c r="G1023" s="451">
        <f>1+(cbalLOB1DOOTime2-obalLOB1DOOTime2)</f>
        <v>1</v>
      </c>
      <c r="J1023" s="131" t="s">
        <v>4611</v>
      </c>
      <c r="K1023" s="451">
        <f>1+(cbalR2LOB1DOOTime2-obalR2LOB1DOOTime2)</f>
        <v>1</v>
      </c>
      <c r="L1023" s="451">
        <f>1+(cbalR2LOB1DOOTime2-obalR2LOB1DOOTime2)</f>
        <v>1</v>
      </c>
      <c r="M1023" s="451">
        <f>1+(cbalR2LOB1DOOTime2-obalR2LOB1DOOTime2)</f>
        <v>1</v>
      </c>
    </row>
    <row r="1024" spans="1:14" ht="12.75" customHeight="1">
      <c r="A1024" s="461"/>
      <c r="C1024" s="504"/>
      <c r="D1024" s="131" t="str">
        <f>nmDisc3 &amp; " Productivity"</f>
        <v>PT Productivity</v>
      </c>
      <c r="E1024" s="451">
        <f>paramLOB1Disc3Productivity</f>
        <v>1</v>
      </c>
      <c r="F1024" s="451">
        <f>paramLOB1Disc3Productivity</f>
        <v>1</v>
      </c>
      <c r="G1024" s="451">
        <f>paramLOB1Disc3Productivity</f>
        <v>1</v>
      </c>
      <c r="J1024" s="131" t="str">
        <f>nmDisc3 &amp; " Productivity"</f>
        <v>PT Productivity</v>
      </c>
      <c r="K1024" s="451">
        <f>paramR2LOB1Disc3Productivity</f>
        <v>1</v>
      </c>
      <c r="L1024" s="451">
        <f>paramR2LOB1Disc3Productivity</f>
        <v>1</v>
      </c>
      <c r="M1024" s="451">
        <f>paramR2LOB1Disc3Productivity</f>
        <v>1</v>
      </c>
    </row>
    <row r="1025" spans="1:14" ht="1.5" customHeight="1">
      <c r="A1025" s="461"/>
      <c r="D1025" s="449"/>
      <c r="E1025" s="505"/>
      <c r="F1025" s="505"/>
      <c r="G1025" s="505"/>
      <c r="H1025" s="131"/>
      <c r="J1025" s="449"/>
      <c r="K1025" s="505"/>
      <c r="L1025" s="505"/>
      <c r="M1025" s="505"/>
      <c r="N1025" s="131"/>
    </row>
    <row r="1026" spans="1:14" ht="12.75" customHeight="1">
      <c r="A1026" s="461"/>
      <c r="D1026" s="131" t="s">
        <v>2981</v>
      </c>
      <c r="E1026" s="480">
        <f>MIN(1,PRODUCT(E1021:E1025))</f>
        <v>0.95</v>
      </c>
      <c r="F1026" s="480">
        <f t="shared" ref="F1026" si="134">MIN(1,PRODUCT(F1021:F1025))</f>
        <v>0.97422500000000001</v>
      </c>
      <c r="G1026" s="480">
        <f t="shared" ref="G1026" si="135">MIN(1,PRODUCT(G1021:G1025))</f>
        <v>0.94382499999999991</v>
      </c>
      <c r="H1026" s="131" t="s">
        <v>4610</v>
      </c>
      <c r="J1026" s="131" t="s">
        <v>2981</v>
      </c>
      <c r="K1026" s="480">
        <f>MIN(1,PRODUCT(K1021:K1025))</f>
        <v>0.91670065062109996</v>
      </c>
      <c r="L1026" s="480">
        <f t="shared" ref="L1026:M1026" si="136">MIN(1,PRODUCT(L1021:L1025))</f>
        <v>0.99419661250000024</v>
      </c>
      <c r="M1026" s="480">
        <f t="shared" si="136"/>
        <v>0.93769013749999985</v>
      </c>
      <c r="N1026" s="131" t="s">
        <v>6647</v>
      </c>
    </row>
    <row r="1027" spans="1:14" ht="12.75" customHeight="1">
      <c r="A1027" s="461"/>
    </row>
    <row r="1028" spans="1:14" ht="12.75" customHeight="1">
      <c r="A1028" s="461"/>
      <c r="C1028" s="131" t="str">
        <f>nmDisc4 &amp; " Retention Rate"</f>
        <v>OT Retention Rate</v>
      </c>
    </row>
    <row r="1029" spans="1:14" ht="12.75" customHeight="1">
      <c r="A1029" s="461"/>
      <c r="D1029" s="131" t="s">
        <v>2979</v>
      </c>
      <c r="E1029" s="451">
        <f>obalLOB1Disc4Retention</f>
        <v>0.95</v>
      </c>
      <c r="F1029" s="451">
        <f>obalLOB1Disc4Retention</f>
        <v>0.95</v>
      </c>
      <c r="G1029" s="451">
        <f>obalLOB1Disc4Retention</f>
        <v>0.95</v>
      </c>
      <c r="J1029" s="131" t="s">
        <v>2979</v>
      </c>
      <c r="K1029" s="451">
        <f>obalR2LOB1Disc4Retention</f>
        <v>0.95</v>
      </c>
      <c r="L1029" s="451">
        <f>obalR2LOB1Disc4Retention</f>
        <v>0.97422500000000001</v>
      </c>
      <c r="M1029" s="451">
        <f>obalR2LOB1Disc4Retention</f>
        <v>0.94382499999999991</v>
      </c>
    </row>
    <row r="1030" spans="1:14" ht="12.75" customHeight="1">
      <c r="A1030" s="461"/>
      <c r="C1030" s="581"/>
      <c r="D1030" s="131" t="s">
        <v>489</v>
      </c>
      <c r="E1030" s="451">
        <f>1+(calcLOB1ESAT-obalLOB1ESAT)</f>
        <v>1</v>
      </c>
      <c r="F1030" s="451">
        <f>1+(calcLOB1ESAT-obalLOB1ESAT)</f>
        <v>1.0255000000000001</v>
      </c>
      <c r="G1030" s="451">
        <f>1+(calcLOB1ESAT-obalLOB1ESAT)</f>
        <v>0.99349999999999994</v>
      </c>
      <c r="J1030" s="131" t="s">
        <v>489</v>
      </c>
      <c r="K1030" s="451">
        <f>1+(calcR2LOB1ESAT-obalR2LOB1ESAT)</f>
        <v>0.96494805328536837</v>
      </c>
      <c r="L1030" s="451">
        <f>1+(calcR2LOB1ESAT-obalR2LOB1ESAT)</f>
        <v>1.0205000000000002</v>
      </c>
      <c r="M1030" s="451">
        <f>1+(calcR2LOB1ESAT-obalR2LOB1ESAT)</f>
        <v>0.99349999999999994</v>
      </c>
    </row>
    <row r="1031" spans="1:14" ht="12.75" customHeight="1">
      <c r="A1031" s="461"/>
      <c r="C1031" s="504"/>
      <c r="D1031" s="131" t="s">
        <v>4611</v>
      </c>
      <c r="E1031" s="451">
        <f>1+(cbalLOB1DOOTime2-obalLOB1DOOTime2)</f>
        <v>1</v>
      </c>
      <c r="F1031" s="451">
        <f>1+(cbalLOB1DOOTime2-obalLOB1DOOTime2)</f>
        <v>1</v>
      </c>
      <c r="G1031" s="451">
        <f>1+(cbalLOB1DOOTime2-obalLOB1DOOTime2)</f>
        <v>1</v>
      </c>
      <c r="J1031" s="131" t="s">
        <v>4611</v>
      </c>
      <c r="K1031" s="451">
        <f>1+(cbalR2LOB1DOOTime2-obalR2LOB1DOOTime2)</f>
        <v>1</v>
      </c>
      <c r="L1031" s="451">
        <f>1+(cbalR2LOB1DOOTime2-obalR2LOB1DOOTime2)</f>
        <v>1</v>
      </c>
      <c r="M1031" s="451">
        <f>1+(cbalR2LOB1DOOTime2-obalR2LOB1DOOTime2)</f>
        <v>1</v>
      </c>
    </row>
    <row r="1032" spans="1:14" ht="12.75" customHeight="1">
      <c r="A1032" s="461"/>
      <c r="C1032" s="504"/>
      <c r="D1032" s="131" t="str">
        <f>nmDisc4 &amp; " Productivity"</f>
        <v>OT Productivity</v>
      </c>
      <c r="E1032" s="451">
        <f>paramLOB1Disc4Productivity</f>
        <v>1</v>
      </c>
      <c r="F1032" s="451">
        <f>paramLOB1Disc4Productivity</f>
        <v>1</v>
      </c>
      <c r="G1032" s="451">
        <f>paramLOB1Disc4Productivity</f>
        <v>1</v>
      </c>
      <c r="J1032" s="131" t="str">
        <f>nmDisc4 &amp; " Productivity"</f>
        <v>OT Productivity</v>
      </c>
      <c r="K1032" s="451">
        <f>paramR2LOB1Disc4Productivity</f>
        <v>1</v>
      </c>
      <c r="L1032" s="451">
        <f>paramR2LOB1Disc4Productivity</f>
        <v>1</v>
      </c>
      <c r="M1032" s="451">
        <f>paramR2LOB1Disc4Productivity</f>
        <v>1</v>
      </c>
    </row>
    <row r="1033" spans="1:14" ht="1.5" customHeight="1">
      <c r="A1033" s="461"/>
      <c r="D1033" s="449"/>
      <c r="E1033" s="505"/>
      <c r="F1033" s="505"/>
      <c r="G1033" s="505"/>
      <c r="H1033" s="131"/>
      <c r="J1033" s="449"/>
      <c r="K1033" s="505"/>
      <c r="L1033" s="505"/>
      <c r="M1033" s="505"/>
      <c r="N1033" s="131"/>
    </row>
    <row r="1034" spans="1:14" ht="12.75" customHeight="1">
      <c r="A1034" s="461"/>
      <c r="D1034" s="131" t="s">
        <v>2981</v>
      </c>
      <c r="E1034" s="480">
        <f>MIN(1,PRODUCT(E1029:E1033))</f>
        <v>0.95</v>
      </c>
      <c r="F1034" s="480">
        <f t="shared" ref="F1034" si="137">MIN(1,PRODUCT(F1029:F1033))</f>
        <v>0.97422500000000001</v>
      </c>
      <c r="G1034" s="480">
        <f t="shared" ref="G1034" si="138">MIN(1,PRODUCT(G1029:G1033))</f>
        <v>0.94382499999999991</v>
      </c>
      <c r="H1034" s="131" t="s">
        <v>4612</v>
      </c>
      <c r="J1034" s="131" t="s">
        <v>2981</v>
      </c>
      <c r="K1034" s="480">
        <f>MIN(1,PRODUCT(K1029:K1033))</f>
        <v>0.91670065062109996</v>
      </c>
      <c r="L1034" s="480">
        <f t="shared" ref="L1034:M1034" si="139">MIN(1,PRODUCT(L1029:L1033))</f>
        <v>0.99419661250000024</v>
      </c>
      <c r="M1034" s="480">
        <f t="shared" si="139"/>
        <v>0.93769013749999985</v>
      </c>
      <c r="N1034" s="131" t="s">
        <v>6648</v>
      </c>
    </row>
    <row r="1035" spans="1:14" ht="12.75" customHeight="1">
      <c r="A1035" s="461"/>
    </row>
    <row r="1036" spans="1:14" ht="12.75" customHeight="1">
      <c r="A1036" s="461"/>
      <c r="C1036" s="131" t="s">
        <v>4131</v>
      </c>
      <c r="E1036" s="170">
        <f>decLOB1Cln1Mtng_R1+decLOB1Cln2Mtng_R1+decLOB1Cln3Mtng_R1+decLOB1Cln4Mtng_R1+decLOB1Cln5Mtng_R1+decLOB1Cln6Mtng_R1+decLOB1Cln7Mtng_R1+decLOB1Cln8Mtng_R1+decLOB1Cln9Mtng_R1+decLOB1Cln10Mtng_R1+decLOB1Cln11Mtng_R1+decLOB1Cln12Mtng_R1</f>
        <v>0</v>
      </c>
      <c r="F1036" s="170">
        <f>decLOB1Cln1Mtng_R1+decLOB1Cln2Mtng_R1+decLOB1Cln3Mtng_R1+decLOB1Cln4Mtng_R1+decLOB1Cln5Mtng_R1+decLOB1Cln6Mtng_R1+decLOB1Cln7Mtng_R1+decLOB1Cln8Mtng_R1+decLOB1Cln9Mtng_R1+decLOB1Cln10Mtng_R1+decLOB1Cln11Mtng_R1+decLOB1Cln12Mtng_R1</f>
        <v>0</v>
      </c>
      <c r="G1036" s="170">
        <f>decLOB1Cln1Mtng_R1+decLOB1Cln2Mtng_R1+decLOB1Cln3Mtng_R1+decLOB1Cln4Mtng_R1+decLOB1Cln5Mtng_R1+decLOB1Cln6Mtng_R1+decLOB1Cln7Mtng_R1+decLOB1Cln8Mtng_R1+decLOB1Cln9Mtng_R1+decLOB1Cln10Mtng_R1+decLOB1Cln11Mtng_R1+decLOB1Cln12Mtng_R1</f>
        <v>0</v>
      </c>
      <c r="H1036" s="131" t="s">
        <v>4132</v>
      </c>
      <c r="K1036" s="170">
        <f>decLOB1Cln1Mtng_R2+decLOB1Cln2Mtng_R2+decLOB1Cln3Mtng_R2+decLOB1Cln4Mtng_R2+decLOB1Cln5Mtng_R2+decLOB1Cln6Mtng_R2+decLOB1Cln7Mtng_R2+decLOB1Cln8Mtng_R2+decLOB1Cln9Mtng_R2+decLOB1Cln10Mtng_R2+decLOB1Cln11Mtng_R2+decLOB1Cln12Mtng_R2</f>
        <v>0</v>
      </c>
      <c r="L1036" s="170">
        <f>decLOB1Cln1Mtng_R2+decLOB1Cln2Mtng_R2+decLOB1Cln3Mtng_R2+decLOB1Cln4Mtng_R2+decLOB1Cln5Mtng_R2+decLOB1Cln6Mtng_R2+decLOB1Cln7Mtng_R2+decLOB1Cln8Mtng_R2+decLOB1Cln9Mtng_R2+decLOB1Cln10Mtng_R2+decLOB1Cln11Mtng_R2+decLOB1Cln12Mtng_R2</f>
        <v>0</v>
      </c>
      <c r="M1036" s="170">
        <f>decLOB1Cln1Mtng_R2+decLOB1Cln2Mtng_R2+decLOB1Cln3Mtng_R2+decLOB1Cln4Mtng_R2+decLOB1Cln5Mtng_R2+decLOB1Cln6Mtng_R2+decLOB1Cln7Mtng_R2+decLOB1Cln8Mtng_R2+decLOB1Cln9Mtng_R2+decLOB1Cln10Mtng_R2+decLOB1Cln11Mtng_R2+decLOB1Cln12Mtng_R2</f>
        <v>0</v>
      </c>
      <c r="N1036" s="131" t="s">
        <v>6649</v>
      </c>
    </row>
    <row r="1037" spans="1:14" ht="12.75" customHeight="1">
      <c r="A1037" s="461"/>
    </row>
    <row r="1038" spans="1:14" ht="12.75" customHeight="1">
      <c r="A1038" s="461"/>
    </row>
    <row r="1039" spans="1:14" s="443" customFormat="1" ht="10">
      <c r="B1039" s="85" t="str">
        <f>nmLOB2</f>
        <v>Pleasentville</v>
      </c>
      <c r="E1039" s="85">
        <v>2</v>
      </c>
      <c r="F1039" s="85">
        <v>3</v>
      </c>
      <c r="G1039" s="85">
        <v>4</v>
      </c>
      <c r="I1039" s="170"/>
      <c r="K1039" s="85">
        <v>2</v>
      </c>
      <c r="L1039" s="85">
        <v>3</v>
      </c>
      <c r="M1039" s="85">
        <v>4</v>
      </c>
    </row>
    <row r="1040" spans="1:14" ht="12.75" customHeight="1">
      <c r="A1040" s="478"/>
      <c r="B1040" s="87" t="s">
        <v>2246</v>
      </c>
      <c r="C1040" s="87"/>
    </row>
    <row r="1041" spans="1:14" ht="12.75" customHeight="1">
      <c r="A1041" s="478"/>
      <c r="B1041" s="476"/>
      <c r="C1041" s="477" t="s">
        <v>590</v>
      </c>
      <c r="D1041" s="131"/>
      <c r="J1041" s="131"/>
    </row>
    <row r="1042" spans="1:14" ht="12.75" customHeight="1">
      <c r="A1042" s="478"/>
      <c r="B1042" s="476"/>
      <c r="C1042" s="476"/>
      <c r="D1042" s="170" t="str">
        <f>nmSeg1</f>
        <v>Medicare</v>
      </c>
      <c r="E1042" s="447">
        <f>ROUND(INDEX(dataMMLOB2UnitsNew,4)*obalLOB2MarketShare*cbalLOB2Seg1Perc,0)</f>
        <v>1609</v>
      </c>
      <c r="F1042" s="447">
        <f>ROUND(INDEX(dataMMLOB2UnitsNew,4)*obalLOB2MarketShare*cbalLOB2Seg1Perc,0)</f>
        <v>1609</v>
      </c>
      <c r="G1042" s="447">
        <f>ROUND(INDEX(dataMMLOB2UnitsNew,4)*obalLOB2MarketShare*cbalLOB2Seg1Perc,0)</f>
        <v>1609</v>
      </c>
      <c r="H1042" s="131" t="s">
        <v>2247</v>
      </c>
      <c r="J1042" s="170" t="str">
        <f>nmSeg1</f>
        <v>Medicare</v>
      </c>
      <c r="K1042" s="447">
        <f>ROUND(INDEX(dataMMLOB2UnitsNew,5)*33%*cbalR2LOB2Seg1Perc,0)</f>
        <v>1659</v>
      </c>
      <c r="L1042" s="447">
        <f>ROUND(INDEX(dataMMLOB2UnitsNew,5)*33%*cbalR2LOB2Seg1Perc,0)</f>
        <v>1659</v>
      </c>
      <c r="M1042" s="447">
        <f>ROUND(INDEX(dataMMLOB2UnitsNew,5)*33%*cbalR2LOB2Seg1Perc,0)</f>
        <v>1659</v>
      </c>
      <c r="N1042" s="131" t="s">
        <v>6650</v>
      </c>
    </row>
    <row r="1043" spans="1:14" ht="12.75" customHeight="1">
      <c r="A1043" s="478"/>
      <c r="B1043" s="476"/>
      <c r="C1043" s="476"/>
      <c r="D1043" s="170" t="str">
        <f>nmSeg2</f>
        <v>PPS</v>
      </c>
      <c r="E1043" s="447">
        <f>ROUND(INDEX(dataMMLOB2UnitsNew,4)*obalLOB2MarketShare*cbalLOB2Seg2Perc,0)</f>
        <v>87</v>
      </c>
      <c r="F1043" s="447">
        <f>ROUND(INDEX(dataMMLOB2UnitsNew,4)*obalLOB2MarketShare*cbalLOB2Seg2Perc,0)</f>
        <v>87</v>
      </c>
      <c r="G1043" s="447">
        <f>ROUND(INDEX(dataMMLOB2UnitsNew,4)*obalLOB2MarketShare*cbalLOB2Seg2Perc,0)</f>
        <v>87</v>
      </c>
      <c r="H1043" s="131" t="s">
        <v>2248</v>
      </c>
      <c r="J1043" s="170" t="str">
        <f>nmSeg2</f>
        <v>PPS</v>
      </c>
      <c r="K1043" s="447">
        <f>ROUND(INDEX(dataMMLOB2UnitsNew,5)*33%*cbalR2LOB2Seg2Perc,0)</f>
        <v>90</v>
      </c>
      <c r="L1043" s="447">
        <f>ROUND(INDEX(dataMMLOB2UnitsNew,5)*33%*cbalR2LOB2Seg2Perc,0)</f>
        <v>90</v>
      </c>
      <c r="M1043" s="447">
        <f>ROUND(INDEX(dataMMLOB2UnitsNew,5)*33%*cbalR2LOB2Seg2Perc,0)</f>
        <v>90</v>
      </c>
      <c r="N1043" s="131" t="s">
        <v>6651</v>
      </c>
    </row>
    <row r="1044" spans="1:14" ht="12.75" customHeight="1">
      <c r="A1044" s="478"/>
      <c r="B1044" s="476"/>
      <c r="C1044" s="476"/>
      <c r="D1044" s="170" t="str">
        <f>nmSeg3</f>
        <v>Other</v>
      </c>
      <c r="E1044" s="447">
        <f>ROUND(INDEX(dataMMLOB2UnitsNew,4)*obalLOB2MarketShare*cbalLOB2Seg3Perc,0)</f>
        <v>52</v>
      </c>
      <c r="F1044" s="447">
        <f>ROUND(INDEX(dataMMLOB2UnitsNew,4)*obalLOB2MarketShare*cbalLOB2Seg3Perc,0)</f>
        <v>52</v>
      </c>
      <c r="G1044" s="447">
        <f>ROUND(INDEX(dataMMLOB2UnitsNew,4)*obalLOB2MarketShare*cbalLOB2Seg3Perc,0)</f>
        <v>52</v>
      </c>
      <c r="H1044" s="131" t="s">
        <v>2249</v>
      </c>
      <c r="J1044" s="170" t="str">
        <f>nmSeg3</f>
        <v>Other</v>
      </c>
      <c r="K1044" s="447">
        <f>ROUND(INDEX(dataMMLOB2UnitsNew,5)*33%*cbalR2LOB2Seg3Perc,0)</f>
        <v>54</v>
      </c>
      <c r="L1044" s="447">
        <f>ROUND(INDEX(dataMMLOB2UnitsNew,5)*33%*cbalR2LOB2Seg3Perc,0)</f>
        <v>54</v>
      </c>
      <c r="M1044" s="447">
        <f>ROUND(INDEX(dataMMLOB2UnitsNew,5)*33%*cbalR2LOB2Seg3Perc,0)</f>
        <v>54</v>
      </c>
      <c r="N1044" s="131" t="s">
        <v>6652</v>
      </c>
    </row>
    <row r="1045" spans="1:14" ht="12.75" customHeight="1">
      <c r="A1045" s="478"/>
      <c r="B1045" s="476"/>
      <c r="C1045" s="477" t="s">
        <v>591</v>
      </c>
      <c r="E1045" s="447"/>
      <c r="F1045" s="447"/>
      <c r="G1045" s="447"/>
      <c r="K1045" s="447"/>
      <c r="L1045" s="447"/>
      <c r="M1045" s="447"/>
    </row>
    <row r="1046" spans="1:14" ht="12.75" customHeight="1">
      <c r="A1046" s="478"/>
      <c r="B1046" s="476"/>
      <c r="C1046" s="476"/>
      <c r="D1046" s="170" t="str">
        <f>nmSeg1</f>
        <v>Medicare</v>
      </c>
      <c r="E1046" s="447">
        <f>ROUND(calcLOB2Prod1Seg1RunRate*cbalLOB2Prod2Seg1Perc,0)</f>
        <v>483</v>
      </c>
      <c r="F1046" s="447">
        <f>ROUND(calcLOB2Prod1Seg1RunRate*cbalLOB2Prod2Seg1Perc,0)</f>
        <v>483</v>
      </c>
      <c r="G1046" s="447">
        <f>ROUND(calcLOB2Prod1Seg1RunRate*cbalLOB2Prod2Seg1Perc,0)</f>
        <v>483</v>
      </c>
      <c r="H1046" s="131" t="s">
        <v>2250</v>
      </c>
      <c r="J1046" s="170" t="str">
        <f>nmSeg1</f>
        <v>Medicare</v>
      </c>
      <c r="K1046" s="447">
        <f>ROUND(calcR2LOB2Prod1Seg1RunRate*cbalR2LOB2Prod2Seg1Perc,0)</f>
        <v>498</v>
      </c>
      <c r="L1046" s="447">
        <f>ROUND(calcR2LOB2Prod1Seg1RunRate*cbalR2LOB2Prod2Seg1Perc,0)</f>
        <v>498</v>
      </c>
      <c r="M1046" s="447">
        <f>ROUND(calcR2LOB2Prod1Seg1RunRate*cbalR2LOB2Prod2Seg1Perc,0)</f>
        <v>498</v>
      </c>
      <c r="N1046" s="131" t="s">
        <v>6653</v>
      </c>
    </row>
    <row r="1047" spans="1:14" ht="12.75" customHeight="1">
      <c r="A1047" s="478"/>
      <c r="B1047" s="476"/>
      <c r="C1047" s="476"/>
      <c r="D1047" s="170" t="str">
        <f>nmSeg2</f>
        <v>PPS</v>
      </c>
      <c r="E1047" s="447">
        <f>ROUND(calcLOB2Prod1Seg2RunRate*cbalLOB2Prod2Seg2Perc,0)</f>
        <v>26</v>
      </c>
      <c r="F1047" s="447">
        <f>ROUND(calcLOB2Prod1Seg2RunRate*cbalLOB2Prod2Seg2Perc,0)</f>
        <v>26</v>
      </c>
      <c r="G1047" s="447">
        <f>ROUND(calcLOB2Prod1Seg2RunRate*cbalLOB2Prod2Seg2Perc,0)</f>
        <v>26</v>
      </c>
      <c r="H1047" s="131" t="s">
        <v>2251</v>
      </c>
      <c r="J1047" s="170" t="str">
        <f>nmSeg2</f>
        <v>PPS</v>
      </c>
      <c r="K1047" s="447">
        <f>ROUND(calcR2LOB2Prod1Seg2RunRate*cbalR2LOB2Prod2Seg2Perc,0)</f>
        <v>27</v>
      </c>
      <c r="L1047" s="447">
        <f>ROUND(calcR2LOB2Prod1Seg2RunRate*cbalR2LOB2Prod2Seg2Perc,0)</f>
        <v>27</v>
      </c>
      <c r="M1047" s="447">
        <f>ROUND(calcR2LOB2Prod1Seg2RunRate*cbalR2LOB2Prod2Seg2Perc,0)</f>
        <v>27</v>
      </c>
      <c r="N1047" s="131" t="s">
        <v>6654</v>
      </c>
    </row>
    <row r="1048" spans="1:14" ht="12.75" customHeight="1">
      <c r="A1048" s="478"/>
      <c r="B1048" s="476"/>
      <c r="C1048" s="476"/>
      <c r="D1048" s="170" t="str">
        <f>nmSeg3</f>
        <v>Other</v>
      </c>
      <c r="E1048" s="447">
        <f>ROUND(calcLOB2Prod1Seg3RunRate*cbalLOB2Prod2Seg3Perc,0)</f>
        <v>16</v>
      </c>
      <c r="F1048" s="447">
        <f>ROUND(calcLOB2Prod1Seg3RunRate*cbalLOB2Prod2Seg3Perc,0)</f>
        <v>16</v>
      </c>
      <c r="G1048" s="447">
        <f>ROUND(calcLOB2Prod1Seg3RunRate*cbalLOB2Prod2Seg3Perc,0)</f>
        <v>16</v>
      </c>
      <c r="H1048" s="131" t="s">
        <v>2252</v>
      </c>
      <c r="J1048" s="170" t="str">
        <f>nmSeg3</f>
        <v>Other</v>
      </c>
      <c r="K1048" s="447">
        <f>ROUND(calcR2LOB2Prod1Seg3RunRate*cbalR2LOB2Prod2Seg3Perc,)</f>
        <v>16</v>
      </c>
      <c r="L1048" s="447">
        <f>ROUND(calcR2LOB2Prod1Seg3RunRate*cbalR2LOB2Prod2Seg3Perc,)</f>
        <v>16</v>
      </c>
      <c r="M1048" s="447">
        <f>ROUND(calcR2LOB2Prod1Seg3RunRate*cbalR2LOB2Prod2Seg3Perc,)</f>
        <v>16</v>
      </c>
      <c r="N1048" s="131" t="s">
        <v>6655</v>
      </c>
    </row>
    <row r="1049" spans="1:14" ht="1.5" customHeight="1">
      <c r="A1049" s="478"/>
      <c r="B1049" s="476"/>
      <c r="C1049" s="476"/>
      <c r="D1049" s="449"/>
      <c r="E1049" s="450"/>
      <c r="F1049" s="450"/>
      <c r="G1049" s="450"/>
      <c r="H1049" s="131"/>
      <c r="J1049" s="449"/>
      <c r="K1049" s="450"/>
      <c r="L1049" s="450"/>
      <c r="M1049" s="450"/>
      <c r="N1049" s="131"/>
    </row>
    <row r="1050" spans="1:14" ht="12.75" customHeight="1">
      <c r="A1050" s="478"/>
      <c r="B1050" s="476"/>
      <c r="C1050" s="476"/>
      <c r="D1050" s="131" t="s">
        <v>1583</v>
      </c>
      <c r="E1050" s="448">
        <f>SUM(E1042:E1049)</f>
        <v>2273</v>
      </c>
      <c r="F1050" s="448">
        <f t="shared" ref="F1050" si="140">SUM(F1042:F1049)</f>
        <v>2273</v>
      </c>
      <c r="G1050" s="448">
        <f t="shared" ref="G1050" si="141">SUM(G1042:G1049)</f>
        <v>2273</v>
      </c>
      <c r="H1050" s="131" t="s">
        <v>2253</v>
      </c>
      <c r="J1050" s="131" t="s">
        <v>1583</v>
      </c>
      <c r="K1050" s="448">
        <f>SUM(K1042:K1049)</f>
        <v>2344</v>
      </c>
      <c r="L1050" s="448">
        <f t="shared" ref="L1050:M1050" si="142">SUM(L1042:L1049)</f>
        <v>2344</v>
      </c>
      <c r="M1050" s="448">
        <f t="shared" si="142"/>
        <v>2344</v>
      </c>
      <c r="N1050" s="131" t="s">
        <v>6656</v>
      </c>
    </row>
    <row r="1051" spans="1:14" ht="12.75" customHeight="1">
      <c r="A1051" s="478"/>
    </row>
    <row r="1052" spans="1:14" ht="12.75" customHeight="1">
      <c r="A1052" s="478"/>
      <c r="B1052" s="476"/>
      <c r="C1052" s="477" t="s">
        <v>590</v>
      </c>
      <c r="D1052" s="131"/>
    </row>
    <row r="1053" spans="1:14" ht="12.75" customHeight="1">
      <c r="A1053" s="478"/>
      <c r="B1053" s="476"/>
      <c r="C1053" s="476"/>
      <c r="D1053" s="170" t="str">
        <f>nmSeg1</f>
        <v>Medicare</v>
      </c>
      <c r="E1053" s="447">
        <f>ROUND(calcLOB2Prod1Seg1RunRate/paramTimeConversion,0)</f>
        <v>134</v>
      </c>
      <c r="F1053" s="447">
        <f>ROUND(calcLOB2Prod1Seg1RunRate/paramTimeConversion,0)</f>
        <v>134</v>
      </c>
      <c r="G1053" s="447">
        <f>ROUND(calcLOB2Prod1Seg1RunRate/paramTimeConversion,0)</f>
        <v>134</v>
      </c>
      <c r="H1053" s="131" t="s">
        <v>8448</v>
      </c>
      <c r="J1053" s="170" t="str">
        <f>nmSeg1</f>
        <v>Medicare</v>
      </c>
      <c r="K1053" s="447">
        <f>ROUND(calcR2LOB2Prod1Seg1RunRate/paramR2TimeConversion,0)</f>
        <v>138</v>
      </c>
      <c r="L1053" s="447">
        <f>ROUND(calcR2LOB2Prod1Seg1RunRate/paramR2TimeConversion,0)</f>
        <v>138</v>
      </c>
      <c r="M1053" s="447">
        <f>ROUND(calcR2LOB2Prod1Seg1RunRate/paramR2TimeConversion,0)</f>
        <v>138</v>
      </c>
      <c r="N1053" s="131" t="s">
        <v>8449</v>
      </c>
    </row>
    <row r="1054" spans="1:14" ht="12.75" customHeight="1">
      <c r="A1054" s="478"/>
      <c r="B1054" s="476"/>
      <c r="C1054" s="476"/>
      <c r="D1054" s="170" t="str">
        <f>nmSeg2</f>
        <v>PPS</v>
      </c>
      <c r="E1054" s="447">
        <f>ROUND(calcLOB2Prod1Seg2RunRate/paramTimeConversion,0)</f>
        <v>7</v>
      </c>
      <c r="F1054" s="447">
        <f>ROUND(calcLOB2Prod1Seg2RunRate/paramTimeConversion,0)</f>
        <v>7</v>
      </c>
      <c r="G1054" s="447">
        <f>ROUND(calcLOB2Prod1Seg2RunRate/paramTimeConversion,0)</f>
        <v>7</v>
      </c>
      <c r="H1054" s="131" t="s">
        <v>8450</v>
      </c>
      <c r="J1054" s="170" t="str">
        <f>nmSeg2</f>
        <v>PPS</v>
      </c>
      <c r="K1054" s="447">
        <f>ROUND(calcR2LOB2Prod1Seg2RunRate/paramR2TimeConversion,0)</f>
        <v>8</v>
      </c>
      <c r="L1054" s="447">
        <f>ROUND(calcR2LOB2Prod1Seg2RunRate/paramR2TimeConversion,0)</f>
        <v>8</v>
      </c>
      <c r="M1054" s="447">
        <f>ROUND(calcR2LOB2Prod1Seg2RunRate/paramR2TimeConversion,0)</f>
        <v>8</v>
      </c>
      <c r="N1054" s="131" t="s">
        <v>8451</v>
      </c>
    </row>
    <row r="1055" spans="1:14" ht="12.75" customHeight="1">
      <c r="A1055" s="478"/>
      <c r="B1055" s="476"/>
      <c r="C1055" s="476"/>
      <c r="D1055" s="170" t="str">
        <f>nmSeg3</f>
        <v>Other</v>
      </c>
      <c r="E1055" s="447">
        <f>ROUND(calcLOB2Prod1Seg3RunRate/paramTimeConversion,0)</f>
        <v>4</v>
      </c>
      <c r="F1055" s="447">
        <f>ROUND(calcLOB2Prod1Seg3RunRate/paramTimeConversion,0)</f>
        <v>4</v>
      </c>
      <c r="G1055" s="447">
        <f>ROUND(calcLOB2Prod1Seg3RunRate/paramTimeConversion,0)</f>
        <v>4</v>
      </c>
      <c r="H1055" s="131" t="s">
        <v>8452</v>
      </c>
      <c r="J1055" s="170" t="str">
        <f>nmSeg3</f>
        <v>Other</v>
      </c>
      <c r="K1055" s="447">
        <f>ROUND(calcR2LOB2Prod1Seg3RunRate/paramR2TimeConversion,0)</f>
        <v>5</v>
      </c>
      <c r="L1055" s="447">
        <f>ROUND(calcR2LOB2Prod1Seg3RunRate/paramR2TimeConversion,0)</f>
        <v>5</v>
      </c>
      <c r="M1055" s="447">
        <f>ROUND(calcR2LOB2Prod1Seg3RunRate/paramR2TimeConversion,0)</f>
        <v>5</v>
      </c>
      <c r="N1055" s="131" t="s">
        <v>8453</v>
      </c>
    </row>
    <row r="1056" spans="1:14" ht="12.75" customHeight="1">
      <c r="A1056" s="478"/>
      <c r="B1056" s="476"/>
      <c r="C1056" s="477" t="s">
        <v>591</v>
      </c>
      <c r="E1056" s="447"/>
      <c r="F1056" s="447"/>
      <c r="G1056" s="447"/>
      <c r="K1056" s="447"/>
      <c r="L1056" s="447"/>
      <c r="M1056" s="447"/>
    </row>
    <row r="1057" spans="1:14" ht="12.75" customHeight="1">
      <c r="A1057" s="478"/>
      <c r="B1057" s="476"/>
      <c r="C1057" s="476"/>
      <c r="D1057" s="170" t="str">
        <f>nmSeg1</f>
        <v>Medicare</v>
      </c>
      <c r="E1057" s="447">
        <f>ROUND(calcLOB2Prod2Seg1RunRate/paramTimeConversion,0)</f>
        <v>40</v>
      </c>
      <c r="F1057" s="447">
        <f>ROUND(calcLOB2Prod2Seg1RunRate/paramTimeConversion,0)</f>
        <v>40</v>
      </c>
      <c r="G1057" s="447">
        <f>ROUND(calcLOB2Prod2Seg1RunRate/paramTimeConversion,0)</f>
        <v>40</v>
      </c>
      <c r="H1057" s="131" t="s">
        <v>8454</v>
      </c>
      <c r="J1057" s="170" t="str">
        <f>nmSeg1</f>
        <v>Medicare</v>
      </c>
      <c r="K1057" s="447">
        <f>ROUND(calcR2LOB2Prod2Seg1RunRate/paramR2TimeConversion,0)</f>
        <v>42</v>
      </c>
      <c r="L1057" s="447">
        <f>ROUND(calcR2LOB2Prod2Seg1RunRate/paramR2TimeConversion,0)</f>
        <v>42</v>
      </c>
      <c r="M1057" s="447">
        <f>ROUND(calcR2LOB2Prod2Seg1RunRate/paramR2TimeConversion,0)</f>
        <v>42</v>
      </c>
      <c r="N1057" s="131" t="s">
        <v>8455</v>
      </c>
    </row>
    <row r="1058" spans="1:14" ht="12.75" customHeight="1">
      <c r="A1058" s="478"/>
      <c r="B1058" s="476"/>
      <c r="C1058" s="476"/>
      <c r="D1058" s="170" t="str">
        <f>nmSeg2</f>
        <v>PPS</v>
      </c>
      <c r="E1058" s="447">
        <f>ROUND(calcLOB2Prod2Seg2RunRate/paramTimeConversion,0)</f>
        <v>2</v>
      </c>
      <c r="F1058" s="447">
        <f>ROUND(calcLOB2Prod2Seg2RunRate/paramTimeConversion,0)</f>
        <v>2</v>
      </c>
      <c r="G1058" s="447">
        <f>ROUND(calcLOB2Prod2Seg2RunRate/paramTimeConversion,0)</f>
        <v>2</v>
      </c>
      <c r="H1058" s="131" t="s">
        <v>8456</v>
      </c>
      <c r="J1058" s="170" t="str">
        <f>nmSeg2</f>
        <v>PPS</v>
      </c>
      <c r="K1058" s="447">
        <f>ROUND(calcR2LOB2Prod2Seg2RunRate/paramR2TimeConversion,0)</f>
        <v>2</v>
      </c>
      <c r="L1058" s="447">
        <f>ROUND(calcR2LOB2Prod2Seg2RunRate/paramR2TimeConversion,0)</f>
        <v>2</v>
      </c>
      <c r="M1058" s="447">
        <f>ROUND(calcR2LOB2Prod2Seg2RunRate/paramR2TimeConversion,0)</f>
        <v>2</v>
      </c>
      <c r="N1058" s="131" t="s">
        <v>8457</v>
      </c>
    </row>
    <row r="1059" spans="1:14" ht="12.75" customHeight="1">
      <c r="A1059" s="478"/>
      <c r="B1059" s="476"/>
      <c r="C1059" s="476"/>
      <c r="D1059" s="170" t="str">
        <f>nmSeg3</f>
        <v>Other</v>
      </c>
      <c r="E1059" s="447">
        <f>ROUND(calcLOB2Prod2Seg3RunRate/paramTimeConversion,0)</f>
        <v>1</v>
      </c>
      <c r="F1059" s="447">
        <f>ROUND(calcLOB2Prod2Seg3RunRate/paramTimeConversion,0)</f>
        <v>1</v>
      </c>
      <c r="G1059" s="447">
        <f>ROUND(calcLOB2Prod2Seg3RunRate/paramTimeConversion,0)</f>
        <v>1</v>
      </c>
      <c r="H1059" s="131" t="s">
        <v>8458</v>
      </c>
      <c r="J1059" s="170" t="str">
        <f>nmSeg3</f>
        <v>Other</v>
      </c>
      <c r="K1059" s="447">
        <f>ROUND(calcR2LOB2Prod2Seg3RunRate/paramR2TimeConversion,0)</f>
        <v>1</v>
      </c>
      <c r="L1059" s="447">
        <f>ROUND(calcR2LOB2Prod2Seg3RunRate/paramR2TimeConversion,0)</f>
        <v>1</v>
      </c>
      <c r="M1059" s="447">
        <f>ROUND(calcR2LOB2Prod2Seg3RunRate/paramR2TimeConversion,0)</f>
        <v>1</v>
      </c>
      <c r="N1059" s="131" t="s">
        <v>8459</v>
      </c>
    </row>
    <row r="1060" spans="1:14" ht="1.5" customHeight="1">
      <c r="A1060" s="478"/>
      <c r="B1060" s="476"/>
      <c r="C1060" s="476"/>
      <c r="D1060" s="449"/>
      <c r="E1060" s="450"/>
      <c r="F1060" s="450"/>
      <c r="G1060" s="450"/>
      <c r="H1060" s="131"/>
      <c r="J1060" s="449"/>
      <c r="K1060" s="450"/>
      <c r="L1060" s="450"/>
      <c r="M1060" s="450"/>
      <c r="N1060" s="131"/>
    </row>
    <row r="1061" spans="1:14" ht="12.75" customHeight="1">
      <c r="A1061" s="478"/>
      <c r="B1061" s="476"/>
      <c r="C1061" s="476"/>
      <c r="D1061" s="131" t="s">
        <v>1583</v>
      </c>
      <c r="E1061" s="448">
        <f>SUM(E1053:E1060)</f>
        <v>188</v>
      </c>
      <c r="F1061" s="448">
        <f t="shared" ref="F1061:G1061" si="143">SUM(F1053:F1060)</f>
        <v>188</v>
      </c>
      <c r="G1061" s="448">
        <f t="shared" si="143"/>
        <v>188</v>
      </c>
      <c r="H1061" s="131" t="s">
        <v>8460</v>
      </c>
      <c r="J1061" s="131" t="s">
        <v>1583</v>
      </c>
      <c r="K1061" s="448">
        <f>SUM(K1053:K1060)</f>
        <v>196</v>
      </c>
      <c r="L1061" s="448">
        <f t="shared" ref="L1061:M1061" si="144">SUM(L1053:L1060)</f>
        <v>196</v>
      </c>
      <c r="M1061" s="448">
        <f t="shared" si="144"/>
        <v>196</v>
      </c>
      <c r="N1061" s="131" t="s">
        <v>8461</v>
      </c>
    </row>
    <row r="1062" spans="1:14" ht="12.75" customHeight="1">
      <c r="A1062" s="478"/>
    </row>
    <row r="1063" spans="1:14" ht="12.75" customHeight="1">
      <c r="A1063" s="478"/>
      <c r="B1063" s="87" t="s">
        <v>2246</v>
      </c>
      <c r="C1063" s="87"/>
    </row>
    <row r="1064" spans="1:14" ht="12.75" customHeight="1">
      <c r="A1064" s="478"/>
      <c r="B1064" s="476"/>
      <c r="C1064" s="477" t="s">
        <v>590</v>
      </c>
      <c r="D1064" s="131"/>
      <c r="J1064" s="131"/>
    </row>
    <row r="1065" spans="1:14" ht="12.75" customHeight="1">
      <c r="A1065" s="478"/>
      <c r="B1065" s="476"/>
      <c r="C1065" s="637">
        <v>0.03</v>
      </c>
      <c r="D1065" s="170" t="str">
        <f>nmSeg1</f>
        <v>Medicare</v>
      </c>
      <c r="E1065" s="447">
        <f>ROUND(INDEX(dataMMLOB2UnitsNew,4)*(obalLOB2MarketShare+$C1065)*cbalLOB2Seg1Perc,0)</f>
        <v>1754</v>
      </c>
      <c r="F1065" s="447">
        <f>ROUND(INDEX(dataMMLOB2UnitsNew,4)*(obalLOB2MarketShare+$C1065)*cbalLOB2Seg1Perc,0)</f>
        <v>1754</v>
      </c>
      <c r="G1065" s="447">
        <f>ROUND(INDEX(dataMMLOB2UnitsNew,4)*(obalLOB2MarketShare+$C1065)*cbalLOB2Seg1Perc,0)</f>
        <v>1754</v>
      </c>
      <c r="H1065" s="131" t="s">
        <v>5013</v>
      </c>
      <c r="J1065" s="170" t="str">
        <f>nmSeg1</f>
        <v>Medicare</v>
      </c>
      <c r="K1065" s="447">
        <f>ROUND(INDEX(dataMMLOB2UnitsNew,5)*(33%+$C1065)*cbalR2LOB2Seg1Perc,0)</f>
        <v>1809</v>
      </c>
      <c r="L1065" s="447">
        <f>ROUND(INDEX(dataMMLOB2UnitsNew,5)*(33%+$C1065)*cbalR2LOB2Seg1Perc,0)</f>
        <v>1809</v>
      </c>
      <c r="M1065" s="447">
        <f>ROUND(INDEX(dataMMLOB2UnitsNew,5)*(33%+$C1065)*cbalR2LOB2Seg1Perc,0)</f>
        <v>1809</v>
      </c>
      <c r="N1065" s="131" t="s">
        <v>6657</v>
      </c>
    </row>
    <row r="1066" spans="1:14" ht="12.75" customHeight="1">
      <c r="A1066" s="478"/>
      <c r="B1066" s="476"/>
      <c r="C1066" s="637">
        <v>0.03</v>
      </c>
      <c r="D1066" s="170" t="str">
        <f>nmSeg2</f>
        <v>PPS</v>
      </c>
      <c r="E1066" s="447">
        <f>ROUND(INDEX(dataMMLOB2UnitsNew,4)*(obalLOB2MarketShare+$C1066)*cbalLOB2Seg2Perc,0)</f>
        <v>95</v>
      </c>
      <c r="F1066" s="447">
        <f>ROUND(INDEX(dataMMLOB2UnitsNew,4)*(obalLOB2MarketShare+$C1066)*cbalLOB2Seg2Perc,0)</f>
        <v>95</v>
      </c>
      <c r="G1066" s="447">
        <f>ROUND(INDEX(dataMMLOB2UnitsNew,4)*(obalLOB2MarketShare+$C1066)*cbalLOB2Seg2Perc,0)</f>
        <v>95</v>
      </c>
      <c r="H1066" s="131" t="s">
        <v>5014</v>
      </c>
      <c r="J1066" s="170" t="str">
        <f>nmSeg2</f>
        <v>PPS</v>
      </c>
      <c r="K1066" s="447">
        <f>ROUND(INDEX(dataMMLOB2UnitsNew,5)*(33%+$C1066)*cbalR2LOB2Seg2Perc,0)</f>
        <v>98</v>
      </c>
      <c r="L1066" s="447">
        <f>ROUND(INDEX(dataMMLOB2UnitsNew,5)*(33%+$C1066)*cbalR2LOB2Seg2Perc,0)</f>
        <v>98</v>
      </c>
      <c r="M1066" s="447">
        <f>ROUND(INDEX(dataMMLOB2UnitsNew,5)*(33%+$C1066)*cbalR2LOB2Seg2Perc,0)</f>
        <v>98</v>
      </c>
      <c r="N1066" s="131" t="s">
        <v>6658</v>
      </c>
    </row>
    <row r="1067" spans="1:14" ht="12.75" customHeight="1">
      <c r="A1067" s="478"/>
      <c r="B1067" s="476"/>
      <c r="C1067" s="637">
        <v>0.03</v>
      </c>
      <c r="D1067" s="170" t="str">
        <f>nmSeg3</f>
        <v>Other</v>
      </c>
      <c r="E1067" s="447">
        <f>ROUND(INDEX(dataMMLOB2UnitsNew,4)*(obalLOB2MarketShare+$C1067)*cbalLOB2Seg3Perc,0)</f>
        <v>57</v>
      </c>
      <c r="F1067" s="447">
        <f>ROUND(INDEX(dataMMLOB2UnitsNew,4)*(obalLOB2MarketShare+$C1067)*cbalLOB2Seg3Perc,0)</f>
        <v>57</v>
      </c>
      <c r="G1067" s="447">
        <f>ROUND(INDEX(dataMMLOB2UnitsNew,4)*(obalLOB2MarketShare+$C1067)*cbalLOB2Seg3Perc,0)</f>
        <v>57</v>
      </c>
      <c r="H1067" s="131" t="s">
        <v>5015</v>
      </c>
      <c r="J1067" s="170" t="str">
        <f>nmSeg3</f>
        <v>Other</v>
      </c>
      <c r="K1067" s="447">
        <f>ROUND(INDEX(dataMMLOB2UnitsNew,5)*(33%+$C1067)*cbalR2LOB2Seg3Perc,0)</f>
        <v>59</v>
      </c>
      <c r="L1067" s="447">
        <f>ROUND(INDEX(dataMMLOB2UnitsNew,5)*(33%+$C1067)*cbalR2LOB2Seg3Perc,0)</f>
        <v>59</v>
      </c>
      <c r="M1067" s="447">
        <f>ROUND(INDEX(dataMMLOB2UnitsNew,5)*(33%+$C1067)*cbalR2LOB2Seg3Perc,0)</f>
        <v>59</v>
      </c>
      <c r="N1067" s="131" t="s">
        <v>6659</v>
      </c>
    </row>
    <row r="1068" spans="1:14" ht="12.75" customHeight="1">
      <c r="A1068" s="478"/>
      <c r="B1068" s="476"/>
      <c r="C1068" s="477" t="s">
        <v>591</v>
      </c>
      <c r="E1068" s="447"/>
      <c r="F1068" s="447"/>
      <c r="G1068" s="447"/>
      <c r="K1068" s="447"/>
      <c r="L1068" s="447"/>
      <c r="M1068" s="447"/>
    </row>
    <row r="1069" spans="1:14" ht="12.75" customHeight="1">
      <c r="A1069" s="478"/>
      <c r="B1069" s="476"/>
      <c r="C1069" s="476"/>
      <c r="D1069" s="170" t="str">
        <f>nmSeg1</f>
        <v>Medicare</v>
      </c>
      <c r="E1069" s="447">
        <f>ROUND(calcLOB2Prod1Seg1Budget*cbalLOB2Prod2Seg1Perc,0)</f>
        <v>526</v>
      </c>
      <c r="F1069" s="447">
        <f>ROUND(calcLOB2Prod1Seg1Budget*cbalLOB2Prod2Seg1Perc,0)</f>
        <v>526</v>
      </c>
      <c r="G1069" s="447">
        <f>ROUND(calcLOB2Prod1Seg1Budget*cbalLOB2Prod2Seg1Perc,0)</f>
        <v>526</v>
      </c>
      <c r="H1069" s="131" t="s">
        <v>5016</v>
      </c>
      <c r="J1069" s="170" t="str">
        <f>nmSeg1</f>
        <v>Medicare</v>
      </c>
      <c r="K1069" s="447">
        <f>ROUND(calcR2LOB2Prod1Seg1Budget*cbalR2LOB2Prod2Seg1Perc,0)</f>
        <v>543</v>
      </c>
      <c r="L1069" s="447">
        <f>ROUND(calcR2LOB2Prod1Seg1Budget*cbalR2LOB2Prod2Seg1Perc,0)</f>
        <v>543</v>
      </c>
      <c r="M1069" s="447">
        <f>ROUND(calcR2LOB2Prod1Seg1Budget*cbalR2LOB2Prod2Seg1Perc,0)</f>
        <v>543</v>
      </c>
      <c r="N1069" s="131" t="s">
        <v>6660</v>
      </c>
    </row>
    <row r="1070" spans="1:14" ht="12.75" customHeight="1">
      <c r="A1070" s="478"/>
      <c r="B1070" s="476"/>
      <c r="C1070" s="476"/>
      <c r="D1070" s="170" t="str">
        <f>nmSeg2</f>
        <v>PPS</v>
      </c>
      <c r="E1070" s="447">
        <f>ROUND(calcLOB2Prod1Seg2Budget*cbalLOB2Prod2Seg2Perc,0)</f>
        <v>29</v>
      </c>
      <c r="F1070" s="447">
        <f>ROUND(calcLOB2Prod1Seg2Budget*cbalLOB2Prod2Seg2Perc,0)</f>
        <v>29</v>
      </c>
      <c r="G1070" s="447">
        <f>ROUND(calcLOB2Prod1Seg2Budget*cbalLOB2Prod2Seg2Perc,0)</f>
        <v>29</v>
      </c>
      <c r="H1070" s="131" t="s">
        <v>5017</v>
      </c>
      <c r="J1070" s="170" t="str">
        <f>nmSeg2</f>
        <v>PPS</v>
      </c>
      <c r="K1070" s="447">
        <f>ROUND(calcR2LOB2Prod1Seg2Budget*cbalR2LOB2Prod2Seg2Perc,0)</f>
        <v>29</v>
      </c>
      <c r="L1070" s="447">
        <f>ROUND(calcR2LOB2Prod1Seg2Budget*cbalR2LOB2Prod2Seg2Perc,0)</f>
        <v>29</v>
      </c>
      <c r="M1070" s="447">
        <f>ROUND(calcR2LOB2Prod1Seg2Budget*cbalR2LOB2Prod2Seg2Perc,0)</f>
        <v>29</v>
      </c>
      <c r="N1070" s="131" t="s">
        <v>6661</v>
      </c>
    </row>
    <row r="1071" spans="1:14" ht="12.75" customHeight="1">
      <c r="A1071" s="478"/>
      <c r="B1071" s="476"/>
      <c r="C1071" s="476"/>
      <c r="D1071" s="170" t="str">
        <f>nmSeg3</f>
        <v>Other</v>
      </c>
      <c r="E1071" s="447">
        <f>ROUND(calcLOB2Prod1Seg3Budget*cbalLOB2Prod2Seg3Perc,0)</f>
        <v>17</v>
      </c>
      <c r="F1071" s="447">
        <f>ROUND(calcLOB2Prod1Seg3Budget*cbalLOB2Prod2Seg3Perc,0)</f>
        <v>17</v>
      </c>
      <c r="G1071" s="447">
        <f>ROUND(calcLOB2Prod1Seg3Budget*cbalLOB2Prod2Seg3Perc,0)</f>
        <v>17</v>
      </c>
      <c r="H1071" s="131" t="s">
        <v>5018</v>
      </c>
      <c r="J1071" s="170" t="str">
        <f>nmSeg3</f>
        <v>Other</v>
      </c>
      <c r="K1071" s="447">
        <f>ROUND(calcR2LOB2Prod1Seg3Budget*cbalR2LOB2Prod2Seg3Perc,0)</f>
        <v>18</v>
      </c>
      <c r="L1071" s="447">
        <f>ROUND(calcR2LOB2Prod1Seg3Budget*cbalR2LOB2Prod2Seg3Perc,0)</f>
        <v>18</v>
      </c>
      <c r="M1071" s="447">
        <f>ROUND(calcR2LOB2Prod1Seg3Budget*cbalR2LOB2Prod2Seg3Perc,0)</f>
        <v>18</v>
      </c>
      <c r="N1071" s="131" t="s">
        <v>6662</v>
      </c>
    </row>
    <row r="1072" spans="1:14" ht="1.5" customHeight="1">
      <c r="A1072" s="478"/>
      <c r="B1072" s="476"/>
      <c r="C1072" s="476"/>
      <c r="D1072" s="449"/>
      <c r="E1072" s="450"/>
      <c r="F1072" s="450"/>
      <c r="G1072" s="450"/>
      <c r="H1072" s="131"/>
      <c r="J1072" s="449"/>
      <c r="K1072" s="450"/>
      <c r="L1072" s="450"/>
      <c r="M1072" s="450"/>
      <c r="N1072" s="131"/>
    </row>
    <row r="1073" spans="1:14" ht="12.75" customHeight="1">
      <c r="A1073" s="478"/>
      <c r="B1073" s="476"/>
      <c r="C1073" s="476"/>
      <c r="D1073" s="131" t="s">
        <v>1583</v>
      </c>
      <c r="E1073" s="448">
        <f>SUM(E1065:E1072)</f>
        <v>2478</v>
      </c>
      <c r="F1073" s="448">
        <f t="shared" ref="F1073:G1073" si="145">SUM(F1065:F1072)</f>
        <v>2478</v>
      </c>
      <c r="G1073" s="448">
        <f t="shared" si="145"/>
        <v>2478</v>
      </c>
      <c r="H1073" s="131" t="s">
        <v>5019</v>
      </c>
      <c r="J1073" s="131" t="s">
        <v>1583</v>
      </c>
      <c r="K1073" s="448">
        <f>SUM(K1065:K1072)</f>
        <v>2556</v>
      </c>
      <c r="L1073" s="448">
        <f t="shared" ref="L1073:M1073" si="146">SUM(L1065:L1072)</f>
        <v>2556</v>
      </c>
      <c r="M1073" s="448">
        <f t="shared" si="146"/>
        <v>2556</v>
      </c>
      <c r="N1073" s="131" t="s">
        <v>6663</v>
      </c>
    </row>
    <row r="1074" spans="1:14" ht="12.75" customHeight="1">
      <c r="A1074" s="478"/>
    </row>
    <row r="1075" spans="1:14" ht="12.75" customHeight="1">
      <c r="A1075" s="478"/>
      <c r="B1075" s="476"/>
      <c r="C1075" s="477" t="s">
        <v>590</v>
      </c>
      <c r="D1075" s="131"/>
    </row>
    <row r="1076" spans="1:14" ht="12.75" customHeight="1">
      <c r="A1076" s="478"/>
      <c r="B1076" s="476"/>
      <c r="C1076" s="476"/>
      <c r="D1076" s="170" t="str">
        <f>nmSeg1</f>
        <v>Medicare</v>
      </c>
      <c r="E1076" s="447">
        <f>ROUND(calcLOB2Prod1Seg1Budget/paramTimeConversion,0)</f>
        <v>146</v>
      </c>
      <c r="F1076" s="447">
        <f>ROUND(calcLOB2Prod1Seg1Budget/paramTimeConversion,0)</f>
        <v>146</v>
      </c>
      <c r="G1076" s="447">
        <f>ROUND(calcLOB2Prod1Seg1Budget/paramTimeConversion,0)</f>
        <v>146</v>
      </c>
      <c r="H1076" s="131" t="s">
        <v>8462</v>
      </c>
      <c r="J1076" s="170" t="str">
        <f>nmSeg1</f>
        <v>Medicare</v>
      </c>
      <c r="K1076" s="447">
        <f>ROUND(calcR2LOB2Prod1Seg1Budget/paramR2TimeConversion,0)</f>
        <v>151</v>
      </c>
      <c r="L1076" s="447">
        <f>ROUND(calcR2LOB2Prod1Seg1Budget/paramR2TimeConversion,0)</f>
        <v>151</v>
      </c>
      <c r="M1076" s="447">
        <f>ROUND(calcR2LOB2Prod1Seg1Budget/paramR2TimeConversion,0)</f>
        <v>151</v>
      </c>
      <c r="N1076" s="131" t="s">
        <v>8463</v>
      </c>
    </row>
    <row r="1077" spans="1:14" ht="12.75" customHeight="1">
      <c r="A1077" s="478"/>
      <c r="B1077" s="476"/>
      <c r="C1077" s="476"/>
      <c r="D1077" s="170" t="str">
        <f>nmSeg2</f>
        <v>PPS</v>
      </c>
      <c r="E1077" s="447">
        <f>ROUND(calcLOB2Prod1Seg2Budget/paramTimeConversion,0)</f>
        <v>8</v>
      </c>
      <c r="F1077" s="447">
        <f>ROUND(calcLOB2Prod1Seg2Budget/paramTimeConversion,0)</f>
        <v>8</v>
      </c>
      <c r="G1077" s="447">
        <f>ROUND(calcLOB2Prod1Seg2Budget/paramTimeConversion,0)</f>
        <v>8</v>
      </c>
      <c r="H1077" s="131" t="s">
        <v>8464</v>
      </c>
      <c r="J1077" s="170" t="str">
        <f>nmSeg2</f>
        <v>PPS</v>
      </c>
      <c r="K1077" s="447">
        <f>ROUND(calcR2LOB2Prod1Seg2Budget/paramR2TimeConversion,0)</f>
        <v>8</v>
      </c>
      <c r="L1077" s="447">
        <f>ROUND(calcR2LOB2Prod1Seg2Budget/paramR2TimeConversion,0)</f>
        <v>8</v>
      </c>
      <c r="M1077" s="447">
        <f>ROUND(calcR2LOB2Prod1Seg2Budget/paramR2TimeConversion,0)</f>
        <v>8</v>
      </c>
      <c r="N1077" s="131" t="s">
        <v>8465</v>
      </c>
    </row>
    <row r="1078" spans="1:14" ht="12.75" customHeight="1">
      <c r="A1078" s="478"/>
      <c r="B1078" s="476"/>
      <c r="C1078" s="476"/>
      <c r="D1078" s="170" t="str">
        <f>nmSeg3</f>
        <v>Other</v>
      </c>
      <c r="E1078" s="447">
        <f>ROUND(calcLOB2Prod1Seg3Budget/paramTimeConversion,0)</f>
        <v>5</v>
      </c>
      <c r="F1078" s="447">
        <f>ROUND(calcLOB2Prod1Seg3Budget/paramTimeConversion,0)</f>
        <v>5</v>
      </c>
      <c r="G1078" s="447">
        <f>ROUND(calcLOB2Prod1Seg3Budget/paramTimeConversion,0)</f>
        <v>5</v>
      </c>
      <c r="H1078" s="131" t="s">
        <v>8466</v>
      </c>
      <c r="J1078" s="170" t="str">
        <f>nmSeg3</f>
        <v>Other</v>
      </c>
      <c r="K1078" s="447">
        <f>ROUND(calcR2LOB2Prod1Seg3Budget/paramR2TimeConversion,0)</f>
        <v>5</v>
      </c>
      <c r="L1078" s="447">
        <f>ROUND(calcR2LOB2Prod1Seg3Budget/paramR2TimeConversion,0)</f>
        <v>5</v>
      </c>
      <c r="M1078" s="447">
        <f>ROUND(calcR2LOB2Prod1Seg3Budget/paramR2TimeConversion,0)</f>
        <v>5</v>
      </c>
      <c r="N1078" s="131" t="s">
        <v>8467</v>
      </c>
    </row>
    <row r="1079" spans="1:14" ht="12.75" customHeight="1">
      <c r="A1079" s="478"/>
      <c r="B1079" s="476"/>
      <c r="C1079" s="477" t="s">
        <v>591</v>
      </c>
      <c r="E1079" s="447"/>
      <c r="F1079" s="447"/>
      <c r="G1079" s="447"/>
      <c r="K1079" s="447"/>
      <c r="L1079" s="447"/>
      <c r="M1079" s="447"/>
    </row>
    <row r="1080" spans="1:14" ht="12.75" customHeight="1">
      <c r="A1080" s="478"/>
      <c r="B1080" s="476"/>
      <c r="C1080" s="476"/>
      <c r="D1080" s="170" t="str">
        <f>nmSeg1</f>
        <v>Medicare</v>
      </c>
      <c r="E1080" s="447">
        <f>ROUND(calcLOB2Prod2Seg1Budget/paramTimeConversion,0)</f>
        <v>44</v>
      </c>
      <c r="F1080" s="447">
        <f>ROUND(calcLOB2Prod2Seg1Budget/paramTimeConversion,0)</f>
        <v>44</v>
      </c>
      <c r="G1080" s="447">
        <f>ROUND(calcLOB2Prod2Seg1Budget/paramTimeConversion,0)</f>
        <v>44</v>
      </c>
      <c r="H1080" s="131" t="s">
        <v>8468</v>
      </c>
      <c r="J1080" s="170" t="str">
        <f>nmSeg1</f>
        <v>Medicare</v>
      </c>
      <c r="K1080" s="447">
        <f>ROUND(calcR2LOB2Prod2Seg1Budget/paramR2TimeConversion,0)</f>
        <v>45</v>
      </c>
      <c r="L1080" s="447">
        <f>ROUND(calcR2LOB2Prod2Seg1Budget/paramR2TimeConversion,0)</f>
        <v>45</v>
      </c>
      <c r="M1080" s="447">
        <f>ROUND(calcR2LOB2Prod2Seg1Budget/paramR2TimeConversion,0)</f>
        <v>45</v>
      </c>
      <c r="N1080" s="131" t="s">
        <v>8469</v>
      </c>
    </row>
    <row r="1081" spans="1:14" ht="12.75" customHeight="1">
      <c r="A1081" s="478"/>
      <c r="B1081" s="476"/>
      <c r="C1081" s="476"/>
      <c r="D1081" s="170" t="str">
        <f>nmSeg2</f>
        <v>PPS</v>
      </c>
      <c r="E1081" s="447">
        <f>ROUND(calcLOB2Prod2Seg2Budget/paramTimeConversion,0)</f>
        <v>2</v>
      </c>
      <c r="F1081" s="447">
        <f>ROUND(calcLOB2Prod2Seg2Budget/paramTimeConversion,0)</f>
        <v>2</v>
      </c>
      <c r="G1081" s="447">
        <f>ROUND(calcLOB2Prod2Seg2Budget/paramTimeConversion,0)</f>
        <v>2</v>
      </c>
      <c r="H1081" s="131" t="s">
        <v>8470</v>
      </c>
      <c r="J1081" s="170" t="str">
        <f>nmSeg2</f>
        <v>PPS</v>
      </c>
      <c r="K1081" s="447">
        <f>ROUND(calcR2LOB2Prod2Seg2Budget/paramR2TimeConversion,0)</f>
        <v>2</v>
      </c>
      <c r="L1081" s="447">
        <f>ROUND(calcR2LOB2Prod2Seg2Budget/paramR2TimeConversion,0)</f>
        <v>2</v>
      </c>
      <c r="M1081" s="447">
        <f>ROUND(calcR2LOB2Prod2Seg2Budget/paramR2TimeConversion,0)</f>
        <v>2</v>
      </c>
      <c r="N1081" s="131" t="s">
        <v>8471</v>
      </c>
    </row>
    <row r="1082" spans="1:14" ht="12.75" customHeight="1">
      <c r="A1082" s="478"/>
      <c r="B1082" s="476"/>
      <c r="C1082" s="476"/>
      <c r="D1082" s="170" t="str">
        <f>nmSeg3</f>
        <v>Other</v>
      </c>
      <c r="E1082" s="447">
        <f>ROUND(calcLOB2Prod2Seg3Budget/paramTimeConversion,0)</f>
        <v>1</v>
      </c>
      <c r="F1082" s="447">
        <f>ROUND(calcLOB2Prod2Seg3Budget/paramTimeConversion,0)</f>
        <v>1</v>
      </c>
      <c r="G1082" s="447">
        <f>ROUND(calcLOB2Prod2Seg3Budget/paramTimeConversion,0)</f>
        <v>1</v>
      </c>
      <c r="H1082" s="131" t="s">
        <v>8472</v>
      </c>
      <c r="J1082" s="170" t="str">
        <f>nmSeg3</f>
        <v>Other</v>
      </c>
      <c r="K1082" s="447">
        <f>ROUND(calcR2LOB2Prod2Seg3Budget/paramR2TimeConversion,0)</f>
        <v>2</v>
      </c>
      <c r="L1082" s="447">
        <f>ROUND(calcR2LOB2Prod2Seg3Budget/paramR2TimeConversion,0)</f>
        <v>2</v>
      </c>
      <c r="M1082" s="447">
        <f>ROUND(calcR2LOB2Prod2Seg3Budget/paramR2TimeConversion,0)</f>
        <v>2</v>
      </c>
      <c r="N1082" s="131" t="s">
        <v>8473</v>
      </c>
    </row>
    <row r="1083" spans="1:14" ht="1.5" customHeight="1">
      <c r="A1083" s="478"/>
      <c r="B1083" s="476"/>
      <c r="C1083" s="476"/>
      <c r="D1083" s="449"/>
      <c r="E1083" s="450"/>
      <c r="F1083" s="450"/>
      <c r="G1083" s="450"/>
      <c r="H1083" s="131"/>
      <c r="J1083" s="449"/>
      <c r="K1083" s="450"/>
      <c r="L1083" s="450"/>
      <c r="M1083" s="450"/>
      <c r="N1083" s="131"/>
    </row>
    <row r="1084" spans="1:14" ht="12.75" customHeight="1">
      <c r="A1084" s="478"/>
      <c r="B1084" s="476"/>
      <c r="C1084" s="476"/>
      <c r="D1084" s="131" t="s">
        <v>1583</v>
      </c>
      <c r="E1084" s="448">
        <f>SUM(E1076:E1083)</f>
        <v>206</v>
      </c>
      <c r="F1084" s="448">
        <f t="shared" ref="F1084:G1084" si="147">SUM(F1076:F1083)</f>
        <v>206</v>
      </c>
      <c r="G1084" s="448">
        <f t="shared" si="147"/>
        <v>206</v>
      </c>
      <c r="H1084" s="131" t="s">
        <v>8474</v>
      </c>
      <c r="J1084" s="131" t="s">
        <v>1583</v>
      </c>
      <c r="K1084" s="448">
        <f>SUM(K1076:K1083)</f>
        <v>213</v>
      </c>
      <c r="L1084" s="448">
        <f t="shared" ref="L1084:M1084" si="148">SUM(L1076:L1083)</f>
        <v>213</v>
      </c>
      <c r="M1084" s="448">
        <f t="shared" si="148"/>
        <v>213</v>
      </c>
      <c r="N1084" s="131" t="s">
        <v>8475</v>
      </c>
    </row>
    <row r="1085" spans="1:14" ht="12.75" customHeight="1">
      <c r="A1085" s="478"/>
    </row>
    <row r="1086" spans="1:14" ht="12.75" customHeight="1">
      <c r="A1086" s="478"/>
      <c r="B1086" s="87" t="s">
        <v>4288</v>
      </c>
      <c r="C1086" s="87"/>
    </row>
    <row r="1087" spans="1:14" ht="12.75" customHeight="1">
      <c r="A1087" s="478"/>
      <c r="B1087" s="476"/>
      <c r="C1087" s="477" t="s">
        <v>590</v>
      </c>
      <c r="D1087" s="131"/>
      <c r="J1087" s="131"/>
    </row>
    <row r="1088" spans="1:14" ht="12.75" customHeight="1">
      <c r="A1088" s="478"/>
      <c r="B1088" s="476"/>
      <c r="C1088" s="476"/>
      <c r="D1088" s="170" t="str">
        <f>nmSeg1</f>
        <v>Medicare</v>
      </c>
      <c r="E1088" s="447">
        <f>ROUND((calcLOB2Prod1Seg1RunRate*paramLOB2Prod1Seg1RRM1)/paramTimeConversion,0)</f>
        <v>139</v>
      </c>
      <c r="F1088" s="447">
        <f>ROUND((calcLOB2Prod1Seg1RunRate*paramLOB2Prod1Seg1RRM1)/paramTimeConversion,0)</f>
        <v>139</v>
      </c>
      <c r="G1088" s="447">
        <f>ROUND((calcLOB2Prod1Seg1RunRate*paramLOB2Prod1Seg1RRM1)/paramTimeConversion,0)</f>
        <v>139</v>
      </c>
      <c r="H1088" s="131" t="s">
        <v>4312</v>
      </c>
      <c r="J1088" s="170" t="str">
        <f>nmSeg1</f>
        <v>Medicare</v>
      </c>
      <c r="K1088" s="447">
        <f>ROUND((calcR2LOB2Prod1Seg1RunRate*paramR2LOB2Prod1Seg1RRM1)/paramR2TimeConversion,0)</f>
        <v>143</v>
      </c>
      <c r="L1088" s="447">
        <f>ROUND((calcR2LOB2Prod1Seg1RunRate*paramR2LOB2Prod1Seg1RRM1)/paramR2TimeConversion,0)</f>
        <v>143</v>
      </c>
      <c r="M1088" s="447">
        <f>ROUND((calcR2LOB2Prod1Seg1RunRate*paramR2LOB2Prod1Seg1RRM1)/paramR2TimeConversion,0)</f>
        <v>143</v>
      </c>
      <c r="N1088" s="131" t="s">
        <v>6664</v>
      </c>
    </row>
    <row r="1089" spans="1:14" ht="12.75" customHeight="1">
      <c r="A1089" s="478"/>
      <c r="B1089" s="476"/>
      <c r="C1089" s="476"/>
      <c r="D1089" s="170" t="str">
        <f>nmSeg2</f>
        <v>PPS</v>
      </c>
      <c r="E1089" s="447">
        <f>ROUND((calcLOB2Prod1Seg2RunRate*paramLOB2Prod1Seg2RRM1)/paramTimeConversion,0)</f>
        <v>4</v>
      </c>
      <c r="F1089" s="447">
        <f>ROUND((calcLOB2Prod1Seg2RunRate*paramLOB2Prod1Seg2RRM1)/paramTimeConversion,0)</f>
        <v>4</v>
      </c>
      <c r="G1089" s="447">
        <f>ROUND((calcLOB2Prod1Seg2RunRate*paramLOB2Prod1Seg2RRM1)/paramTimeConversion,0)</f>
        <v>4</v>
      </c>
      <c r="H1089" s="131" t="s">
        <v>4313</v>
      </c>
      <c r="J1089" s="170" t="str">
        <f>nmSeg2</f>
        <v>PPS</v>
      </c>
      <c r="K1089" s="447">
        <f>ROUND((calcR2LOB2Prod1Seg2RunRate*paramR2LOB2Prod1Seg2RRM1)/paramR2TimeConversion,0)</f>
        <v>4</v>
      </c>
      <c r="L1089" s="447">
        <f>ROUND((calcR2LOB2Prod1Seg2RunRate*paramR2LOB2Prod1Seg2RRM1)/paramR2TimeConversion,0)</f>
        <v>4</v>
      </c>
      <c r="M1089" s="447">
        <f>ROUND((calcR2LOB2Prod1Seg2RunRate*paramR2LOB2Prod1Seg2RRM1)/paramR2TimeConversion,0)</f>
        <v>4</v>
      </c>
      <c r="N1089" s="131" t="s">
        <v>6665</v>
      </c>
    </row>
    <row r="1090" spans="1:14" ht="12.75" customHeight="1">
      <c r="A1090" s="478"/>
      <c r="B1090" s="476"/>
      <c r="C1090" s="476"/>
      <c r="D1090" s="170" t="str">
        <f>nmSeg3</f>
        <v>Other</v>
      </c>
      <c r="E1090" s="447">
        <f>ROUND((calcLOB2Prod1Seg3RunRate*paramLOB2Prod1Seg3RRM1)/paramTimeConversion,0)</f>
        <v>5</v>
      </c>
      <c r="F1090" s="447">
        <f>ROUND((calcLOB2Prod1Seg3RunRate*paramLOB2Prod1Seg3RRM1)/paramTimeConversion,0)</f>
        <v>5</v>
      </c>
      <c r="G1090" s="447">
        <f>ROUND((calcLOB2Prod1Seg3RunRate*paramLOB2Prod1Seg3RRM1)/paramTimeConversion,0)</f>
        <v>5</v>
      </c>
      <c r="H1090" s="131" t="s">
        <v>4314</v>
      </c>
      <c r="J1090" s="170" t="str">
        <f>nmSeg3</f>
        <v>Other</v>
      </c>
      <c r="K1090" s="447">
        <f>ROUND((calcR2LOB2Prod1Seg3RunRate*paramR2LOB2Prod1Seg3RRM1)/paramR2TimeConversion,0)</f>
        <v>6</v>
      </c>
      <c r="L1090" s="447">
        <f>ROUND((calcR2LOB2Prod1Seg3RunRate*paramR2LOB2Prod1Seg3RRM1)/paramR2TimeConversion,0)</f>
        <v>6</v>
      </c>
      <c r="M1090" s="447">
        <f>ROUND((calcR2LOB2Prod1Seg3RunRate*paramR2LOB2Prod1Seg3RRM1)/paramR2TimeConversion,0)</f>
        <v>6</v>
      </c>
      <c r="N1090" s="131" t="s">
        <v>6666</v>
      </c>
    </row>
    <row r="1091" spans="1:14" ht="12.75" customHeight="1">
      <c r="A1091" s="478"/>
      <c r="B1091" s="476"/>
      <c r="C1091" s="477" t="s">
        <v>591</v>
      </c>
      <c r="E1091" s="447"/>
      <c r="F1091" s="447"/>
      <c r="G1091" s="447"/>
      <c r="K1091" s="447"/>
      <c r="L1091" s="447"/>
      <c r="M1091" s="447"/>
    </row>
    <row r="1092" spans="1:14" ht="12.75" customHeight="1">
      <c r="A1092" s="478"/>
      <c r="B1092" s="476"/>
      <c r="C1092" s="476"/>
      <c r="D1092" s="170" t="str">
        <f>nmSeg1</f>
        <v>Medicare</v>
      </c>
      <c r="E1092" s="447">
        <f>ROUND((calcLOB2Prod2Seg1RunRate*paramLOB2Prod2Seg1RRM1)/paramTimeConversion,0)</f>
        <v>49</v>
      </c>
      <c r="F1092" s="447">
        <f>ROUND((calcLOB2Prod2Seg1RunRate*paramLOB2Prod2Seg1RRM1)/paramTimeConversion,0)</f>
        <v>49</v>
      </c>
      <c r="G1092" s="447">
        <f>ROUND((calcLOB2Prod2Seg1RunRate*paramLOB2Prod2Seg1RRM1)/paramTimeConversion,0)</f>
        <v>49</v>
      </c>
      <c r="H1092" s="131" t="s">
        <v>4315</v>
      </c>
      <c r="J1092" s="170" t="str">
        <f>nmSeg1</f>
        <v>Medicare</v>
      </c>
      <c r="K1092" s="447">
        <f>ROUND((calcR2LOB2Prod2Seg1RunRate*paramR2LOB2Prod2Seg1RRM1)/paramR2TimeConversion,0)</f>
        <v>50</v>
      </c>
      <c r="L1092" s="447">
        <f>ROUND((calcR2LOB2Prod2Seg1RunRate*paramR2LOB2Prod2Seg1RRM1)/paramR2TimeConversion,0)</f>
        <v>50</v>
      </c>
      <c r="M1092" s="447">
        <f>ROUND((calcR2LOB2Prod2Seg1RunRate*paramR2LOB2Prod2Seg1RRM1)/paramR2TimeConversion,0)</f>
        <v>50</v>
      </c>
      <c r="N1092" s="131" t="s">
        <v>6667</v>
      </c>
    </row>
    <row r="1093" spans="1:14" ht="12.75" customHeight="1">
      <c r="A1093" s="478"/>
      <c r="B1093" s="476"/>
      <c r="C1093" s="476"/>
      <c r="D1093" s="170" t="str">
        <f>nmSeg2</f>
        <v>PPS</v>
      </c>
      <c r="E1093" s="447">
        <f>ROUND((calcLOB2Prod2Seg2RunRate*paramLOB2Prod2Seg2RRM1)/paramTimeConversion,0)</f>
        <v>2</v>
      </c>
      <c r="F1093" s="447">
        <f>ROUND((calcLOB2Prod2Seg2RunRate*paramLOB2Prod2Seg2RRM1)/paramTimeConversion,0)</f>
        <v>2</v>
      </c>
      <c r="G1093" s="447">
        <f>ROUND((calcLOB2Prod2Seg2RunRate*paramLOB2Prod2Seg2RRM1)/paramTimeConversion,0)</f>
        <v>2</v>
      </c>
      <c r="H1093" s="131" t="s">
        <v>4316</v>
      </c>
      <c r="J1093" s="170" t="str">
        <f>nmSeg2</f>
        <v>PPS</v>
      </c>
      <c r="K1093" s="447">
        <f>ROUND((calcR2LOB2Prod2Seg2RunRate*paramR2LOB2Prod2Seg2RRM1)/paramR2TimeConversion,0)</f>
        <v>2</v>
      </c>
      <c r="L1093" s="447">
        <f>ROUND((calcR2LOB2Prod2Seg2RunRate*paramR2LOB2Prod2Seg2RRM1)/paramR2TimeConversion,0)</f>
        <v>2</v>
      </c>
      <c r="M1093" s="447">
        <f>ROUND((calcR2LOB2Prod2Seg2RunRate*paramR2LOB2Prod2Seg2RRM1)/paramR2TimeConversion,0)</f>
        <v>2</v>
      </c>
      <c r="N1093" s="131" t="s">
        <v>6668</v>
      </c>
    </row>
    <row r="1094" spans="1:14" ht="12.75" customHeight="1">
      <c r="A1094" s="478"/>
      <c r="B1094" s="476"/>
      <c r="C1094" s="476"/>
      <c r="D1094" s="170" t="str">
        <f>nmSeg3</f>
        <v>Other</v>
      </c>
      <c r="E1094" s="447">
        <f>ROUND((calcLOB2Prod2Seg3RunRate*paramLOB2Prod2Seg3RRM1)/paramTimeConversion,0)</f>
        <v>1</v>
      </c>
      <c r="F1094" s="447">
        <f>ROUND((calcLOB2Prod2Seg3RunRate*paramLOB2Prod2Seg3RRM1)/paramTimeConversion,0)</f>
        <v>1</v>
      </c>
      <c r="G1094" s="447">
        <f>ROUND((calcLOB2Prod2Seg3RunRate*paramLOB2Prod2Seg3RRM1)/paramTimeConversion,0)</f>
        <v>1</v>
      </c>
      <c r="H1094" s="131" t="s">
        <v>4317</v>
      </c>
      <c r="J1094" s="170" t="str">
        <f>nmSeg3</f>
        <v>Other</v>
      </c>
      <c r="K1094" s="447">
        <f>ROUND((calcR2LOB2Prod2Seg3RunRate*paramR2LOB2Prod2Seg3RRM1)/paramR2TimeConversion,0)</f>
        <v>1</v>
      </c>
      <c r="L1094" s="447">
        <f>ROUND((calcR2LOB2Prod2Seg3RunRate*paramR2LOB2Prod2Seg3RRM1)/paramR2TimeConversion,0)</f>
        <v>1</v>
      </c>
      <c r="M1094" s="447">
        <f>ROUND((calcR2LOB2Prod2Seg3RunRate*paramR2LOB2Prod2Seg3RRM1)/paramR2TimeConversion,0)</f>
        <v>1</v>
      </c>
      <c r="N1094" s="131" t="s">
        <v>6669</v>
      </c>
    </row>
    <row r="1095" spans="1:14" ht="1.5" customHeight="1">
      <c r="A1095" s="478"/>
      <c r="B1095" s="476"/>
      <c r="C1095" s="476"/>
      <c r="D1095" s="449"/>
      <c r="E1095" s="450"/>
      <c r="F1095" s="450"/>
      <c r="G1095" s="450"/>
      <c r="H1095" s="131"/>
      <c r="J1095" s="449"/>
      <c r="K1095" s="450"/>
      <c r="L1095" s="450"/>
      <c r="M1095" s="450"/>
      <c r="N1095" s="131"/>
    </row>
    <row r="1096" spans="1:14" ht="12.75" customHeight="1">
      <c r="A1096" s="478"/>
      <c r="B1096" s="476"/>
      <c r="C1096" s="476"/>
      <c r="D1096" s="131" t="s">
        <v>1583</v>
      </c>
      <c r="E1096" s="448">
        <f>SUM(E1088:E1095)</f>
        <v>200</v>
      </c>
      <c r="F1096" s="448">
        <f t="shared" ref="F1096" si="149">SUM(F1088:F1095)</f>
        <v>200</v>
      </c>
      <c r="G1096" s="448">
        <f t="shared" ref="G1096" si="150">SUM(G1088:G1095)</f>
        <v>200</v>
      </c>
      <c r="H1096" s="131" t="s">
        <v>4318</v>
      </c>
      <c r="J1096" s="131" t="s">
        <v>1583</v>
      </c>
      <c r="K1096" s="448">
        <f>SUM(K1088:K1095)</f>
        <v>206</v>
      </c>
      <c r="L1096" s="448">
        <f t="shared" ref="L1096:M1096" si="151">SUM(L1088:L1095)</f>
        <v>206</v>
      </c>
      <c r="M1096" s="448">
        <f t="shared" si="151"/>
        <v>206</v>
      </c>
      <c r="N1096" s="131" t="s">
        <v>6670</v>
      </c>
    </row>
    <row r="1097" spans="1:14" ht="12.75" customHeight="1">
      <c r="A1097" s="478"/>
    </row>
    <row r="1098" spans="1:14" ht="12.75" customHeight="1">
      <c r="A1098" s="478"/>
      <c r="B1098" s="87" t="s">
        <v>4303</v>
      </c>
      <c r="C1098" s="87"/>
    </row>
    <row r="1099" spans="1:14" ht="12.75" customHeight="1">
      <c r="A1099" s="478"/>
      <c r="B1099" s="476"/>
      <c r="C1099" s="477" t="s">
        <v>590</v>
      </c>
      <c r="D1099" s="131"/>
      <c r="J1099" s="131"/>
    </row>
    <row r="1100" spans="1:14" ht="12.75" customHeight="1">
      <c r="A1100" s="478"/>
      <c r="B1100" s="476"/>
      <c r="C1100" s="476"/>
      <c r="D1100" s="170" t="str">
        <f>nmSeg1</f>
        <v>Medicare</v>
      </c>
      <c r="E1100" s="447">
        <f>ROUND((calcLOB2Prod1Seg1RunRate*paramLOB2Prod1Seg1RRM2)/paramTimeConversion,0)</f>
        <v>137</v>
      </c>
      <c r="F1100" s="447">
        <f>ROUND((calcLOB2Prod1Seg1RunRate*paramLOB2Prod1Seg1RRM2)/paramTimeConversion,0)</f>
        <v>137</v>
      </c>
      <c r="G1100" s="447">
        <f>ROUND((calcLOB2Prod1Seg1RunRate*paramLOB2Prod1Seg1RRM2)/paramTimeConversion,0)</f>
        <v>137</v>
      </c>
      <c r="H1100" s="131" t="s">
        <v>4319</v>
      </c>
      <c r="J1100" s="170" t="str">
        <f>nmSeg1</f>
        <v>Medicare</v>
      </c>
      <c r="K1100" s="447">
        <f>ROUND((calcR2LOB2Prod1Seg1RunRate*paramR2LOB2Prod1Seg1RRM2)/paramR2TimeConversion,0)</f>
        <v>142</v>
      </c>
      <c r="L1100" s="447">
        <f>ROUND((calcR2LOB2Prod1Seg1RunRate*paramR2LOB2Prod1Seg1RRM2)/paramR2TimeConversion,0)</f>
        <v>142</v>
      </c>
      <c r="M1100" s="447">
        <f>ROUND((calcR2LOB2Prod1Seg1RunRate*paramR2LOB2Prod1Seg1RRM2)/paramR2TimeConversion,0)</f>
        <v>142</v>
      </c>
      <c r="N1100" s="131" t="s">
        <v>6671</v>
      </c>
    </row>
    <row r="1101" spans="1:14" ht="12.75" customHeight="1">
      <c r="A1101" s="478"/>
      <c r="B1101" s="476"/>
      <c r="C1101" s="476"/>
      <c r="D1101" s="170" t="str">
        <f>nmSeg2</f>
        <v>PPS</v>
      </c>
      <c r="E1101" s="447">
        <f>ROUND((calcLOB2Prod1Seg2RunRate*paramLOB2Prod1Seg2RRM2)/paramTimeConversion,0)</f>
        <v>6</v>
      </c>
      <c r="F1101" s="447">
        <f>ROUND((calcLOB2Prod1Seg2RunRate*paramLOB2Prod1Seg2RRM2)/paramTimeConversion,0)</f>
        <v>6</v>
      </c>
      <c r="G1101" s="447">
        <f>ROUND((calcLOB2Prod1Seg2RunRate*paramLOB2Prod1Seg2RRM2)/paramTimeConversion,0)</f>
        <v>6</v>
      </c>
      <c r="H1101" s="131" t="s">
        <v>4320</v>
      </c>
      <c r="J1101" s="170" t="str">
        <f>nmSeg2</f>
        <v>PPS</v>
      </c>
      <c r="K1101" s="447">
        <f>ROUND((calcR2LOB2Prod1Seg2RunRate*paramR2LOB2Prod1Seg2RRM2)/paramR2TimeConversion,0)</f>
        <v>7</v>
      </c>
      <c r="L1101" s="447">
        <f>ROUND((calcR2LOB2Prod1Seg2RunRate*paramR2LOB2Prod1Seg2RRM2)/paramR2TimeConversion,0)</f>
        <v>7</v>
      </c>
      <c r="M1101" s="447">
        <f>ROUND((calcR2LOB2Prod1Seg2RunRate*paramR2LOB2Prod1Seg2RRM2)/paramR2TimeConversion,0)</f>
        <v>7</v>
      </c>
      <c r="N1101" s="131" t="s">
        <v>6672</v>
      </c>
    </row>
    <row r="1102" spans="1:14" ht="12.75" customHeight="1">
      <c r="A1102" s="478"/>
      <c r="B1102" s="476"/>
      <c r="C1102" s="476"/>
      <c r="D1102" s="170" t="str">
        <f>nmSeg3</f>
        <v>Other</v>
      </c>
      <c r="E1102" s="447">
        <f>ROUND((calcLOB2Prod1Seg3RunRate*paramLOB2Prod1Seg3RRM2)/paramTimeConversion,0)</f>
        <v>3</v>
      </c>
      <c r="F1102" s="447">
        <f>ROUND((calcLOB2Prod1Seg3RunRate*paramLOB2Prod1Seg3RRM2)/paramTimeConversion,0)</f>
        <v>3</v>
      </c>
      <c r="G1102" s="447">
        <f>ROUND((calcLOB2Prod1Seg3RunRate*paramLOB2Prod1Seg3RRM2)/paramTimeConversion,0)</f>
        <v>3</v>
      </c>
      <c r="H1102" s="131" t="s">
        <v>4321</v>
      </c>
      <c r="J1102" s="170" t="str">
        <f>nmSeg3</f>
        <v>Other</v>
      </c>
      <c r="K1102" s="447">
        <f>ROUND((calcR2LOB2Prod1Seg3RunRate*paramR2LOB2Prod1Seg3RRM2)/paramR2TimeConversion,0)</f>
        <v>3</v>
      </c>
      <c r="L1102" s="447">
        <f>ROUND((calcR2LOB2Prod1Seg3RunRate*paramR2LOB2Prod1Seg3RRM2)/paramR2TimeConversion,0)</f>
        <v>3</v>
      </c>
      <c r="M1102" s="447">
        <f>ROUND((calcR2LOB2Prod1Seg3RunRate*paramR2LOB2Prod1Seg3RRM2)/paramR2TimeConversion,0)</f>
        <v>3</v>
      </c>
      <c r="N1102" s="131" t="s">
        <v>6673</v>
      </c>
    </row>
    <row r="1103" spans="1:14" ht="12.75" customHeight="1">
      <c r="A1103" s="478"/>
      <c r="B1103" s="476"/>
      <c r="C1103" s="477" t="s">
        <v>591</v>
      </c>
      <c r="E1103" s="447"/>
      <c r="F1103" s="447"/>
      <c r="G1103" s="447"/>
      <c r="K1103" s="447"/>
      <c r="L1103" s="447"/>
      <c r="M1103" s="447"/>
    </row>
    <row r="1104" spans="1:14" ht="12.75" customHeight="1">
      <c r="A1104" s="478"/>
      <c r="B1104" s="476"/>
      <c r="C1104" s="476"/>
      <c r="D1104" s="170" t="str">
        <f>nmSeg1</f>
        <v>Medicare</v>
      </c>
      <c r="E1104" s="447">
        <f>ROUND((calcLOB2Prod2Seg1RunRate*paramLOB2Prod2Seg1RRM2)/paramTimeConversion,0)</f>
        <v>41</v>
      </c>
      <c r="F1104" s="447">
        <f>ROUND((calcLOB2Prod2Seg1RunRate*paramLOB2Prod2Seg1RRM2)/paramTimeConversion,0)</f>
        <v>41</v>
      </c>
      <c r="G1104" s="447">
        <f>ROUND((calcLOB2Prod2Seg1RunRate*paramLOB2Prod2Seg1RRM2)/paramTimeConversion,0)</f>
        <v>41</v>
      </c>
      <c r="H1104" s="131" t="s">
        <v>4322</v>
      </c>
      <c r="J1104" s="170" t="str">
        <f>nmSeg1</f>
        <v>Medicare</v>
      </c>
      <c r="K1104" s="447">
        <f>ROUND((calcR2LOB2Prod2Seg1RunRate*paramR2LOB2Prod2Seg1RRM2)/paramR2TimeConversion,0)</f>
        <v>42</v>
      </c>
      <c r="L1104" s="447">
        <f>ROUND((calcR2LOB2Prod2Seg1RunRate*paramR2LOB2Prod2Seg1RRM2)/paramR2TimeConversion,0)</f>
        <v>42</v>
      </c>
      <c r="M1104" s="447">
        <f>ROUND((calcR2LOB2Prod2Seg1RunRate*paramR2LOB2Prod2Seg1RRM2)/paramR2TimeConversion,0)</f>
        <v>42</v>
      </c>
      <c r="N1104" s="131" t="s">
        <v>6674</v>
      </c>
    </row>
    <row r="1105" spans="1:14" ht="12.75" customHeight="1">
      <c r="A1105" s="478"/>
      <c r="B1105" s="476"/>
      <c r="C1105" s="476"/>
      <c r="D1105" s="170" t="str">
        <f>nmSeg2</f>
        <v>PPS</v>
      </c>
      <c r="E1105" s="447">
        <v>1</v>
      </c>
      <c r="F1105" s="447">
        <v>1</v>
      </c>
      <c r="G1105" s="447">
        <v>1</v>
      </c>
      <c r="H1105" s="131" t="s">
        <v>4323</v>
      </c>
      <c r="J1105" s="170" t="str">
        <f>nmSeg2</f>
        <v>PPS</v>
      </c>
      <c r="K1105" s="447">
        <v>1</v>
      </c>
      <c r="L1105" s="447">
        <v>1</v>
      </c>
      <c r="M1105" s="447">
        <v>1</v>
      </c>
      <c r="N1105" s="131" t="s">
        <v>6675</v>
      </c>
    </row>
    <row r="1106" spans="1:14" ht="12.75" customHeight="1">
      <c r="A1106" s="478"/>
      <c r="B1106" s="476"/>
      <c r="C1106" s="476"/>
      <c r="D1106" s="170" t="str">
        <f>nmSeg3</f>
        <v>Other</v>
      </c>
      <c r="E1106" s="447">
        <f>ROUND((calcLOB2Prod2Seg3RunRate*paramLOB2Prod2Seg3RRM2)/paramTimeConversion,0)</f>
        <v>1</v>
      </c>
      <c r="F1106" s="447">
        <f>ROUND((calcLOB2Prod2Seg3RunRate*paramLOB2Prod2Seg3RRM2)/paramTimeConversion,0)</f>
        <v>1</v>
      </c>
      <c r="G1106" s="447">
        <f>ROUND((calcLOB2Prod2Seg3RunRate*paramLOB2Prod2Seg3RRM2)/paramTimeConversion,0)</f>
        <v>1</v>
      </c>
      <c r="H1106" s="131" t="s">
        <v>4324</v>
      </c>
      <c r="J1106" s="170" t="str">
        <f>nmSeg3</f>
        <v>Other</v>
      </c>
      <c r="K1106" s="447">
        <f>ROUND((calcR2LOB2Prod2Seg3RunRate*paramR2LOB2Prod2Seg3RRM2)/paramR2TimeConversion,0)</f>
        <v>1</v>
      </c>
      <c r="L1106" s="447">
        <f>ROUND((calcR2LOB2Prod2Seg3RunRate*paramR2LOB2Prod2Seg3RRM2)/paramR2TimeConversion,0)</f>
        <v>1</v>
      </c>
      <c r="M1106" s="447">
        <f>ROUND((calcR2LOB2Prod2Seg3RunRate*paramR2LOB2Prod2Seg3RRM2)/paramR2TimeConversion,0)</f>
        <v>1</v>
      </c>
      <c r="N1106" s="131" t="s">
        <v>6676</v>
      </c>
    </row>
    <row r="1107" spans="1:14" ht="1.5" customHeight="1">
      <c r="A1107" s="478"/>
      <c r="B1107" s="476"/>
      <c r="C1107" s="476"/>
      <c r="D1107" s="449"/>
      <c r="E1107" s="450"/>
      <c r="F1107" s="450"/>
      <c r="G1107" s="450"/>
      <c r="H1107" s="131"/>
      <c r="J1107" s="449"/>
      <c r="K1107" s="450"/>
      <c r="L1107" s="450"/>
      <c r="M1107" s="450"/>
      <c r="N1107" s="131"/>
    </row>
    <row r="1108" spans="1:14" ht="12.75" customHeight="1">
      <c r="A1108" s="478"/>
      <c r="B1108" s="476"/>
      <c r="C1108" s="476"/>
      <c r="D1108" s="131" t="s">
        <v>1583</v>
      </c>
      <c r="E1108" s="448">
        <f>SUM(E1100:E1107)</f>
        <v>189</v>
      </c>
      <c r="F1108" s="448">
        <f t="shared" ref="F1108" si="152">SUM(F1100:F1107)</f>
        <v>189</v>
      </c>
      <c r="G1108" s="448">
        <f t="shared" ref="G1108" si="153">SUM(G1100:G1107)</f>
        <v>189</v>
      </c>
      <c r="H1108" s="131" t="s">
        <v>4325</v>
      </c>
      <c r="J1108" s="131" t="s">
        <v>1583</v>
      </c>
      <c r="K1108" s="448">
        <f>SUM(K1100:K1107)</f>
        <v>196</v>
      </c>
      <c r="L1108" s="448">
        <f t="shared" ref="L1108:M1108" si="154">SUM(L1100:L1107)</f>
        <v>196</v>
      </c>
      <c r="M1108" s="448">
        <f t="shared" si="154"/>
        <v>196</v>
      </c>
      <c r="N1108" s="131" t="s">
        <v>6677</v>
      </c>
    </row>
    <row r="1109" spans="1:14" ht="12.75" customHeight="1">
      <c r="A1109" s="478"/>
    </row>
    <row r="1110" spans="1:14" ht="12.75" customHeight="1">
      <c r="A1110" s="478"/>
      <c r="B1110" s="87" t="s">
        <v>4304</v>
      </c>
      <c r="C1110" s="87"/>
    </row>
    <row r="1111" spans="1:14" ht="12.75" customHeight="1">
      <c r="A1111" s="478"/>
      <c r="B1111" s="476"/>
      <c r="C1111" s="477" t="s">
        <v>590</v>
      </c>
      <c r="D1111" s="131"/>
      <c r="J1111" s="131"/>
    </row>
    <row r="1112" spans="1:14" ht="12.75" customHeight="1">
      <c r="A1112" s="478"/>
      <c r="B1112" s="476"/>
      <c r="C1112" s="476"/>
      <c r="D1112" s="170" t="str">
        <f>nmSeg1</f>
        <v>Medicare</v>
      </c>
      <c r="E1112" s="447">
        <f>ROUND((calcLOB2Prod1Seg1RunRate*paramLOB2Prod1Seg1RRM3)/paramTimeConversion,0)</f>
        <v>143</v>
      </c>
      <c r="F1112" s="447">
        <f>ROUND((calcLOB2Prod1Seg1RunRate*paramLOB2Prod1Seg1RRM3)/paramTimeConversion,0)</f>
        <v>143</v>
      </c>
      <c r="G1112" s="447">
        <f>ROUND((calcLOB2Prod1Seg1RunRate*paramLOB2Prod1Seg1RRM3)/paramTimeConversion,0)</f>
        <v>143</v>
      </c>
      <c r="H1112" s="131" t="s">
        <v>4326</v>
      </c>
      <c r="J1112" s="170" t="str">
        <f>nmSeg1</f>
        <v>Medicare</v>
      </c>
      <c r="K1112" s="447">
        <f>ROUND((calcR2LOB2Prod1Seg1RunRate*paramR2LOB2Prod1Seg1RRM3)/paramR2TimeConversion,0)</f>
        <v>147</v>
      </c>
      <c r="L1112" s="447">
        <f>ROUND((calcR2LOB2Prod1Seg1RunRate*paramR2LOB2Prod1Seg1RRM3)/paramR2TimeConversion,0)</f>
        <v>147</v>
      </c>
      <c r="M1112" s="447">
        <f>ROUND((calcR2LOB2Prod1Seg1RunRate*paramR2LOB2Prod1Seg1RRM3)/paramR2TimeConversion,0)</f>
        <v>147</v>
      </c>
      <c r="N1112" s="131" t="s">
        <v>6678</v>
      </c>
    </row>
    <row r="1113" spans="1:14" ht="12.75" customHeight="1">
      <c r="A1113" s="478"/>
      <c r="B1113" s="476"/>
      <c r="C1113" s="476"/>
      <c r="D1113" s="170" t="str">
        <f>nmSeg2</f>
        <v>PPS</v>
      </c>
      <c r="E1113" s="447">
        <f>ROUND((calcLOB2Prod1Seg2RunRate*paramLOB2Prod1Seg2RRM3)/paramTimeConversion,0)</f>
        <v>7</v>
      </c>
      <c r="F1113" s="447">
        <f>ROUND((calcLOB2Prod1Seg2RunRate*paramLOB2Prod1Seg2RRM3)/paramTimeConversion,0)</f>
        <v>7</v>
      </c>
      <c r="G1113" s="447">
        <f>ROUND((calcLOB2Prod1Seg2RunRate*paramLOB2Prod1Seg2RRM3)/paramTimeConversion,0)</f>
        <v>7</v>
      </c>
      <c r="H1113" s="131" t="s">
        <v>4327</v>
      </c>
      <c r="J1113" s="170" t="str">
        <f>nmSeg2</f>
        <v>PPS</v>
      </c>
      <c r="K1113" s="447">
        <f>ROUND((calcR2LOB2Prod1Seg2RunRate*paramR2LOB2Prod1Seg2RRM3)/paramR2TimeConversion,0)</f>
        <v>7</v>
      </c>
      <c r="L1113" s="447">
        <f>ROUND((calcR2LOB2Prod1Seg2RunRate*paramR2LOB2Prod1Seg2RRM3)/paramR2TimeConversion,0)</f>
        <v>7</v>
      </c>
      <c r="M1113" s="447">
        <f>ROUND((calcR2LOB2Prod1Seg2RunRate*paramR2LOB2Prod1Seg2RRM3)/paramR2TimeConversion,0)</f>
        <v>7</v>
      </c>
      <c r="N1113" s="131" t="s">
        <v>6679</v>
      </c>
    </row>
    <row r="1114" spans="1:14" ht="12.75" customHeight="1">
      <c r="A1114" s="478"/>
      <c r="B1114" s="476"/>
      <c r="C1114" s="476"/>
      <c r="D1114" s="170" t="str">
        <f>nmSeg3</f>
        <v>Other</v>
      </c>
      <c r="E1114" s="447">
        <f>ROUND((calcLOB2Prod1Seg3RunRate*paramLOB2Prod1Seg3RRM3)/paramTimeConversion,0)</f>
        <v>5</v>
      </c>
      <c r="F1114" s="447">
        <f>ROUND((calcLOB2Prod1Seg3RunRate*paramLOB2Prod1Seg3RRM3)/paramTimeConversion,0)</f>
        <v>5</v>
      </c>
      <c r="G1114" s="447">
        <f>ROUND((calcLOB2Prod1Seg3RunRate*paramLOB2Prod1Seg3RRM3)/paramTimeConversion,0)</f>
        <v>5</v>
      </c>
      <c r="H1114" s="131" t="s">
        <v>4328</v>
      </c>
      <c r="J1114" s="170" t="str">
        <f>nmSeg3</f>
        <v>Other</v>
      </c>
      <c r="K1114" s="447">
        <f>ROUND((calcR2LOB2Prod1Seg3RunRate*paramR2LOB2Prod1Seg3RRM3)/paramR2TimeConversion,0)</f>
        <v>6</v>
      </c>
      <c r="L1114" s="447">
        <f>ROUND((calcR2LOB2Prod1Seg3RunRate*paramR2LOB2Prod1Seg3RRM3)/paramR2TimeConversion,0)</f>
        <v>6</v>
      </c>
      <c r="M1114" s="447">
        <f>ROUND((calcR2LOB2Prod1Seg3RunRate*paramR2LOB2Prod1Seg3RRM3)/paramR2TimeConversion,0)</f>
        <v>6</v>
      </c>
      <c r="N1114" s="131" t="s">
        <v>6680</v>
      </c>
    </row>
    <row r="1115" spans="1:14" ht="12.75" customHeight="1">
      <c r="A1115" s="478"/>
      <c r="B1115" s="476"/>
      <c r="C1115" s="477" t="s">
        <v>591</v>
      </c>
      <c r="E1115" s="447"/>
      <c r="F1115" s="447"/>
      <c r="G1115" s="447"/>
      <c r="K1115" s="447"/>
      <c r="L1115" s="447"/>
      <c r="M1115" s="447"/>
    </row>
    <row r="1116" spans="1:14" ht="12.75" customHeight="1">
      <c r="A1116" s="478"/>
      <c r="B1116" s="476"/>
      <c r="C1116" s="476"/>
      <c r="D1116" s="170" t="str">
        <f>nmSeg1</f>
        <v>Medicare</v>
      </c>
      <c r="E1116" s="447">
        <f>ROUND((calcLOB2Prod2Seg1RunRate*paramLOB2Prod2Seg1RRM3)/paramTimeConversion,0)</f>
        <v>36</v>
      </c>
      <c r="F1116" s="447">
        <f>ROUND((calcLOB2Prod2Seg1RunRate*paramLOB2Prod2Seg1RRM3)/paramTimeConversion,0)</f>
        <v>36</v>
      </c>
      <c r="G1116" s="447">
        <f>ROUND((calcLOB2Prod2Seg1RunRate*paramLOB2Prod2Seg1RRM3)/paramTimeConversion,0)</f>
        <v>36</v>
      </c>
      <c r="H1116" s="131" t="s">
        <v>4329</v>
      </c>
      <c r="J1116" s="170" t="str">
        <f>nmSeg1</f>
        <v>Medicare</v>
      </c>
      <c r="K1116" s="447">
        <f>ROUND((calcR2LOB2Prod2Seg1RunRate*paramR2LOB2Prod2Seg1RRM3)/paramR2TimeConversion,0)</f>
        <v>37</v>
      </c>
      <c r="L1116" s="447">
        <f>ROUND((calcR2LOB2Prod2Seg1RunRate*paramR2LOB2Prod2Seg1RRM3)/paramR2TimeConversion,0)</f>
        <v>37</v>
      </c>
      <c r="M1116" s="447">
        <f>ROUND((calcR2LOB2Prod2Seg1RunRate*paramR2LOB2Prod2Seg1RRM3)/paramR2TimeConversion,0)</f>
        <v>37</v>
      </c>
      <c r="N1116" s="131" t="s">
        <v>6681</v>
      </c>
    </row>
    <row r="1117" spans="1:14" ht="12.75" customHeight="1">
      <c r="A1117" s="478"/>
      <c r="B1117" s="476"/>
      <c r="C1117" s="476"/>
      <c r="D1117" s="170" t="str">
        <f>nmSeg2</f>
        <v>PPS</v>
      </c>
      <c r="E1117" s="447">
        <f>ROUND((calcLOB2Prod2Seg2RunRate*paramLOB2Prod2Seg2RRM3)/paramTimeConversion,0)</f>
        <v>2</v>
      </c>
      <c r="F1117" s="447">
        <f>ROUND((calcLOB2Prod2Seg2RunRate*paramLOB2Prod2Seg2RRM3)/paramTimeConversion,0)</f>
        <v>2</v>
      </c>
      <c r="G1117" s="447">
        <f>ROUND((calcLOB2Prod2Seg2RunRate*paramLOB2Prod2Seg2RRM3)/paramTimeConversion,0)</f>
        <v>2</v>
      </c>
      <c r="H1117" s="131" t="s">
        <v>4330</v>
      </c>
      <c r="J1117" s="170" t="str">
        <f>nmSeg2</f>
        <v>PPS</v>
      </c>
      <c r="K1117" s="447">
        <f>ROUND((calcR2LOB2Prod2Seg2RunRate*paramR2LOB2Prod2Seg2RRM3)/paramR2TimeConversion,0)</f>
        <v>2</v>
      </c>
      <c r="L1117" s="447">
        <f>ROUND((calcR2LOB2Prod2Seg2RunRate*paramR2LOB2Prod2Seg2RRM3)/paramR2TimeConversion,0)</f>
        <v>2</v>
      </c>
      <c r="M1117" s="447">
        <f>ROUND((calcR2LOB2Prod2Seg2RunRate*paramR2LOB2Prod2Seg2RRM3)/paramR2TimeConversion,0)</f>
        <v>2</v>
      </c>
      <c r="N1117" s="131" t="s">
        <v>6682</v>
      </c>
    </row>
    <row r="1118" spans="1:14" ht="12.75" customHeight="1">
      <c r="A1118" s="478"/>
      <c r="B1118" s="476"/>
      <c r="C1118" s="476"/>
      <c r="D1118" s="170" t="str">
        <f>nmSeg3</f>
        <v>Other</v>
      </c>
      <c r="E1118" s="447">
        <f>ROUND((calcLOB2Prod2Seg3RunRate*paramLOB2Prod2Seg3RRM3)/paramTimeConversion,0)</f>
        <v>1</v>
      </c>
      <c r="F1118" s="447">
        <f>ROUND((calcLOB2Prod2Seg3RunRate*paramLOB2Prod2Seg3RRM3)/paramTimeConversion,0)</f>
        <v>1</v>
      </c>
      <c r="G1118" s="447">
        <f>ROUND((calcLOB2Prod2Seg3RunRate*paramLOB2Prod2Seg3RRM3)/paramTimeConversion,0)</f>
        <v>1</v>
      </c>
      <c r="H1118" s="131" t="s">
        <v>4331</v>
      </c>
      <c r="J1118" s="170" t="str">
        <f>nmSeg3</f>
        <v>Other</v>
      </c>
      <c r="K1118" s="447">
        <f>ROUND((calcR2LOB2Prod2Seg3RunRate*paramR2LOB2Prod2Seg3RRM3)/paramR2TimeConversion,0)</f>
        <v>1</v>
      </c>
      <c r="L1118" s="447">
        <f>ROUND((calcR2LOB2Prod2Seg3RunRate*paramR2LOB2Prod2Seg3RRM3)/paramR2TimeConversion,0)</f>
        <v>1</v>
      </c>
      <c r="M1118" s="447">
        <f>ROUND((calcR2LOB2Prod2Seg3RunRate*paramR2LOB2Prod2Seg3RRM3)/paramR2TimeConversion,0)</f>
        <v>1</v>
      </c>
      <c r="N1118" s="131" t="s">
        <v>6683</v>
      </c>
    </row>
    <row r="1119" spans="1:14" ht="1.5" customHeight="1">
      <c r="A1119" s="478"/>
      <c r="B1119" s="476"/>
      <c r="C1119" s="476"/>
      <c r="D1119" s="449"/>
      <c r="E1119" s="450"/>
      <c r="F1119" s="450"/>
      <c r="G1119" s="450"/>
      <c r="H1119" s="131"/>
      <c r="J1119" s="449"/>
      <c r="K1119" s="450"/>
      <c r="L1119" s="450"/>
      <c r="M1119" s="450"/>
      <c r="N1119" s="131"/>
    </row>
    <row r="1120" spans="1:14" ht="12.75" customHeight="1">
      <c r="A1120" s="478"/>
      <c r="B1120" s="476"/>
      <c r="C1120" s="476"/>
      <c r="D1120" s="131" t="s">
        <v>1583</v>
      </c>
      <c r="E1120" s="448">
        <f>SUM(E1112:E1119)</f>
        <v>194</v>
      </c>
      <c r="F1120" s="448">
        <f t="shared" ref="F1120" si="155">SUM(F1112:F1119)</f>
        <v>194</v>
      </c>
      <c r="G1120" s="448">
        <f t="shared" ref="G1120" si="156">SUM(G1112:G1119)</f>
        <v>194</v>
      </c>
      <c r="H1120" s="131" t="s">
        <v>4332</v>
      </c>
      <c r="J1120" s="131" t="s">
        <v>1583</v>
      </c>
      <c r="K1120" s="448">
        <f>SUM(K1112:K1119)</f>
        <v>200</v>
      </c>
      <c r="L1120" s="448">
        <f t="shared" ref="L1120:M1120" si="157">SUM(L1112:L1119)</f>
        <v>200</v>
      </c>
      <c r="M1120" s="448">
        <f t="shared" si="157"/>
        <v>200</v>
      </c>
      <c r="N1120" s="131" t="s">
        <v>6684</v>
      </c>
    </row>
    <row r="1121" spans="1:14" ht="12.75" customHeight="1">
      <c r="A1121" s="478"/>
    </row>
    <row r="1122" spans="1:14" ht="12.75" customHeight="1">
      <c r="A1122" s="478"/>
      <c r="B1122" s="87" t="s">
        <v>732</v>
      </c>
      <c r="C1122" s="87"/>
    </row>
    <row r="1123" spans="1:14" ht="12.75" customHeight="1">
      <c r="A1123" s="478"/>
      <c r="C1123" s="87" t="s">
        <v>590</v>
      </c>
      <c r="D1123" s="131"/>
      <c r="J1123" s="131"/>
    </row>
    <row r="1124" spans="1:14" ht="12.75" customHeight="1">
      <c r="A1124" s="478"/>
      <c r="D1124" s="170" t="str">
        <f>nmSeg1</f>
        <v>Medicare</v>
      </c>
      <c r="E1124" s="447">
        <f>ROUND(IF(tlInputSubmitted_R1=1,mmLOB2UnitsNew*cbalLOB2Seg1Perc,decLOB2Prod1Seg1Adj_R1*paramTimeConversion),0)</f>
        <v>1608</v>
      </c>
      <c r="F1124" s="447">
        <f>ROUND(IF(tlInputSubmitted_R1=1,mmLOB2UnitsNew*cbalLOB2Seg1Perc,decLOB2Prod1Seg1Adj_R1*paramTimeConversion),0)</f>
        <v>1200</v>
      </c>
      <c r="G1124" s="447">
        <f>ROUND(IF(tlInputSubmitted_R1=1,mmLOB2UnitsNew*cbalLOB2Seg1Perc,decLOB2Prod1Seg1Adj_R1*paramTimeConversion),0)</f>
        <v>2400</v>
      </c>
      <c r="H1124" s="131" t="s">
        <v>2254</v>
      </c>
      <c r="J1124" s="170" t="str">
        <f>nmSeg1</f>
        <v>Medicare</v>
      </c>
      <c r="K1124" s="447">
        <f>ROUND(IF(tlInputSubmitted_R2=1,mmR2LOB2UnitsNew*cbalR2LOB2Seg1Perc,decLOB2Prod1Seg1Adj_R2*paramR2TimeConversion),0)</f>
        <v>1656</v>
      </c>
      <c r="L1124" s="447">
        <f>ROUND(IF(tlInputSubmitted_R2=1,mmR2LOB2UnitsNew*cbalR2LOB2Seg1Perc,decLOB2Prod1Seg1Adj_R2*paramR2TimeConversion),0)</f>
        <v>1200</v>
      </c>
      <c r="M1124" s="447">
        <f>ROUND(IF(tlInputSubmitted_R2=1,mmR2LOB2UnitsNew*cbalR2LOB2Seg1Perc,decLOB2Prod1Seg1Adj_R2*paramR2TimeConversion),0)</f>
        <v>2400</v>
      </c>
      <c r="N1124" s="131" t="s">
        <v>6685</v>
      </c>
    </row>
    <row r="1125" spans="1:14" ht="12.75" customHeight="1">
      <c r="A1125" s="478"/>
      <c r="D1125" s="170" t="str">
        <f>nmSeg2</f>
        <v>PPS</v>
      </c>
      <c r="E1125" s="447">
        <f>ROUND(IF(tlInputSubmitted_R1=1,mmLOB2UnitsNew*cbalLOB2Seg2Perc,decLOB2Prod1Seg2Adj_R1*paramTimeConversion),0)</f>
        <v>84</v>
      </c>
      <c r="F1125" s="447">
        <f>ROUND(IF(tlInputSubmitted_R1=1,mmLOB2UnitsNew*cbalLOB2Seg2Perc,decLOB2Prod1Seg2Adj_R1*paramTimeConversion),0)</f>
        <v>96</v>
      </c>
      <c r="G1125" s="447">
        <f>ROUND(IF(tlInputSubmitted_R1=1,mmLOB2UnitsNew*cbalLOB2Seg2Perc,decLOB2Prod1Seg2Adj_R1*paramTimeConversion),0)</f>
        <v>120</v>
      </c>
      <c r="H1125" s="131" t="s">
        <v>2255</v>
      </c>
      <c r="J1125" s="170" t="str">
        <f>nmSeg2</f>
        <v>PPS</v>
      </c>
      <c r="K1125" s="447">
        <f>ROUND(IF(tlInputSubmitted_R2=1,mmR2LOB2UnitsNew*cbalR2LOB2Seg2Perc,decLOB2Prod1Seg2Adj_R2*paramR2TimeConversion),0)</f>
        <v>96</v>
      </c>
      <c r="L1125" s="447">
        <f>ROUND(IF(tlInputSubmitted_R2=1,mmR2LOB2UnitsNew*cbalR2LOB2Seg2Perc,decLOB2Prod1Seg2Adj_R2*paramR2TimeConversion),0)</f>
        <v>96</v>
      </c>
      <c r="M1125" s="447">
        <f>ROUND(IF(tlInputSubmitted_R2=1,mmR2LOB2UnitsNew*cbalR2LOB2Seg2Perc,decLOB2Prod1Seg2Adj_R2*paramR2TimeConversion),0)</f>
        <v>120</v>
      </c>
      <c r="N1125" s="131" t="s">
        <v>6686</v>
      </c>
    </row>
    <row r="1126" spans="1:14" ht="12.75" customHeight="1">
      <c r="A1126" s="478"/>
      <c r="D1126" s="170" t="str">
        <f>nmSeg3</f>
        <v>Other</v>
      </c>
      <c r="E1126" s="447">
        <f>ROUND(IF(tlInputSubmitted_R1=1,mmLOB2UnitsNew*cbalLOB2Seg3Perc,decLOB2Prod1Seg3Adj_R1*paramTimeConversion),0)</f>
        <v>48</v>
      </c>
      <c r="F1126" s="447">
        <f>ROUND(IF(tlInputSubmitted_R1=1,mmLOB2UnitsNew*cbalLOB2Seg3Perc,decLOB2Prod1Seg3Adj_R1*paramTimeConversion),0)</f>
        <v>36</v>
      </c>
      <c r="G1126" s="447">
        <f>ROUND(IF(tlInputSubmitted_R1=1,mmLOB2UnitsNew*cbalLOB2Seg3Perc,decLOB2Prod1Seg3Adj_R1*paramTimeConversion),0)</f>
        <v>96</v>
      </c>
      <c r="H1126" s="131" t="s">
        <v>2256</v>
      </c>
      <c r="J1126" s="170" t="str">
        <f>nmSeg3</f>
        <v>Other</v>
      </c>
      <c r="K1126" s="447">
        <f>ROUND(IF(tlInputSubmitted_R2=1,mmR2LOB2UnitsNew*cbalR2LOB2Seg3Perc,decLOB2Prod1Seg3Adj_R2*paramR2TimeConversion),0)</f>
        <v>60</v>
      </c>
      <c r="L1126" s="447">
        <f>ROUND(IF(tlInputSubmitted_R2=1,mmR2LOB2UnitsNew*cbalR2LOB2Seg3Perc,decLOB2Prod1Seg3Adj_R2*paramR2TimeConversion),0)</f>
        <v>36</v>
      </c>
      <c r="M1126" s="447">
        <f>ROUND(IF(tlInputSubmitted_R2=1,mmR2LOB2UnitsNew*cbalR2LOB2Seg3Perc,decLOB2Prod1Seg3Adj_R2*paramR2TimeConversion),0)</f>
        <v>96</v>
      </c>
      <c r="N1126" s="131" t="s">
        <v>6687</v>
      </c>
    </row>
    <row r="1127" spans="1:14" ht="12.75" customHeight="1">
      <c r="A1127" s="478"/>
      <c r="C1127" s="87" t="s">
        <v>591</v>
      </c>
      <c r="E1127" s="447"/>
      <c r="F1127" s="447"/>
      <c r="G1127" s="447"/>
      <c r="K1127" s="447"/>
      <c r="L1127" s="447"/>
      <c r="M1127" s="447"/>
    </row>
    <row r="1128" spans="1:14" ht="12.75" customHeight="1">
      <c r="A1128" s="478"/>
      <c r="D1128" s="170" t="str">
        <f>nmSeg1</f>
        <v>Medicare</v>
      </c>
      <c r="E1128" s="447">
        <f>ROUND(IF(tlInputSubmitted_R1=1,calcLOB2Prod1Seg1Patients*cbalLOB2Prod2Seg1Perc,decLOB2Prod2Seg1Adj_R1*paramTimeConversion),0)</f>
        <v>480</v>
      </c>
      <c r="F1128" s="447">
        <f>ROUND(IF(tlInputSubmitted_R1=1,calcLOB2Prod1Seg1Patients*cbalLOB2Prod2Seg1Perc,decLOB2Prod2Seg1Adj_R1*paramTimeConversion),0)</f>
        <v>360</v>
      </c>
      <c r="G1128" s="447">
        <f>ROUND(IF(tlInputSubmitted_R1=1,calcLOB2Prod1Seg1Patients*cbalLOB2Prod2Seg1Perc,decLOB2Prod2Seg1Adj_R1*paramTimeConversion),0)</f>
        <v>720</v>
      </c>
      <c r="H1128" s="131" t="s">
        <v>2257</v>
      </c>
      <c r="J1128" s="170" t="str">
        <f>nmSeg1</f>
        <v>Medicare</v>
      </c>
      <c r="K1128" s="447">
        <f>ROUND(IF(tlInputSubmitted_R2=1,calcR2LOB2Prod1Seg1Patients*cbalR2LOB2Prod2Seg1Perc,decLOB2Prod2Seg1Adj_R2*paramR2TimeConversion),0)</f>
        <v>504</v>
      </c>
      <c r="L1128" s="447">
        <f>ROUND(IF(tlInputSubmitted_R2=1,calcR2LOB2Prod1Seg1Patients*cbalR2LOB2Prod2Seg1Perc,decLOB2Prod2Seg1Adj_R2*paramR2TimeConversion),0)</f>
        <v>360</v>
      </c>
      <c r="M1128" s="447">
        <f>ROUND(IF(tlInputSubmitted_R2=1,calcR2LOB2Prod1Seg1Patients*cbalR2LOB2Prod2Seg1Perc,decLOB2Prod2Seg1Adj_R2*paramR2TimeConversion),0)</f>
        <v>720</v>
      </c>
      <c r="N1128" s="131" t="s">
        <v>6688</v>
      </c>
    </row>
    <row r="1129" spans="1:14" ht="12.75" customHeight="1">
      <c r="A1129" s="478"/>
      <c r="D1129" s="170" t="str">
        <f>nmSeg2</f>
        <v>PPS</v>
      </c>
      <c r="E1129" s="447">
        <f>ROUND(IF(tlInputSubmitted_R1=1,calcLOB2Prod1Seg2Patients*cbalLOB2Prod2Seg2Perc,decLOB2Prod2Seg2Adj_R1*paramTimeConversion),0)</f>
        <v>24</v>
      </c>
      <c r="F1129" s="447">
        <f>ROUND(IF(tlInputSubmitted_R1=1,calcLOB2Prod1Seg2Patients*cbalLOB2Prod2Seg2Perc,decLOB2Prod2Seg2Adj_R1*paramTimeConversion),0)</f>
        <v>24</v>
      </c>
      <c r="G1129" s="447">
        <f>ROUND(IF(tlInputSubmitted_R1=1,calcLOB2Prod1Seg2Patients*cbalLOB2Prod2Seg2Perc,decLOB2Prod2Seg2Adj_R1*paramTimeConversion),0)</f>
        <v>60</v>
      </c>
      <c r="H1129" s="131" t="s">
        <v>2258</v>
      </c>
      <c r="J1129" s="170" t="str">
        <f>nmSeg2</f>
        <v>PPS</v>
      </c>
      <c r="K1129" s="447">
        <f>ROUND(IF(tlInputSubmitted_R2=1,calcR2LOB2Prod1Seg2Patients*cbalR2LOB2Prod2Seg2Perc,decLOB2Prod2Seg2Adj_R2*paramR2TimeConversion),0)</f>
        <v>24</v>
      </c>
      <c r="L1129" s="447">
        <f>ROUND(IF(tlInputSubmitted_R2=1,calcR2LOB2Prod1Seg2Patients*cbalR2LOB2Prod2Seg2Perc,decLOB2Prod2Seg2Adj_R2*paramR2TimeConversion),0)</f>
        <v>24</v>
      </c>
      <c r="M1129" s="447">
        <f>ROUND(IF(tlInputSubmitted_R2=1,calcR2LOB2Prod1Seg2Patients*cbalR2LOB2Prod2Seg2Perc,decLOB2Prod2Seg2Adj_R2*paramR2TimeConversion),0)</f>
        <v>60</v>
      </c>
      <c r="N1129" s="131" t="s">
        <v>6689</v>
      </c>
    </row>
    <row r="1130" spans="1:14" ht="12.75" customHeight="1">
      <c r="A1130" s="478"/>
      <c r="D1130" s="170" t="str">
        <f>nmSeg3</f>
        <v>Other</v>
      </c>
      <c r="E1130" s="447">
        <f>ROUND(IF(tlInputSubmitted_R1=1,calcLOB2Prod1Seg3Patients*cbalLOB2Prod2Seg3Perc,decLOB2Prod2Seg3Adj_R1*paramTimeConversion),0)</f>
        <v>12</v>
      </c>
      <c r="F1130" s="447">
        <f>ROUND(IF(tlInputSubmitted_R1=1,calcLOB2Prod1Seg3Patients*cbalLOB2Prod2Seg3Perc,decLOB2Prod2Seg3Adj_R1*paramTimeConversion),0)</f>
        <v>12</v>
      </c>
      <c r="G1130" s="447">
        <f>ROUND(IF(tlInputSubmitted_R1=1,calcLOB2Prod1Seg3Patients*cbalLOB2Prod2Seg3Perc,decLOB2Prod2Seg3Adj_R1*paramTimeConversion),0)</f>
        <v>48</v>
      </c>
      <c r="H1130" s="131" t="s">
        <v>2259</v>
      </c>
      <c r="J1130" s="170" t="str">
        <f>nmSeg3</f>
        <v>Other</v>
      </c>
      <c r="K1130" s="447">
        <f>ROUND(IF(tlInputSubmitted_R2=1,calcR2LOB2Prod1Seg3Patients*cbalR2LOB2Prod2Seg3Perc,decLOB2Prod2Seg3Adj_R2*paramR2TimeConversion),0)</f>
        <v>12</v>
      </c>
      <c r="L1130" s="447">
        <f>ROUND(IF(tlInputSubmitted_R2=1,calcR2LOB2Prod1Seg3Patients*cbalR2LOB2Prod2Seg3Perc,decLOB2Prod2Seg3Adj_R2*paramR2TimeConversion),0)</f>
        <v>12</v>
      </c>
      <c r="M1130" s="447">
        <f>ROUND(IF(tlInputSubmitted_R2=1,calcR2LOB2Prod1Seg3Patients*cbalR2LOB2Prod2Seg3Perc,decLOB2Prod2Seg3Adj_R2*paramR2TimeConversion),0)</f>
        <v>48</v>
      </c>
      <c r="N1130" s="131" t="s">
        <v>6690</v>
      </c>
    </row>
    <row r="1131" spans="1:14" ht="1.5" customHeight="1">
      <c r="A1131" s="478"/>
      <c r="D1131" s="449"/>
      <c r="E1131" s="450"/>
      <c r="F1131" s="450"/>
      <c r="G1131" s="450"/>
      <c r="H1131" s="131"/>
      <c r="J1131" s="449"/>
      <c r="K1131" s="450"/>
      <c r="L1131" s="450"/>
      <c r="M1131" s="450"/>
      <c r="N1131" s="131"/>
    </row>
    <row r="1132" spans="1:14" ht="12.75" customHeight="1">
      <c r="A1132" s="478"/>
      <c r="D1132" s="131" t="s">
        <v>1583</v>
      </c>
      <c r="E1132" s="448">
        <f>SUM(E1124:E1131)</f>
        <v>2256</v>
      </c>
      <c r="F1132" s="448">
        <f t="shared" ref="F1132:G1132" si="158">SUM(F1124:F1131)</f>
        <v>1728</v>
      </c>
      <c r="G1132" s="448">
        <f t="shared" si="158"/>
        <v>3444</v>
      </c>
      <c r="H1132" s="131" t="s">
        <v>2260</v>
      </c>
      <c r="J1132" s="131" t="s">
        <v>1583</v>
      </c>
      <c r="K1132" s="448">
        <f>SUM(K1124:K1131)</f>
        <v>2352</v>
      </c>
      <c r="L1132" s="448">
        <f t="shared" ref="L1132:M1132" si="159">SUM(L1124:L1131)</f>
        <v>1728</v>
      </c>
      <c r="M1132" s="448">
        <f t="shared" si="159"/>
        <v>3444</v>
      </c>
      <c r="N1132" s="131" t="s">
        <v>6691</v>
      </c>
    </row>
    <row r="1133" spans="1:14" ht="12.75" customHeight="1">
      <c r="A1133" s="478"/>
    </row>
    <row r="1134" spans="1:14" ht="12.75" customHeight="1">
      <c r="A1134" s="478"/>
      <c r="B1134" s="87" t="s">
        <v>1473</v>
      </c>
    </row>
    <row r="1135" spans="1:14" ht="12.75" customHeight="1">
      <c r="A1135" s="478"/>
      <c r="C1135" s="87" t="str">
        <f>nmEmp1</f>
        <v>Skilled Nursing</v>
      </c>
    </row>
    <row r="1136" spans="1:14" ht="12.75" customHeight="1">
      <c r="A1136" s="478"/>
      <c r="D1136" s="170" t="str">
        <f>nmProd1 &amp; " " &amp; nmSeg1</f>
        <v>Admits Medicare</v>
      </c>
      <c r="E1136" s="448">
        <f>calcLOB2Prod1Seg1Patients*cbalLOB2Emp1VisitPEp</f>
        <v>14954.400000000001</v>
      </c>
      <c r="F1136" s="448">
        <f>calcLOB2Prod1Seg1Patients*cbalLOB2Emp1VisitPEp</f>
        <v>11160</v>
      </c>
      <c r="G1136" s="448">
        <f>calcLOB2Prod1Seg1Patients*cbalLOB2Emp1VisitPEp</f>
        <v>22320</v>
      </c>
      <c r="H1136" s="131" t="s">
        <v>2261</v>
      </c>
      <c r="J1136" s="170" t="str">
        <f>nmProd1 &amp; " " &amp; nmSeg1</f>
        <v>Admits Medicare</v>
      </c>
      <c r="K1136" s="448">
        <f>calcR2LOB2Prod1Seg1Patients*cbalR2LOB2Emp1VisitPEp</f>
        <v>15400.800000000001</v>
      </c>
      <c r="L1136" s="448">
        <f>calcR2LOB2Prod1Seg1Patients*cbalR2LOB2Emp1VisitPEp</f>
        <v>11160</v>
      </c>
      <c r="M1136" s="448">
        <f>calcR2LOB2Prod1Seg1Patients*cbalR2LOB2Emp1VisitPEp</f>
        <v>22320</v>
      </c>
      <c r="N1136" s="131" t="s">
        <v>6692</v>
      </c>
    </row>
    <row r="1137" spans="1:14" ht="12.75" customHeight="1">
      <c r="A1137" s="478"/>
      <c r="D1137" s="170" t="str">
        <f>nmProd1 &amp; " " &amp; nmSeg2</f>
        <v>Admits PPS</v>
      </c>
      <c r="E1137" s="448">
        <f>calcLOB2Prod1Seg2Patients*cbalLOB2Emp1VisitPEp</f>
        <v>781.2</v>
      </c>
      <c r="F1137" s="448">
        <f>calcLOB2Prod1Seg2Patients*cbalLOB2Emp1VisitPEp</f>
        <v>892.80000000000007</v>
      </c>
      <c r="G1137" s="448">
        <f>calcLOB2Prod1Seg2Patients*cbalLOB2Emp1VisitPEp</f>
        <v>1116</v>
      </c>
      <c r="H1137" s="131" t="s">
        <v>2262</v>
      </c>
      <c r="J1137" s="170" t="str">
        <f>nmProd1 &amp; " " &amp; nmSeg2</f>
        <v>Admits PPS</v>
      </c>
      <c r="K1137" s="448">
        <f>calcR2LOB2Prod1Seg2Patients*cbalR2LOB2Emp1VisitPEp</f>
        <v>892.80000000000007</v>
      </c>
      <c r="L1137" s="448">
        <f>calcR2LOB2Prod1Seg2Patients*cbalR2LOB2Emp1VisitPEp</f>
        <v>892.80000000000007</v>
      </c>
      <c r="M1137" s="448">
        <f>calcR2LOB2Prod1Seg2Patients*cbalR2LOB2Emp1VisitPEp</f>
        <v>1116</v>
      </c>
      <c r="N1137" s="131" t="s">
        <v>6693</v>
      </c>
    </row>
    <row r="1138" spans="1:14" ht="12.75" customHeight="1">
      <c r="A1138" s="478"/>
      <c r="D1138" s="170" t="str">
        <f>nmProd1 &amp; " " &amp; nmSeg3</f>
        <v>Admits Other</v>
      </c>
      <c r="E1138" s="448">
        <f>calcLOB2Prod1Seg3Patients*cbalLOB2Emp1VisitPEp</f>
        <v>446.40000000000003</v>
      </c>
      <c r="F1138" s="448">
        <f>calcLOB2Prod1Seg3Patients*cbalLOB2Emp1VisitPEp</f>
        <v>334.8</v>
      </c>
      <c r="G1138" s="448">
        <f>calcLOB2Prod1Seg3Patients*cbalLOB2Emp1VisitPEp</f>
        <v>892.80000000000007</v>
      </c>
      <c r="H1138" s="131" t="s">
        <v>2263</v>
      </c>
      <c r="J1138" s="170" t="str">
        <f>nmProd1 &amp; " " &amp; nmSeg3</f>
        <v>Admits Other</v>
      </c>
      <c r="K1138" s="448">
        <f>calcR2LOB2Prod1Seg3Patients*cbalR2LOB2Emp1VisitPEp</f>
        <v>558</v>
      </c>
      <c r="L1138" s="448">
        <f>calcR2LOB2Prod1Seg3Patients*cbalR2LOB2Emp1VisitPEp</f>
        <v>334.8</v>
      </c>
      <c r="M1138" s="448">
        <f>calcR2LOB2Prod1Seg3Patients*cbalR2LOB2Emp1VisitPEp</f>
        <v>892.80000000000007</v>
      </c>
      <c r="N1138" s="131" t="s">
        <v>6694</v>
      </c>
    </row>
    <row r="1139" spans="1:14" ht="12.75" customHeight="1">
      <c r="A1139" s="478"/>
      <c r="D1139" s="170" t="str">
        <f>nmProd2 &amp; " " &amp; nmSeg1</f>
        <v>Recerts Medicare</v>
      </c>
      <c r="E1139" s="448">
        <f>calcLOB2Prod2Seg1Patients*cbalLOB2Emp1VisitPEp</f>
        <v>4464</v>
      </c>
      <c r="F1139" s="448">
        <f>calcLOB2Prod2Seg1Patients*cbalLOB2Emp1VisitPEp</f>
        <v>3348.0000000000005</v>
      </c>
      <c r="G1139" s="448">
        <f>calcLOB2Prod2Seg1Patients*cbalLOB2Emp1VisitPEp</f>
        <v>6696.0000000000009</v>
      </c>
      <c r="H1139" s="131" t="s">
        <v>2264</v>
      </c>
      <c r="J1139" s="170" t="str">
        <f>nmProd2 &amp; " " &amp; nmSeg1</f>
        <v>Recerts Medicare</v>
      </c>
      <c r="K1139" s="448">
        <f>calcR2LOB2Prod2Seg1Patients*cbalR2LOB2Emp1VisitPEp</f>
        <v>4687.2000000000007</v>
      </c>
      <c r="L1139" s="448">
        <f>calcR2LOB2Prod2Seg1Patients*cbalR2LOB2Emp1VisitPEp</f>
        <v>3348.0000000000005</v>
      </c>
      <c r="M1139" s="448">
        <f>calcR2LOB2Prod2Seg1Patients*cbalR2LOB2Emp1VisitPEp</f>
        <v>6696.0000000000009</v>
      </c>
      <c r="N1139" s="131" t="s">
        <v>6695</v>
      </c>
    </row>
    <row r="1140" spans="1:14" ht="12.75" customHeight="1">
      <c r="A1140" s="478"/>
      <c r="D1140" s="170" t="str">
        <f>nmProd2 &amp; " " &amp; nmSeg2</f>
        <v>Recerts PPS</v>
      </c>
      <c r="E1140" s="448">
        <f>calcLOB2Prod2Seg2Patients*cbalLOB2Emp1VisitPEp</f>
        <v>223.20000000000002</v>
      </c>
      <c r="F1140" s="448">
        <f>calcLOB2Prod2Seg2Patients*cbalLOB2Emp1VisitPEp</f>
        <v>223.20000000000002</v>
      </c>
      <c r="G1140" s="448">
        <f>calcLOB2Prod2Seg2Patients*cbalLOB2Emp1VisitPEp</f>
        <v>558</v>
      </c>
      <c r="H1140" s="131" t="s">
        <v>2265</v>
      </c>
      <c r="J1140" s="170" t="str">
        <f>nmProd2 &amp; " " &amp; nmSeg2</f>
        <v>Recerts PPS</v>
      </c>
      <c r="K1140" s="448">
        <f>calcR2LOB2Prod2Seg2Patients*cbalR2LOB2Emp1VisitPEp</f>
        <v>223.20000000000002</v>
      </c>
      <c r="L1140" s="448">
        <f>calcR2LOB2Prod2Seg2Patients*cbalR2LOB2Emp1VisitPEp</f>
        <v>223.20000000000002</v>
      </c>
      <c r="M1140" s="448">
        <f>calcR2LOB2Prod2Seg2Patients*cbalR2LOB2Emp1VisitPEp</f>
        <v>558</v>
      </c>
      <c r="N1140" s="131" t="s">
        <v>6696</v>
      </c>
    </row>
    <row r="1141" spans="1:14" ht="12.75" customHeight="1">
      <c r="A1141" s="478"/>
      <c r="D1141" s="170" t="str">
        <f>nmProd2 &amp; " " &amp; nmSeg3</f>
        <v>Recerts Other</v>
      </c>
      <c r="E1141" s="448">
        <f>calcLOB2Prod2Seg3Patients*cbalLOB2Emp1VisitPEp</f>
        <v>111.60000000000001</v>
      </c>
      <c r="F1141" s="448">
        <f>calcLOB2Prod2Seg3Patients*cbalLOB2Emp1VisitPEp</f>
        <v>111.60000000000001</v>
      </c>
      <c r="G1141" s="448">
        <f>calcLOB2Prod2Seg3Patients*cbalLOB2Emp1VisitPEp</f>
        <v>446.40000000000003</v>
      </c>
      <c r="H1141" s="131" t="s">
        <v>2266</v>
      </c>
      <c r="J1141" s="170" t="str">
        <f>nmProd2 &amp; " " &amp; nmSeg3</f>
        <v>Recerts Other</v>
      </c>
      <c r="K1141" s="448">
        <f>calcR2LOB2Prod2Seg3Patients*cbalR2LOB2Emp1VisitPEp</f>
        <v>111.60000000000001</v>
      </c>
      <c r="L1141" s="448">
        <f>calcR2LOB2Prod2Seg3Patients*cbalR2LOB2Emp1VisitPEp</f>
        <v>111.60000000000001</v>
      </c>
      <c r="M1141" s="448">
        <f>calcR2LOB2Prod2Seg3Patients*cbalR2LOB2Emp1VisitPEp</f>
        <v>446.40000000000003</v>
      </c>
      <c r="N1141" s="131" t="s">
        <v>6697</v>
      </c>
    </row>
    <row r="1142" spans="1:14" ht="1.5" customHeight="1">
      <c r="A1142" s="478"/>
      <c r="D1142" s="449"/>
      <c r="E1142" s="450"/>
      <c r="F1142" s="450"/>
      <c r="G1142" s="450"/>
      <c r="H1142" s="131"/>
      <c r="J1142" s="449"/>
      <c r="K1142" s="450"/>
      <c r="L1142" s="450"/>
      <c r="M1142" s="450"/>
      <c r="N1142" s="131"/>
    </row>
    <row r="1143" spans="1:14" ht="12.75" customHeight="1">
      <c r="A1143" s="478"/>
      <c r="D1143" s="170" t="str">
        <f>"Total "&amp; nmEmp1</f>
        <v>Total Skilled Nursing</v>
      </c>
      <c r="E1143" s="448">
        <f>SUM(E1136:E1142)</f>
        <v>20980.799999999999</v>
      </c>
      <c r="F1143" s="448">
        <f t="shared" ref="F1143:G1143" si="160">SUM(F1136:F1142)</f>
        <v>16070.4</v>
      </c>
      <c r="G1143" s="448">
        <f t="shared" si="160"/>
        <v>32029.200000000001</v>
      </c>
      <c r="H1143" s="131" t="s">
        <v>2267</v>
      </c>
      <c r="J1143" s="170" t="str">
        <f>"Total "&amp; nmEmp1</f>
        <v>Total Skilled Nursing</v>
      </c>
      <c r="K1143" s="448">
        <f>SUM(K1136:K1142)</f>
        <v>21873.599999999999</v>
      </c>
      <c r="L1143" s="448">
        <f t="shared" ref="L1143:M1143" si="161">SUM(L1136:L1142)</f>
        <v>16070.4</v>
      </c>
      <c r="M1143" s="448">
        <f t="shared" si="161"/>
        <v>32029.200000000001</v>
      </c>
      <c r="N1143" s="131" t="s">
        <v>6698</v>
      </c>
    </row>
    <row r="1144" spans="1:14" ht="12.75" customHeight="1">
      <c r="A1144" s="478"/>
      <c r="E1144" s="448"/>
      <c r="F1144" s="448"/>
      <c r="G1144" s="448"/>
      <c r="H1144" s="131"/>
      <c r="K1144" s="448"/>
      <c r="L1144" s="448"/>
      <c r="M1144" s="448"/>
      <c r="N1144" s="131"/>
    </row>
    <row r="1145" spans="1:14" ht="12.75" customHeight="1">
      <c r="A1145" s="478"/>
      <c r="C1145" s="87" t="str">
        <f>nmEmp2</f>
        <v>Occupational Therapy</v>
      </c>
    </row>
    <row r="1146" spans="1:14" ht="12.75" customHeight="1">
      <c r="A1146" s="478"/>
      <c r="D1146" s="170" t="str">
        <f>nmProd1 &amp; " " &amp; nmSeg1</f>
        <v>Admits Medicare</v>
      </c>
      <c r="E1146" s="448">
        <f>calcLOB2Prod1Seg1Patients*cbalLOB2Emp2VisitPEp</f>
        <v>1929.6</v>
      </c>
      <c r="F1146" s="448">
        <f>calcLOB2Prod1Seg1Patients*cbalLOB2Emp2VisitPEp</f>
        <v>1440</v>
      </c>
      <c r="G1146" s="448">
        <f>calcLOB2Prod1Seg1Patients*cbalLOB2Emp2VisitPEp</f>
        <v>2880</v>
      </c>
      <c r="H1146" s="131" t="s">
        <v>2268</v>
      </c>
      <c r="J1146" s="170" t="str">
        <f>nmProd1 &amp; " " &amp; nmSeg1</f>
        <v>Admits Medicare</v>
      </c>
      <c r="K1146" s="448">
        <f>calcR2LOB2Prod1Seg1Patients*cbalR2LOB2Emp2VisitPEp</f>
        <v>1987.1999999999998</v>
      </c>
      <c r="L1146" s="448">
        <f>calcR2LOB2Prod1Seg1Patients*cbalR2LOB2Emp2VisitPEp</f>
        <v>1440</v>
      </c>
      <c r="M1146" s="448">
        <f>calcR2LOB2Prod1Seg1Patients*cbalR2LOB2Emp2VisitPEp</f>
        <v>2880</v>
      </c>
      <c r="N1146" s="131" t="s">
        <v>6699</v>
      </c>
    </row>
    <row r="1147" spans="1:14" ht="12.75" customHeight="1">
      <c r="A1147" s="478"/>
      <c r="D1147" s="170" t="str">
        <f>nmProd1 &amp; " " &amp; nmSeg2</f>
        <v>Admits PPS</v>
      </c>
      <c r="E1147" s="448">
        <f>calcLOB2Prod1Seg2Patients*cbalLOB2Emp2VisitPEp</f>
        <v>100.8</v>
      </c>
      <c r="F1147" s="448">
        <f>calcLOB2Prod1Seg2Patients*cbalLOB2Emp2VisitPEp</f>
        <v>115.19999999999999</v>
      </c>
      <c r="G1147" s="448">
        <f>calcLOB2Prod1Seg2Patients*cbalLOB2Emp2VisitPEp</f>
        <v>144</v>
      </c>
      <c r="H1147" s="131" t="s">
        <v>2269</v>
      </c>
      <c r="J1147" s="170" t="str">
        <f>nmProd1 &amp; " " &amp; nmSeg2</f>
        <v>Admits PPS</v>
      </c>
      <c r="K1147" s="448">
        <f>calcR2LOB2Prod1Seg2Patients*cbalR2LOB2Emp2VisitPEp</f>
        <v>115.19999999999999</v>
      </c>
      <c r="L1147" s="448">
        <f>calcR2LOB2Prod1Seg2Patients*cbalR2LOB2Emp2VisitPEp</f>
        <v>115.19999999999999</v>
      </c>
      <c r="M1147" s="448">
        <f>calcR2LOB2Prod1Seg2Patients*cbalR2LOB2Emp2VisitPEp</f>
        <v>144</v>
      </c>
      <c r="N1147" s="131" t="s">
        <v>6700</v>
      </c>
    </row>
    <row r="1148" spans="1:14" ht="12.75" customHeight="1">
      <c r="A1148" s="478"/>
      <c r="D1148" s="170" t="str">
        <f>nmProd1 &amp; " " &amp; nmSeg3</f>
        <v>Admits Other</v>
      </c>
      <c r="E1148" s="448">
        <f>calcLOB2Prod1Seg3Patients*cbalLOB2Emp2VisitPEp</f>
        <v>57.599999999999994</v>
      </c>
      <c r="F1148" s="448">
        <f>calcLOB2Prod1Seg3Patients*cbalLOB2Emp2VisitPEp</f>
        <v>43.199999999999996</v>
      </c>
      <c r="G1148" s="448">
        <f>calcLOB2Prod1Seg3Patients*cbalLOB2Emp2VisitPEp</f>
        <v>115.19999999999999</v>
      </c>
      <c r="H1148" s="131" t="s">
        <v>2270</v>
      </c>
      <c r="J1148" s="170" t="str">
        <f>nmProd1 &amp; " " &amp; nmSeg3</f>
        <v>Admits Other</v>
      </c>
      <c r="K1148" s="448">
        <f>calcR2LOB2Prod1Seg3Patients*cbalR2LOB2Emp2VisitPEp</f>
        <v>72</v>
      </c>
      <c r="L1148" s="448">
        <f>calcR2LOB2Prod1Seg3Patients*cbalR2LOB2Emp2VisitPEp</f>
        <v>43.199999999999996</v>
      </c>
      <c r="M1148" s="448">
        <f>calcR2LOB2Prod1Seg3Patients*cbalR2LOB2Emp2VisitPEp</f>
        <v>115.19999999999999</v>
      </c>
      <c r="N1148" s="131" t="s">
        <v>6701</v>
      </c>
    </row>
    <row r="1149" spans="1:14" ht="12.75" customHeight="1">
      <c r="A1149" s="478"/>
      <c r="D1149" s="170" t="str">
        <f>nmProd2 &amp; " " &amp; nmSeg1</f>
        <v>Recerts Medicare</v>
      </c>
      <c r="E1149" s="448">
        <f>calcLOB2Prod2Seg1Patients*cbalLOB2Emp2VisitPEp</f>
        <v>576</v>
      </c>
      <c r="F1149" s="448">
        <f>calcLOB2Prod2Seg1Patients*cbalLOB2Emp2VisitPEp</f>
        <v>432</v>
      </c>
      <c r="G1149" s="448">
        <f>calcLOB2Prod2Seg1Patients*cbalLOB2Emp2VisitPEp</f>
        <v>864</v>
      </c>
      <c r="H1149" s="131" t="s">
        <v>2271</v>
      </c>
      <c r="J1149" s="170" t="str">
        <f>nmProd2 &amp; " " &amp; nmSeg1</f>
        <v>Recerts Medicare</v>
      </c>
      <c r="K1149" s="448">
        <f>calcR2LOB2Prod2Seg1Patients*cbalR2LOB2Emp2VisitPEp</f>
        <v>604.79999999999995</v>
      </c>
      <c r="L1149" s="448">
        <f>calcR2LOB2Prod2Seg1Patients*cbalR2LOB2Emp2VisitPEp</f>
        <v>432</v>
      </c>
      <c r="M1149" s="448">
        <f>calcR2LOB2Prod2Seg1Patients*cbalR2LOB2Emp2VisitPEp</f>
        <v>864</v>
      </c>
      <c r="N1149" s="131" t="s">
        <v>6702</v>
      </c>
    </row>
    <row r="1150" spans="1:14" ht="12.75" customHeight="1">
      <c r="A1150" s="478"/>
      <c r="D1150" s="170" t="str">
        <f>nmProd2 &amp; " " &amp; nmSeg2</f>
        <v>Recerts PPS</v>
      </c>
      <c r="E1150" s="448">
        <f>calcLOB2Prod2Seg2Patients*cbalLOB2Emp2VisitPEp</f>
        <v>28.799999999999997</v>
      </c>
      <c r="F1150" s="448">
        <f>calcLOB2Prod2Seg2Patients*cbalLOB2Emp2VisitPEp</f>
        <v>28.799999999999997</v>
      </c>
      <c r="G1150" s="448">
        <f>calcLOB2Prod2Seg2Patients*cbalLOB2Emp2VisitPEp</f>
        <v>72</v>
      </c>
      <c r="H1150" s="131" t="s">
        <v>2272</v>
      </c>
      <c r="J1150" s="170" t="str">
        <f>nmProd2 &amp; " " &amp; nmSeg2</f>
        <v>Recerts PPS</v>
      </c>
      <c r="K1150" s="448">
        <f>calcR2LOB2Prod2Seg2Patients*cbalR2LOB2Emp2VisitPEp</f>
        <v>28.799999999999997</v>
      </c>
      <c r="L1150" s="448">
        <f>calcR2LOB2Prod2Seg2Patients*cbalR2LOB2Emp2VisitPEp</f>
        <v>28.799999999999997</v>
      </c>
      <c r="M1150" s="448">
        <f>calcR2LOB2Prod2Seg2Patients*cbalR2LOB2Emp2VisitPEp</f>
        <v>72</v>
      </c>
      <c r="N1150" s="131" t="s">
        <v>6703</v>
      </c>
    </row>
    <row r="1151" spans="1:14" ht="12.75" customHeight="1">
      <c r="A1151" s="478"/>
      <c r="D1151" s="170" t="str">
        <f>nmProd2 &amp; " " &amp; nmSeg3</f>
        <v>Recerts Other</v>
      </c>
      <c r="E1151" s="448">
        <f>calcLOB2Prod2Seg3Patients*cbalLOB2Emp2VisitPEp</f>
        <v>14.399999999999999</v>
      </c>
      <c r="F1151" s="448">
        <f>calcLOB2Prod2Seg3Patients*cbalLOB2Emp2VisitPEp</f>
        <v>14.399999999999999</v>
      </c>
      <c r="G1151" s="448">
        <f>calcLOB2Prod2Seg3Patients*cbalLOB2Emp2VisitPEp</f>
        <v>57.599999999999994</v>
      </c>
      <c r="H1151" s="131" t="s">
        <v>2273</v>
      </c>
      <c r="J1151" s="170" t="str">
        <f>nmProd2 &amp; " " &amp; nmSeg3</f>
        <v>Recerts Other</v>
      </c>
      <c r="K1151" s="448">
        <f>calcR2LOB2Prod2Seg3Patients*cbalR2LOB2Emp2VisitPEp</f>
        <v>14.399999999999999</v>
      </c>
      <c r="L1151" s="448">
        <f>calcR2LOB2Prod2Seg3Patients*cbalR2LOB2Emp2VisitPEp</f>
        <v>14.399999999999999</v>
      </c>
      <c r="M1151" s="448">
        <f>calcR2LOB2Prod2Seg3Patients*cbalR2LOB2Emp2VisitPEp</f>
        <v>57.599999999999994</v>
      </c>
      <c r="N1151" s="131" t="s">
        <v>6704</v>
      </c>
    </row>
    <row r="1152" spans="1:14" ht="1.5" customHeight="1">
      <c r="A1152" s="478"/>
      <c r="D1152" s="449"/>
      <c r="E1152" s="450"/>
      <c r="F1152" s="450"/>
      <c r="G1152" s="450"/>
      <c r="H1152" s="131"/>
      <c r="J1152" s="449"/>
      <c r="K1152" s="450"/>
      <c r="L1152" s="450"/>
      <c r="M1152" s="450"/>
      <c r="N1152" s="131"/>
    </row>
    <row r="1153" spans="1:14" ht="12.75" customHeight="1">
      <c r="A1153" s="478"/>
      <c r="D1153" s="170" t="str">
        <f>"Total "&amp; nmEmp2</f>
        <v>Total Occupational Therapy</v>
      </c>
      <c r="E1153" s="448">
        <f>SUM(E1146:E1152)</f>
        <v>2707.2000000000003</v>
      </c>
      <c r="F1153" s="448">
        <f t="shared" ref="F1153:G1153" si="162">SUM(F1146:F1152)</f>
        <v>2073.6000000000004</v>
      </c>
      <c r="G1153" s="448">
        <f t="shared" si="162"/>
        <v>4132.8</v>
      </c>
      <c r="H1153" s="131" t="s">
        <v>2274</v>
      </c>
      <c r="J1153" s="170" t="str">
        <f>"Total "&amp; nmEmp2</f>
        <v>Total Occupational Therapy</v>
      </c>
      <c r="K1153" s="448">
        <f>SUM(K1146:K1152)</f>
        <v>2822.4</v>
      </c>
      <c r="L1153" s="448">
        <f t="shared" ref="L1153:M1153" si="163">SUM(L1146:L1152)</f>
        <v>2073.6000000000004</v>
      </c>
      <c r="M1153" s="448">
        <f t="shared" si="163"/>
        <v>4132.8</v>
      </c>
      <c r="N1153" s="131" t="s">
        <v>6705</v>
      </c>
    </row>
    <row r="1154" spans="1:14" ht="12.75" customHeight="1">
      <c r="A1154" s="478"/>
      <c r="E1154" s="448"/>
      <c r="F1154" s="448"/>
      <c r="G1154" s="448"/>
      <c r="H1154" s="131"/>
      <c r="K1154" s="448"/>
      <c r="L1154" s="448"/>
      <c r="M1154" s="448"/>
      <c r="N1154" s="131"/>
    </row>
    <row r="1155" spans="1:14" ht="12.75" customHeight="1">
      <c r="A1155" s="478"/>
      <c r="C1155" s="87" t="str">
        <f>nmEmp3</f>
        <v>Physical Therapy</v>
      </c>
    </row>
    <row r="1156" spans="1:14" ht="12.75" customHeight="1">
      <c r="A1156" s="478"/>
      <c r="D1156" s="170" t="str">
        <f>nmProd1 &amp; " " &amp; nmSeg1</f>
        <v>Admits Medicare</v>
      </c>
      <c r="E1156" s="448">
        <f>calcLOB2Prod1Seg1Patients*cbalLOB2Emp3VisitPEp</f>
        <v>6432</v>
      </c>
      <c r="F1156" s="448">
        <f>calcLOB2Prod1Seg1Patients*cbalLOB2Emp3VisitPEp</f>
        <v>4800</v>
      </c>
      <c r="G1156" s="448">
        <f>calcLOB2Prod1Seg1Patients*cbalLOB2Emp3VisitPEp</f>
        <v>9600</v>
      </c>
      <c r="H1156" s="131" t="s">
        <v>2275</v>
      </c>
      <c r="J1156" s="170" t="str">
        <f>nmProd1 &amp; " " &amp; nmSeg1</f>
        <v>Admits Medicare</v>
      </c>
      <c r="K1156" s="448">
        <f>calcR2LOB2Prod1Seg1Patients*cbalR2LOB2Emp3VisitPEp</f>
        <v>6624</v>
      </c>
      <c r="L1156" s="448">
        <f>calcR2LOB2Prod1Seg1Patients*cbalR2LOB2Emp3VisitPEp</f>
        <v>4800</v>
      </c>
      <c r="M1156" s="448">
        <f>calcR2LOB2Prod1Seg1Patients*cbalR2LOB2Emp3VisitPEp</f>
        <v>9600</v>
      </c>
      <c r="N1156" s="131" t="s">
        <v>6706</v>
      </c>
    </row>
    <row r="1157" spans="1:14" ht="12.75" customHeight="1">
      <c r="A1157" s="478"/>
      <c r="D1157" s="170" t="str">
        <f>nmProd1 &amp; " " &amp; nmSeg2</f>
        <v>Admits PPS</v>
      </c>
      <c r="E1157" s="448">
        <f>calcLOB2Prod1Seg2Patients*cbalLOB2Emp3VisitPEp</f>
        <v>336</v>
      </c>
      <c r="F1157" s="448">
        <f>calcLOB2Prod1Seg2Patients*cbalLOB2Emp3VisitPEp</f>
        <v>384</v>
      </c>
      <c r="G1157" s="448">
        <f>calcLOB2Prod1Seg2Patients*cbalLOB2Emp3VisitPEp</f>
        <v>480</v>
      </c>
      <c r="H1157" s="131" t="s">
        <v>2276</v>
      </c>
      <c r="J1157" s="170" t="str">
        <f>nmProd1 &amp; " " &amp; nmSeg2</f>
        <v>Admits PPS</v>
      </c>
      <c r="K1157" s="448">
        <f>calcR2LOB2Prod1Seg2Patients*cbalR2LOB2Emp3VisitPEp</f>
        <v>384</v>
      </c>
      <c r="L1157" s="448">
        <f>calcR2LOB2Prod1Seg2Patients*cbalR2LOB2Emp3VisitPEp</f>
        <v>384</v>
      </c>
      <c r="M1157" s="448">
        <f>calcR2LOB2Prod1Seg2Patients*cbalR2LOB2Emp3VisitPEp</f>
        <v>480</v>
      </c>
      <c r="N1157" s="131" t="s">
        <v>6707</v>
      </c>
    </row>
    <row r="1158" spans="1:14" ht="12.75" customHeight="1">
      <c r="A1158" s="478"/>
      <c r="D1158" s="170" t="str">
        <f>nmProd1 &amp; " " &amp; nmSeg3</f>
        <v>Admits Other</v>
      </c>
      <c r="E1158" s="448">
        <f>calcLOB2Prod1Seg3Patients*cbalLOB2Emp3VisitPEp</f>
        <v>192</v>
      </c>
      <c r="F1158" s="448">
        <f>calcLOB2Prod1Seg3Patients*cbalLOB2Emp3VisitPEp</f>
        <v>144</v>
      </c>
      <c r="G1158" s="448">
        <f>calcLOB2Prod1Seg3Patients*cbalLOB2Emp3VisitPEp</f>
        <v>384</v>
      </c>
      <c r="H1158" s="131" t="s">
        <v>2277</v>
      </c>
      <c r="J1158" s="170" t="str">
        <f>nmProd1 &amp; " " &amp; nmSeg3</f>
        <v>Admits Other</v>
      </c>
      <c r="K1158" s="448">
        <f>calcR2LOB2Prod1Seg3Patients*cbalR2LOB2Emp3VisitPEp</f>
        <v>240</v>
      </c>
      <c r="L1158" s="448">
        <f>calcR2LOB2Prod1Seg3Patients*cbalR2LOB2Emp3VisitPEp</f>
        <v>144</v>
      </c>
      <c r="M1158" s="448">
        <f>calcR2LOB2Prod1Seg3Patients*cbalR2LOB2Emp3VisitPEp</f>
        <v>384</v>
      </c>
      <c r="N1158" s="131" t="s">
        <v>6708</v>
      </c>
    </row>
    <row r="1159" spans="1:14" ht="12.75" customHeight="1">
      <c r="A1159" s="478"/>
      <c r="D1159" s="170" t="str">
        <f>nmProd2 &amp; " " &amp; nmSeg1</f>
        <v>Recerts Medicare</v>
      </c>
      <c r="E1159" s="448">
        <f>calcLOB2Prod2Seg1Patients*cbalLOB2Emp3VisitPEp</f>
        <v>1920</v>
      </c>
      <c r="F1159" s="448">
        <f>calcLOB2Prod2Seg1Patients*cbalLOB2Emp3VisitPEp</f>
        <v>1440</v>
      </c>
      <c r="G1159" s="448">
        <f>calcLOB2Prod2Seg1Patients*cbalLOB2Emp3VisitPEp</f>
        <v>2880</v>
      </c>
      <c r="H1159" s="131" t="s">
        <v>2278</v>
      </c>
      <c r="J1159" s="170" t="str">
        <f>nmProd2 &amp; " " &amp; nmSeg1</f>
        <v>Recerts Medicare</v>
      </c>
      <c r="K1159" s="448">
        <f>calcR2LOB2Prod2Seg1Patients*cbalR2LOB2Emp3VisitPEp</f>
        <v>2016</v>
      </c>
      <c r="L1159" s="448">
        <f>calcR2LOB2Prod2Seg1Patients*cbalR2LOB2Emp3VisitPEp</f>
        <v>1440</v>
      </c>
      <c r="M1159" s="448">
        <f>calcR2LOB2Prod2Seg1Patients*cbalR2LOB2Emp3VisitPEp</f>
        <v>2880</v>
      </c>
      <c r="N1159" s="131" t="s">
        <v>6709</v>
      </c>
    </row>
    <row r="1160" spans="1:14" ht="12.75" customHeight="1">
      <c r="A1160" s="478"/>
      <c r="D1160" s="170" t="str">
        <f>nmProd2 &amp; " " &amp; nmSeg2</f>
        <v>Recerts PPS</v>
      </c>
      <c r="E1160" s="448">
        <f>calcLOB2Prod2Seg2Patients*cbalLOB2Emp3VisitPEp</f>
        <v>96</v>
      </c>
      <c r="F1160" s="448">
        <f>calcLOB2Prod2Seg2Patients*cbalLOB2Emp3VisitPEp</f>
        <v>96</v>
      </c>
      <c r="G1160" s="448">
        <f>calcLOB2Prod2Seg2Patients*cbalLOB2Emp3VisitPEp</f>
        <v>240</v>
      </c>
      <c r="H1160" s="131" t="s">
        <v>2279</v>
      </c>
      <c r="J1160" s="170" t="str">
        <f>nmProd2 &amp; " " &amp; nmSeg2</f>
        <v>Recerts PPS</v>
      </c>
      <c r="K1160" s="448">
        <f>calcR2LOB2Prod2Seg2Patients*cbalR2LOB2Emp3VisitPEp</f>
        <v>96</v>
      </c>
      <c r="L1160" s="448">
        <f>calcR2LOB2Prod2Seg2Patients*cbalR2LOB2Emp3VisitPEp</f>
        <v>96</v>
      </c>
      <c r="M1160" s="448">
        <f>calcR2LOB2Prod2Seg2Patients*cbalR2LOB2Emp3VisitPEp</f>
        <v>240</v>
      </c>
      <c r="N1160" s="131" t="s">
        <v>6710</v>
      </c>
    </row>
    <row r="1161" spans="1:14" ht="12.75" customHeight="1">
      <c r="A1161" s="478"/>
      <c r="D1161" s="170" t="str">
        <f>nmProd2 &amp; " " &amp; nmSeg3</f>
        <v>Recerts Other</v>
      </c>
      <c r="E1161" s="448">
        <f>calcLOB2Prod2Seg3Patients*cbalLOB2Emp3VisitPEp</f>
        <v>48</v>
      </c>
      <c r="F1161" s="448">
        <f>calcLOB2Prod2Seg3Patients*cbalLOB2Emp3VisitPEp</f>
        <v>48</v>
      </c>
      <c r="G1161" s="448">
        <f>calcLOB2Prod2Seg3Patients*cbalLOB2Emp3VisitPEp</f>
        <v>192</v>
      </c>
      <c r="H1161" s="131" t="s">
        <v>2280</v>
      </c>
      <c r="J1161" s="170" t="str">
        <f>nmProd2 &amp; " " &amp; nmSeg3</f>
        <v>Recerts Other</v>
      </c>
      <c r="K1161" s="448">
        <f>calcR2LOB2Prod2Seg3Patients*cbalR2LOB2Emp3VisitPEp</f>
        <v>48</v>
      </c>
      <c r="L1161" s="448">
        <f>calcR2LOB2Prod2Seg3Patients*cbalR2LOB2Emp3VisitPEp</f>
        <v>48</v>
      </c>
      <c r="M1161" s="448">
        <f>calcR2LOB2Prod2Seg3Patients*cbalR2LOB2Emp3VisitPEp</f>
        <v>192</v>
      </c>
      <c r="N1161" s="131" t="s">
        <v>6711</v>
      </c>
    </row>
    <row r="1162" spans="1:14" ht="1.5" customHeight="1">
      <c r="A1162" s="478"/>
      <c r="D1162" s="449"/>
      <c r="E1162" s="450"/>
      <c r="F1162" s="450"/>
      <c r="G1162" s="450"/>
      <c r="H1162" s="131"/>
      <c r="J1162" s="449"/>
      <c r="K1162" s="450"/>
      <c r="L1162" s="450"/>
      <c r="M1162" s="450"/>
      <c r="N1162" s="131"/>
    </row>
    <row r="1163" spans="1:14" ht="12.75" customHeight="1">
      <c r="A1163" s="478"/>
      <c r="D1163" s="170" t="str">
        <f>"Total "&amp; nmEmp3</f>
        <v>Total Physical Therapy</v>
      </c>
      <c r="E1163" s="448">
        <f>SUM(E1156:E1162)</f>
        <v>9024</v>
      </c>
      <c r="F1163" s="448">
        <f t="shared" ref="F1163:G1163" si="164">SUM(F1156:F1162)</f>
        <v>6912</v>
      </c>
      <c r="G1163" s="448">
        <f t="shared" si="164"/>
        <v>13776</v>
      </c>
      <c r="H1163" s="131" t="s">
        <v>2281</v>
      </c>
      <c r="J1163" s="170" t="str">
        <f>"Total "&amp; nmEmp3</f>
        <v>Total Physical Therapy</v>
      </c>
      <c r="K1163" s="448">
        <f>SUM(K1156:K1162)</f>
        <v>9408</v>
      </c>
      <c r="L1163" s="448">
        <f t="shared" ref="L1163:M1163" si="165">SUM(L1156:L1162)</f>
        <v>6912</v>
      </c>
      <c r="M1163" s="448">
        <f t="shared" si="165"/>
        <v>13776</v>
      </c>
      <c r="N1163" s="131" t="s">
        <v>6712</v>
      </c>
    </row>
    <row r="1164" spans="1:14" ht="12.75" customHeight="1">
      <c r="A1164" s="478"/>
    </row>
    <row r="1165" spans="1:14" ht="12.75" customHeight="1">
      <c r="A1165" s="478"/>
      <c r="B1165" s="87" t="s">
        <v>1492</v>
      </c>
    </row>
    <row r="1166" spans="1:14" ht="12.75" customHeight="1">
      <c r="A1166" s="478"/>
      <c r="D1166" s="170" t="str">
        <f>nmDisc1</f>
        <v>RN</v>
      </c>
      <c r="E1166" s="475">
        <f>SUMIF(cbal!E$273:E$288,$D1166,cbal!E$332:E$347)*paramWorkWeeksPYear</f>
        <v>10002.621276595744</v>
      </c>
      <c r="F1166" s="475">
        <f>SUMIF(cbal!F$273:F$288,$D1166,cbal!F$332:F$347)*paramWorkWeeksPYear</f>
        <v>9057.021276595744</v>
      </c>
      <c r="G1166" s="475">
        <f>SUMIF(cbal!G$273:G$288,$D1166,cbal!G$332:G$347)*paramWorkWeeksPYear</f>
        <v>13857.021276595744</v>
      </c>
      <c r="J1166" s="170" t="str">
        <f>nmDisc1</f>
        <v>RN</v>
      </c>
      <c r="K1166" s="475">
        <f>SUMIF(cbal!K$273:K$288,$D1166,cbal!K$332:K$347)*paramR2WorkWeeksPYear</f>
        <v>9690.9208673089724</v>
      </c>
      <c r="L1166" s="475">
        <f>SUMIF(cbal!L$273:L$288,$D1166,cbal!L$332:L$347)*paramR2WorkWeeksPYear</f>
        <v>9057.021276595744</v>
      </c>
      <c r="M1166" s="475">
        <f>SUMIF(cbal!M$273:M$288,$D1166,cbal!M$332:M$347)*paramR2WorkWeeksPYear</f>
        <v>13857.021276595744</v>
      </c>
    </row>
    <row r="1167" spans="1:14" ht="12.75" customHeight="1">
      <c r="A1167" s="478"/>
      <c r="D1167" s="170" t="str">
        <f>nmDisc2</f>
        <v>LPN</v>
      </c>
      <c r="E1167" s="475">
        <f>SUMIF(cbal!E$273:E$288,$D1167,cbal!E$332:E$347)*paramWorkWeeksPYear</f>
        <v>10871.999999999998</v>
      </c>
      <c r="F1167" s="475">
        <f>SUMIF(cbal!F$273:F$288,$D1167,cbal!F$332:F$347)*paramWorkWeeksPYear</f>
        <v>7464</v>
      </c>
      <c r="G1167" s="475">
        <f>SUMIF(cbal!G$273:G$288,$D1167,cbal!G$332:G$347)*paramWorkWeeksPYear</f>
        <v>12264</v>
      </c>
      <c r="J1167" s="170" t="str">
        <f>nmDisc2</f>
        <v>LPN</v>
      </c>
      <c r="K1167" s="475">
        <f>SUMIF(cbal!K$273:K$288,$D1167,cbal!K$332:K$347)*paramR2WorkWeeksPYear</f>
        <v>10426.713701018898</v>
      </c>
      <c r="L1167" s="475">
        <f>SUMIF(cbal!L$273:L$288,$D1167,cbal!L$332:L$347)*paramR2WorkWeeksPYear</f>
        <v>7464</v>
      </c>
      <c r="M1167" s="475">
        <f>SUMIF(cbal!M$273:M$288,$D1167,cbal!M$332:M$347)*paramR2WorkWeeksPYear</f>
        <v>12264</v>
      </c>
    </row>
    <row r="1168" spans="1:14" ht="1.5" customHeight="1">
      <c r="A1168" s="478"/>
      <c r="D1168" s="449"/>
      <c r="E1168" s="450"/>
      <c r="F1168" s="450"/>
      <c r="G1168" s="450"/>
      <c r="H1168" s="131"/>
      <c r="J1168" s="449"/>
      <c r="K1168" s="450"/>
      <c r="L1168" s="450"/>
      <c r="M1168" s="450"/>
      <c r="N1168" s="131"/>
    </row>
    <row r="1169" spans="1:14" ht="12.75" customHeight="1">
      <c r="A1169" s="478"/>
      <c r="D1169" s="170" t="str">
        <f>"Total "&amp; nmEmp1</f>
        <v>Total Skilled Nursing</v>
      </c>
      <c r="E1169" s="448">
        <f>SUM(E1166:E1168)</f>
        <v>20874.621276595743</v>
      </c>
      <c r="F1169" s="448">
        <f t="shared" ref="F1169:G1169" si="166">SUM(F1166:F1168)</f>
        <v>16521.021276595744</v>
      </c>
      <c r="G1169" s="448">
        <f t="shared" si="166"/>
        <v>26121.021276595744</v>
      </c>
      <c r="H1169" s="131" t="s">
        <v>2282</v>
      </c>
      <c r="J1169" s="170" t="str">
        <f>"Total "&amp; nmEmp1</f>
        <v>Total Skilled Nursing</v>
      </c>
      <c r="K1169" s="448">
        <f>SUM(K1166:K1168)</f>
        <v>20117.634568327871</v>
      </c>
      <c r="L1169" s="448">
        <f t="shared" ref="L1169:M1169" si="167">SUM(L1166:L1168)</f>
        <v>16521.021276595744</v>
      </c>
      <c r="M1169" s="448">
        <f t="shared" si="167"/>
        <v>26121.021276595744</v>
      </c>
      <c r="N1169" s="131" t="s">
        <v>6713</v>
      </c>
    </row>
    <row r="1170" spans="1:14" ht="12.75" customHeight="1">
      <c r="A1170" s="478"/>
      <c r="D1170" s="131" t="s">
        <v>550</v>
      </c>
      <c r="E1170" s="448">
        <f t="shared" ref="E1170:G1171" si="168">(SUMIF($D$1256:$D$1281,$D1170,E$1256:E$1281))*paramWorkWeeksPYear</f>
        <v>10005.431881089851</v>
      </c>
      <c r="F1170" s="448">
        <f t="shared" si="168"/>
        <v>8809.9853082082409</v>
      </c>
      <c r="G1170" s="448">
        <f t="shared" si="168"/>
        <v>16991.269260593894</v>
      </c>
      <c r="H1170" s="131"/>
      <c r="K1170" s="448">
        <f t="shared" ref="K1170:M1171" si="169">(SUMIF($D$1256:$D$1281,$D1170,K$1256:K$1281))*paramR2WorkWeeksPYear</f>
        <v>10481.308084906523</v>
      </c>
      <c r="L1170" s="448">
        <f t="shared" si="169"/>
        <v>8809.9853082082409</v>
      </c>
      <c r="M1170" s="448">
        <f t="shared" si="169"/>
        <v>16991.269260593894</v>
      </c>
      <c r="N1170" s="131"/>
    </row>
    <row r="1171" spans="1:14" ht="12.75" customHeight="1">
      <c r="A1171" s="478"/>
      <c r="D1171" s="131" t="s">
        <v>554</v>
      </c>
      <c r="E1171" s="448">
        <f t="shared" si="168"/>
        <v>10975.368118910146</v>
      </c>
      <c r="F1171" s="448">
        <f t="shared" si="168"/>
        <v>7260.4146917917615</v>
      </c>
      <c r="G1171" s="448">
        <f t="shared" si="168"/>
        <v>15037.930739406102</v>
      </c>
      <c r="H1171" s="131"/>
      <c r="K1171" s="448">
        <f t="shared" si="169"/>
        <v>11392.291915093476</v>
      </c>
      <c r="L1171" s="448">
        <f t="shared" si="169"/>
        <v>7260.4146917917615</v>
      </c>
      <c r="M1171" s="448">
        <f t="shared" si="169"/>
        <v>15037.930739406102</v>
      </c>
      <c r="N1171" s="131"/>
    </row>
    <row r="1172" spans="1:14" ht="1.5" customHeight="1">
      <c r="A1172" s="478"/>
      <c r="D1172" s="449"/>
      <c r="E1172" s="450"/>
      <c r="F1172" s="450"/>
      <c r="G1172" s="450"/>
      <c r="H1172" s="131"/>
      <c r="J1172" s="449"/>
      <c r="K1172" s="450"/>
      <c r="L1172" s="450"/>
      <c r="M1172" s="450"/>
      <c r="N1172" s="131"/>
    </row>
    <row r="1173" spans="1:14" ht="12.75" customHeight="1">
      <c r="A1173" s="478"/>
      <c r="D1173" s="170" t="str">
        <f>"Total "&amp; nmEmp1 &amp; " Work"</f>
        <v>Total Skilled Nursing Work</v>
      </c>
      <c r="E1173" s="448">
        <f>SUM(E1170:E1172)</f>
        <v>20980.799999999996</v>
      </c>
      <c r="F1173" s="448">
        <f t="shared" ref="F1173" si="170">SUM(F1170:F1172)</f>
        <v>16070.400000000001</v>
      </c>
      <c r="G1173" s="448">
        <f t="shared" ref="G1173" si="171">SUM(G1170:G1172)</f>
        <v>32029.199999999997</v>
      </c>
      <c r="H1173" s="131" t="s">
        <v>7922</v>
      </c>
      <c r="J1173" s="170" t="str">
        <f>"Total "&amp; nmEmp1</f>
        <v>Total Skilled Nursing</v>
      </c>
      <c r="K1173" s="448">
        <f>SUM(K1170:K1172)</f>
        <v>21873.599999999999</v>
      </c>
      <c r="L1173" s="448">
        <f t="shared" ref="L1173" si="172">SUM(L1170:L1172)</f>
        <v>16070.400000000001</v>
      </c>
      <c r="M1173" s="448">
        <f t="shared" ref="M1173" si="173">SUM(M1170:M1172)</f>
        <v>32029.199999999997</v>
      </c>
      <c r="N1173" s="131" t="s">
        <v>7923</v>
      </c>
    </row>
    <row r="1174" spans="1:14" ht="12.75" customHeight="1">
      <c r="A1174" s="478"/>
      <c r="D1174" s="131" t="s">
        <v>1585</v>
      </c>
      <c r="E1174" s="451">
        <f>calcLOB2Emp1Work/calcLOB2Emp1Capacity</f>
        <v>1.0050864981930618</v>
      </c>
      <c r="F1174" s="451">
        <f>calcLOB2Emp1Work/calcLOB2Emp1Capacity</f>
        <v>0.97272436921111483</v>
      </c>
      <c r="G1174" s="451">
        <f>calcLOB2Emp1Work/calcLOB2Emp1Capacity</f>
        <v>1.2261848287186972</v>
      </c>
      <c r="H1174" s="131" t="s">
        <v>4702</v>
      </c>
      <c r="J1174" s="131" t="s">
        <v>1585</v>
      </c>
      <c r="K1174" s="451">
        <f>calcR2LOB2Emp1Work/calcR2LOB2Emp1Capacity</f>
        <v>1.0872848855917001</v>
      </c>
      <c r="L1174" s="451">
        <f>calcR2LOB2Emp1Work/calcR2LOB2Emp1Capacity</f>
        <v>0.97272436921111483</v>
      </c>
      <c r="M1174" s="451">
        <f>calcR2LOB2Emp1Work/calcR2LOB2Emp1Capacity</f>
        <v>1.2261848287186972</v>
      </c>
      <c r="N1174" s="131" t="s">
        <v>7675</v>
      </c>
    </row>
    <row r="1175" spans="1:14" ht="12.75" customHeight="1">
      <c r="A1175" s="478"/>
    </row>
    <row r="1176" spans="1:14" ht="12.75" customHeight="1">
      <c r="A1176" s="478"/>
      <c r="D1176" s="131" t="s">
        <v>555</v>
      </c>
      <c r="E1176" s="475">
        <f>SUMIF(cbal!E$273:E$288,$D1176,cbal!E$332:E$347)*paramWorkWeeksPYear</f>
        <v>2684.6597938144332</v>
      </c>
      <c r="F1176" s="475">
        <f>SUMIF(cbal!F$273:F$288,$D1176,cbal!F$332:F$347)*paramWorkWeeksPYear</f>
        <v>2528.6597938144332</v>
      </c>
      <c r="G1176" s="475">
        <f>SUMIF(cbal!G$273:G$288,$D1176,cbal!G$332:G$347)*paramWorkWeeksPYear</f>
        <v>3728.6597938144332</v>
      </c>
      <c r="J1176" s="131" t="s">
        <v>555</v>
      </c>
      <c r="K1176" s="475">
        <f>SUMIF(cbal!K$273:K$288,$D1176,cbal!K$332:K$347)*paramR2WorkWeeksPYear</f>
        <v>2598.0763467903303</v>
      </c>
      <c r="L1176" s="475">
        <f>SUMIF(cbal!L$273:L$288,$D1176,cbal!L$332:L$347)*paramR2WorkWeeksPYear</f>
        <v>2528.6597938144332</v>
      </c>
      <c r="M1176" s="475">
        <f>SUMIF(cbal!M$273:M$288,$D1176,cbal!M$332:M$347)*paramR2WorkWeeksPYear</f>
        <v>3728.6597938144332</v>
      </c>
    </row>
    <row r="1177" spans="1:14" ht="12.75" customHeight="1">
      <c r="A1177" s="478"/>
      <c r="D1177" s="131" t="s">
        <v>8486</v>
      </c>
      <c r="E1177" s="475">
        <f>SUMIF(cbal!E$273:E$288,$D1177,cbal!E$332:E$347)*paramWorkWeeksPYear</f>
        <v>0</v>
      </c>
      <c r="F1177" s="475">
        <f>SUMIF(cbal!F$273:F$288,$D1177,cbal!F$332:F$347)*paramWorkWeeksPYear</f>
        <v>0</v>
      </c>
      <c r="G1177" s="475">
        <f>SUMIF(cbal!G$273:G$288,$D1177,cbal!G$332:G$347)*paramWorkWeeksPYear</f>
        <v>0</v>
      </c>
      <c r="J1177" s="131" t="s">
        <v>8486</v>
      </c>
      <c r="K1177" s="475">
        <f>SUMIF(cbal!K$273:K$288,$D1177,cbal!K$332:K$347)*paramR2WorkWeeksPYear</f>
        <v>0</v>
      </c>
      <c r="L1177" s="475">
        <f>SUMIF(cbal!L$273:L$288,$D1177,cbal!L$332:L$347)*paramR2WorkWeeksPYear</f>
        <v>0</v>
      </c>
      <c r="M1177" s="475">
        <f>SUMIF(cbal!M$273:M$288,$D1177,cbal!M$332:M$347)*paramR2WorkWeeksPYear</f>
        <v>0</v>
      </c>
    </row>
    <row r="1178" spans="1:14" ht="1.5" customHeight="1">
      <c r="A1178" s="478"/>
      <c r="D1178" s="449"/>
      <c r="E1178" s="450"/>
      <c r="F1178" s="450"/>
      <c r="G1178" s="450"/>
      <c r="H1178" s="131"/>
      <c r="J1178" s="449"/>
      <c r="K1178" s="450"/>
      <c r="L1178" s="450"/>
      <c r="M1178" s="450"/>
      <c r="N1178" s="131"/>
    </row>
    <row r="1179" spans="1:14" ht="12.75" customHeight="1">
      <c r="A1179" s="478"/>
      <c r="D1179" s="170" t="str">
        <f>"Total "&amp; nmEmp2</f>
        <v>Total Occupational Therapy</v>
      </c>
      <c r="E1179" s="448">
        <f>SUM(E1176:E1178)</f>
        <v>2684.6597938144332</v>
      </c>
      <c r="F1179" s="448">
        <f t="shared" ref="F1179:G1179" si="174">SUM(F1176:F1178)</f>
        <v>2528.6597938144332</v>
      </c>
      <c r="G1179" s="448">
        <f t="shared" si="174"/>
        <v>3728.6597938144332</v>
      </c>
      <c r="H1179" s="131" t="s">
        <v>2283</v>
      </c>
      <c r="J1179" s="170" t="str">
        <f>"Total "&amp; nmEmp2</f>
        <v>Total Occupational Therapy</v>
      </c>
      <c r="K1179" s="448">
        <f>SUM(K1176:K1178)</f>
        <v>2598.0763467903303</v>
      </c>
      <c r="L1179" s="448">
        <f t="shared" ref="L1179:M1179" si="175">SUM(L1176:L1178)</f>
        <v>2528.6597938144332</v>
      </c>
      <c r="M1179" s="448">
        <f t="shared" si="175"/>
        <v>3728.6597938144332</v>
      </c>
      <c r="N1179" s="131" t="s">
        <v>6714</v>
      </c>
    </row>
    <row r="1180" spans="1:14" ht="12.75" customHeight="1">
      <c r="A1180" s="461"/>
      <c r="D1180" s="131" t="s">
        <v>555</v>
      </c>
      <c r="E1180" s="448">
        <f>(SUMIF($D$1520:$D$1532,$D1180,E$1520:E$1532))*paramWorkWeeksPYear</f>
        <v>2707.2000000000003</v>
      </c>
      <c r="F1180" s="448">
        <f>(SUMIF($D$1520:$D$1532,$D1180,F$1520:F$1532))*paramWorkWeeksPYear</f>
        <v>2073.6000000000004</v>
      </c>
      <c r="G1180" s="448">
        <f>(SUMIF($D$1520:$D$1532,$D1180,G$1520:G$1532))*paramWorkWeeksPYear</f>
        <v>4132.8</v>
      </c>
      <c r="H1180" s="131"/>
      <c r="K1180" s="448">
        <f>(SUMIF($D$1520:$D$1532,$D1180,K$1520:K$1532))*paramR2WorkWeeksPYear</f>
        <v>2822.4</v>
      </c>
      <c r="L1180" s="448">
        <f>(SUMIF($D$1520:$D$1532,$D1180,L$1520:L$1532))*paramR2WorkWeeksPYear</f>
        <v>2073.6000000000004</v>
      </c>
      <c r="M1180" s="448">
        <f>(SUMIF($D$1520:$D$1532,$D1180,M$1520:M$1532))*paramR2WorkWeeksPYear</f>
        <v>4132.8</v>
      </c>
      <c r="N1180" s="131"/>
    </row>
    <row r="1181" spans="1:14" ht="12.75" customHeight="1">
      <c r="A1181" s="461"/>
      <c r="D1181" s="131" t="s">
        <v>32</v>
      </c>
      <c r="E1181" s="448"/>
      <c r="F1181" s="448"/>
      <c r="G1181" s="448"/>
      <c r="H1181" s="131"/>
      <c r="K1181" s="448"/>
      <c r="L1181" s="448"/>
      <c r="M1181" s="448"/>
      <c r="N1181" s="131"/>
    </row>
    <row r="1182" spans="1:14" ht="1.5" customHeight="1">
      <c r="A1182" s="461"/>
      <c r="D1182" s="449"/>
      <c r="E1182" s="450"/>
      <c r="F1182" s="450"/>
      <c r="G1182" s="450"/>
      <c r="H1182" s="131"/>
      <c r="J1182" s="449"/>
      <c r="K1182" s="450"/>
      <c r="L1182" s="450"/>
      <c r="M1182" s="450"/>
      <c r="N1182" s="131"/>
    </row>
    <row r="1183" spans="1:14" ht="12.75" customHeight="1">
      <c r="A1183" s="461"/>
      <c r="D1183" s="170" t="str">
        <f>"Total "&amp; nmEmp1 &amp; " Work"</f>
        <v>Total Skilled Nursing Work</v>
      </c>
      <c r="E1183" s="448">
        <f>SUM(E1180:E1182)</f>
        <v>2707.2000000000003</v>
      </c>
      <c r="F1183" s="448">
        <f t="shared" ref="F1183" si="176">SUM(F1180:F1182)</f>
        <v>2073.6000000000004</v>
      </c>
      <c r="G1183" s="448">
        <f t="shared" ref="G1183" si="177">SUM(G1180:G1182)</f>
        <v>4132.8</v>
      </c>
      <c r="H1183" s="131" t="s">
        <v>7924</v>
      </c>
      <c r="J1183" s="170" t="str">
        <f>"Total "&amp; nmEmp1</f>
        <v>Total Skilled Nursing</v>
      </c>
      <c r="K1183" s="448">
        <f>SUM(K1180:K1182)</f>
        <v>2822.4</v>
      </c>
      <c r="L1183" s="448">
        <f t="shared" ref="L1183" si="178">SUM(L1180:L1182)</f>
        <v>2073.6000000000004</v>
      </c>
      <c r="M1183" s="448">
        <f t="shared" ref="M1183" si="179">SUM(M1180:M1182)</f>
        <v>4132.8</v>
      </c>
      <c r="N1183" s="131" t="s">
        <v>7925</v>
      </c>
    </row>
    <row r="1184" spans="1:14" ht="12.75" customHeight="1">
      <c r="A1184" s="478"/>
      <c r="D1184" s="131" t="s">
        <v>1585</v>
      </c>
      <c r="E1184" s="451">
        <f>calcLOB2Emp2Work/calcLOB2Emp2Capacity</f>
        <v>1.0083959264550022</v>
      </c>
      <c r="F1184" s="451">
        <f>calcLOB2Emp2Work/calcLOB2Emp2Capacity</f>
        <v>0.82003913894324865</v>
      </c>
      <c r="G1184" s="451">
        <f>calcLOB2Emp2Work/calcLOB2Emp2Capacity</f>
        <v>1.1083875248838753</v>
      </c>
      <c r="H1184" s="131" t="s">
        <v>4703</v>
      </c>
      <c r="J1184" s="131" t="s">
        <v>1585</v>
      </c>
      <c r="K1184" s="451">
        <f>calcR2LOB2Emp2Work/calcR2LOB2Emp2Capacity</f>
        <v>1.0863422098764726</v>
      </c>
      <c r="L1184" s="451">
        <f>calcR2LOB2Emp2Work/calcR2LOB2Emp2Capacity</f>
        <v>0.82003913894324865</v>
      </c>
      <c r="M1184" s="451">
        <f>calcR2LOB2Emp2Work/calcR2LOB2Emp2Capacity</f>
        <v>1.1083875248838753</v>
      </c>
      <c r="N1184" s="131" t="s">
        <v>7676</v>
      </c>
    </row>
    <row r="1185" spans="1:14" ht="12.75" customHeight="1">
      <c r="A1185" s="478"/>
    </row>
    <row r="1186" spans="1:14" ht="12.75" customHeight="1">
      <c r="A1186" s="478"/>
      <c r="D1186" s="131" t="s">
        <v>556</v>
      </c>
      <c r="E1186" s="475">
        <f>SUMIF(cbal!E$273:E$288,$D1186,cbal!E$332:E$347)*paramWorkWeeksPYear</f>
        <v>7233.5999999999995</v>
      </c>
      <c r="F1186" s="475">
        <f>SUMIF(cbal!F$273:F$288,$D1186,cbal!F$332:F$347)*paramWorkWeeksPYear</f>
        <v>6264</v>
      </c>
      <c r="G1186" s="475">
        <f>SUMIF(cbal!G$273:G$288,$D1186,cbal!G$332:G$347)*paramWorkWeeksPYear</f>
        <v>10344</v>
      </c>
      <c r="J1186" s="131" t="s">
        <v>556</v>
      </c>
      <c r="K1186" s="475">
        <f>SUMIF(cbal!K$273:K$288,$D1186,cbal!K$332:K$347)*paramR2WorkWeeksPYear</f>
        <v>6946.6377184344019</v>
      </c>
      <c r="L1186" s="475">
        <f>SUMIF(cbal!L$273:L$288,$D1186,cbal!L$332:L$347)*paramR2WorkWeeksPYear</f>
        <v>6264</v>
      </c>
      <c r="M1186" s="475">
        <f>SUMIF(cbal!M$273:M$288,$D1186,cbal!M$332:M$347)*paramR2WorkWeeksPYear</f>
        <v>10344</v>
      </c>
    </row>
    <row r="1187" spans="1:14" ht="12.75" customHeight="1">
      <c r="A1187" s="478"/>
      <c r="D1187" s="131" t="s">
        <v>8485</v>
      </c>
      <c r="E1187" s="475">
        <f>SUMIF(cbal!E$273:E$288,$D1187,cbal!E$332:E$347)*paramWorkWeeksPYear</f>
        <v>1344</v>
      </c>
      <c r="F1187" s="475">
        <f>SUMIF(cbal!F$273:F$288,$D1187,cbal!F$332:F$347)*paramWorkWeeksPYear</f>
        <v>1344</v>
      </c>
      <c r="G1187" s="475">
        <f>SUMIF(cbal!G$273:G$288,$D1187,cbal!G$332:G$347)*paramWorkWeeksPYear</f>
        <v>1344</v>
      </c>
      <c r="J1187" s="131" t="s">
        <v>8485</v>
      </c>
      <c r="K1187" s="475">
        <f>SUMIF(cbal!K$273:K$288,$D1187,cbal!K$332:K$347)*paramR2WorkWeeksPYear</f>
        <v>1344</v>
      </c>
      <c r="L1187" s="475">
        <f>SUMIF(cbal!L$273:L$288,$D1187,cbal!L$332:L$347)*paramR2WorkWeeksPYear</f>
        <v>1344</v>
      </c>
      <c r="M1187" s="475">
        <f>SUMIF(cbal!M$273:M$288,$D1187,cbal!M$332:M$347)*paramR2WorkWeeksPYear</f>
        <v>1344</v>
      </c>
    </row>
    <row r="1188" spans="1:14" ht="1.5" customHeight="1">
      <c r="A1188" s="478"/>
      <c r="D1188" s="449"/>
      <c r="E1188" s="450"/>
      <c r="F1188" s="450"/>
      <c r="G1188" s="450"/>
      <c r="H1188" s="131"/>
      <c r="J1188" s="449"/>
      <c r="K1188" s="450"/>
      <c r="L1188" s="450"/>
      <c r="M1188" s="450"/>
      <c r="N1188" s="131"/>
    </row>
    <row r="1189" spans="1:14" ht="12.75" customHeight="1">
      <c r="A1189" s="478"/>
      <c r="D1189" s="170" t="str">
        <f>"Total "&amp; nmEmp3</f>
        <v>Total Physical Therapy</v>
      </c>
      <c r="E1189" s="448">
        <f>SUM(E1186:E1188)</f>
        <v>8577.5999999999985</v>
      </c>
      <c r="F1189" s="448">
        <f t="shared" ref="F1189:G1189" si="180">SUM(F1186:F1188)</f>
        <v>7608</v>
      </c>
      <c r="G1189" s="448">
        <f t="shared" si="180"/>
        <v>11688</v>
      </c>
      <c r="H1189" s="131" t="s">
        <v>2284</v>
      </c>
      <c r="J1189" s="170" t="str">
        <f>"Total "&amp; nmEmp3</f>
        <v>Total Physical Therapy</v>
      </c>
      <c r="K1189" s="448">
        <f>SUM(K1186:K1188)</f>
        <v>8290.6377184344019</v>
      </c>
      <c r="L1189" s="448">
        <f t="shared" ref="L1189:M1189" si="181">SUM(L1186:L1188)</f>
        <v>7608</v>
      </c>
      <c r="M1189" s="448">
        <f t="shared" si="181"/>
        <v>11688</v>
      </c>
      <c r="N1189" s="131" t="s">
        <v>6715</v>
      </c>
    </row>
    <row r="1190" spans="1:14" ht="12.75" customHeight="1">
      <c r="A1190" s="461"/>
      <c r="D1190" s="131" t="s">
        <v>556</v>
      </c>
      <c r="E1190" s="448">
        <f>(SUMIF($D$1676:$D$1688,$D1190,E$1676:E$1688))*paramWorkWeeksPYear</f>
        <v>9024</v>
      </c>
      <c r="F1190" s="448">
        <f>(SUMIF($D$1676:$D$1688,$D1190,F$1676:F$1688))*paramWorkWeeksPYear</f>
        <v>6912</v>
      </c>
      <c r="G1190" s="448">
        <f>(SUMIF($D$1676:$D$1688,$D1190,G$1676:G$1688))*paramWorkWeeksPYear</f>
        <v>13776</v>
      </c>
      <c r="H1190" s="131"/>
      <c r="K1190" s="448">
        <f>(SUMIF($D$1676:$D$1688,$D1190,K$1676:K$1688))*paramR2WorkWeeksPYear</f>
        <v>9408</v>
      </c>
      <c r="L1190" s="448">
        <f>(SUMIF($D$1676:$D$1688,$D1190,L$1676:L$1688))*paramR2WorkWeeksPYear</f>
        <v>6912</v>
      </c>
      <c r="M1190" s="448">
        <f>(SUMIF($D$1676:$D$1688,$D1190,M$1676:M$1688))*paramR2WorkWeeksPYear</f>
        <v>13776</v>
      </c>
      <c r="N1190" s="131"/>
    </row>
    <row r="1191" spans="1:14" ht="12.75" customHeight="1">
      <c r="A1191" s="461"/>
      <c r="D1191" s="131" t="s">
        <v>1579</v>
      </c>
      <c r="E1191" s="448"/>
      <c r="F1191" s="448"/>
      <c r="G1191" s="448"/>
      <c r="H1191" s="131"/>
      <c r="K1191" s="448"/>
      <c r="L1191" s="448"/>
      <c r="M1191" s="448"/>
      <c r="N1191" s="131"/>
    </row>
    <row r="1192" spans="1:14" ht="1.5" customHeight="1">
      <c r="A1192" s="461"/>
      <c r="D1192" s="449"/>
      <c r="E1192" s="450"/>
      <c r="F1192" s="450"/>
      <c r="G1192" s="450"/>
      <c r="H1192" s="131"/>
      <c r="J1192" s="449"/>
      <c r="K1192" s="450"/>
      <c r="L1192" s="450"/>
      <c r="M1192" s="450"/>
      <c r="N1192" s="131"/>
    </row>
    <row r="1193" spans="1:14" ht="12.75" customHeight="1">
      <c r="A1193" s="461"/>
      <c r="D1193" s="170" t="str">
        <f>"Total "&amp; nmEmp1 &amp; " Work"</f>
        <v>Total Skilled Nursing Work</v>
      </c>
      <c r="E1193" s="448">
        <f>SUM(E1190:E1192)</f>
        <v>9024</v>
      </c>
      <c r="F1193" s="448">
        <f t="shared" ref="F1193" si="182">SUM(F1190:F1192)</f>
        <v>6912</v>
      </c>
      <c r="G1193" s="448">
        <f t="shared" ref="G1193" si="183">SUM(G1190:G1192)</f>
        <v>13776</v>
      </c>
      <c r="H1193" s="131" t="s">
        <v>7926</v>
      </c>
      <c r="J1193" s="170" t="str">
        <f>"Total "&amp; nmEmp1</f>
        <v>Total Skilled Nursing</v>
      </c>
      <c r="K1193" s="448">
        <f>SUM(K1190:K1192)</f>
        <v>9408</v>
      </c>
      <c r="L1193" s="448">
        <f t="shared" ref="L1193" si="184">SUM(L1190:L1192)</f>
        <v>6912</v>
      </c>
      <c r="M1193" s="448">
        <f t="shared" ref="M1193" si="185">SUM(M1190:M1192)</f>
        <v>13776</v>
      </c>
      <c r="N1193" s="131" t="s">
        <v>7927</v>
      </c>
    </row>
    <row r="1194" spans="1:14" ht="12.75" customHeight="1">
      <c r="A1194" s="478"/>
      <c r="D1194" s="131" t="s">
        <v>1585</v>
      </c>
      <c r="E1194" s="451">
        <f>calcLOB2Emp3Work/calcLOB2Emp3Capacity</f>
        <v>1.0520425293788473</v>
      </c>
      <c r="F1194" s="451">
        <f>calcLOB2Emp3Work/calcLOB2Emp3Capacity</f>
        <v>0.90851735015772872</v>
      </c>
      <c r="G1194" s="451">
        <f>calcLOB2Emp3Work/calcLOB2Emp3Capacity</f>
        <v>1.1786447638603696</v>
      </c>
      <c r="H1194" s="131" t="s">
        <v>4704</v>
      </c>
      <c r="J1194" s="131" t="s">
        <v>1585</v>
      </c>
      <c r="K1194" s="451">
        <f>calcR2LOB2Emp3Work/calcR2LOB2Emp3Capacity</f>
        <v>1.134773984766108</v>
      </c>
      <c r="L1194" s="451">
        <f>calcR2LOB2Emp3Work/calcR2LOB2Emp3Capacity</f>
        <v>0.90851735015772872</v>
      </c>
      <c r="M1194" s="451">
        <f>calcR2LOB2Emp3Work/calcR2LOB2Emp3Capacity</f>
        <v>1.1786447638603696</v>
      </c>
      <c r="N1194" s="131" t="s">
        <v>7677</v>
      </c>
    </row>
    <row r="1195" spans="1:14" ht="12.75" customHeight="1">
      <c r="A1195" s="461"/>
      <c r="D1195" s="131"/>
      <c r="E1195" s="451"/>
      <c r="F1195" s="451"/>
      <c r="G1195" s="451"/>
      <c r="H1195" s="131"/>
      <c r="J1195" s="131"/>
      <c r="K1195" s="451"/>
      <c r="L1195" s="451"/>
      <c r="M1195" s="451"/>
      <c r="N1195" s="131"/>
    </row>
    <row r="1196" spans="1:14" ht="12.75" customHeight="1">
      <c r="A1196" s="461"/>
      <c r="D1196" s="131" t="s">
        <v>8365</v>
      </c>
      <c r="E1196" s="451">
        <f>(E1169*E1174+E1179*E1184+E1189*E1194)/(E1169+E1179+E1189)</f>
        <v>1.0178959161696421</v>
      </c>
      <c r="F1196" s="451">
        <f t="shared" ref="F1196:G1196" si="186">(F1169*F1174+F1179*F1184+F1189*F1194)/(F1169+F1179+F1189)</f>
        <v>0.93991671420407119</v>
      </c>
      <c r="G1196" s="451">
        <f t="shared" si="186"/>
        <v>1.2022336999350183</v>
      </c>
      <c r="H1196" s="131" t="s">
        <v>8368</v>
      </c>
      <c r="J1196" s="131"/>
      <c r="K1196" s="451">
        <f>(K1169*K1174+K1179*K1184+K1189*K1194)/(K1169+K1179+K1189)</f>
        <v>1.099903777870038</v>
      </c>
      <c r="L1196" s="451">
        <f t="shared" ref="L1196:M1196" si="187">(L1169*L1174+L1179*L1184+L1189*L1194)/(L1169+L1179+L1189)</f>
        <v>0.93991671420407119</v>
      </c>
      <c r="M1196" s="451">
        <f t="shared" si="187"/>
        <v>1.2022336999350183</v>
      </c>
      <c r="N1196" s="131" t="s">
        <v>8369</v>
      </c>
    </row>
    <row r="1197" spans="1:14" ht="12.75" customHeight="1">
      <c r="A1197" s="478"/>
      <c r="D1197" s="131"/>
      <c r="E1197" s="451"/>
      <c r="F1197" s="451"/>
      <c r="G1197" s="451"/>
      <c r="H1197" s="131"/>
      <c r="J1197" s="131"/>
      <c r="K1197" s="451"/>
      <c r="L1197" s="451"/>
      <c r="M1197" s="451"/>
      <c r="N1197" s="131"/>
    </row>
    <row r="1198" spans="1:14" ht="12.75" customHeight="1">
      <c r="A1198" s="478"/>
      <c r="B1198" s="459"/>
      <c r="C1198" s="131" t="s">
        <v>1586</v>
      </c>
    </row>
    <row r="1199" spans="1:14" ht="12.75" customHeight="1">
      <c r="A1199" s="478"/>
      <c r="B1199" s="459"/>
      <c r="C1199" s="170">
        <v>1</v>
      </c>
      <c r="D1199" s="131" t="s">
        <v>550</v>
      </c>
      <c r="E1199" s="636">
        <f>IF(VLOOKUP($C1199,obal!$D$273:$G$288,E$3,FALSE)=$D1199,obalLOB2AvgProdClinician1,0)</f>
        <v>27</v>
      </c>
      <c r="F1199" s="560">
        <f>IF(VLOOKUP($C1199,obal!$D$273:$G$288,F$3,FALSE)=$D1199,obalLOB2AvgProdClinician1,0)</f>
        <v>27</v>
      </c>
      <c r="G1199" s="560">
        <f>IF(VLOOKUP($C1199,obal!$D$273:$G$288,G$3,FALSE)=$D1199,obalLOB2AvgProdClinician1,0)</f>
        <v>27</v>
      </c>
      <c r="H1199" s="131" t="s">
        <v>2285</v>
      </c>
      <c r="J1199" s="131" t="s">
        <v>550</v>
      </c>
      <c r="K1199" s="636">
        <f>IF(VLOOKUP($C1199,obal!$J$273:$M$288,K$3,FALSE)=$D1199,obalR2LOB2AvgProdClinician1,0)</f>
        <v>27</v>
      </c>
      <c r="L1199" s="636">
        <f>IF(VLOOKUP($C1199,obal!$J$273:$M$288,L$3,FALSE)=$D1199,obalR2LOB2AvgProdClinician1,0)</f>
        <v>27</v>
      </c>
      <c r="M1199" s="636">
        <f>IF(VLOOKUP($C1199,obal!$J$273:$M$288,M$3,FALSE)=$D1199,obalR2LOB2AvgProdClinician1,0)</f>
        <v>27</v>
      </c>
      <c r="N1199" s="131" t="s">
        <v>6716</v>
      </c>
    </row>
    <row r="1200" spans="1:14" ht="12.75" customHeight="1">
      <c r="A1200" s="478"/>
      <c r="B1200" s="459"/>
      <c r="C1200" s="170">
        <v>2</v>
      </c>
      <c r="D1200" s="131" t="s">
        <v>550</v>
      </c>
      <c r="E1200" s="560">
        <f>IF(VLOOKUP($C1200,obal!$D$273:$G$288,E$3,FALSE)=$D1200,obalLOB2AvgProdClinician2,0)</f>
        <v>28</v>
      </c>
      <c r="F1200" s="560">
        <f>IF(VLOOKUP($C1200,obal!$D$273:$G$288,F$3,FALSE)=$D1200,obalLOB2AvgProdClinician2,0)</f>
        <v>28</v>
      </c>
      <c r="G1200" s="560">
        <f>IF(VLOOKUP($C1200,obal!$D$273:$G$288,G$3,FALSE)=$D1200,obalLOB2AvgProdClinician2,0)</f>
        <v>28</v>
      </c>
      <c r="H1200" s="131" t="s">
        <v>2286</v>
      </c>
      <c r="J1200" s="131" t="s">
        <v>550</v>
      </c>
      <c r="K1200" s="636">
        <f>IF(VLOOKUP($C1200,obal!$J$273:$M$288,K$3,FALSE)=$D1200,obalR2LOB2AvgProdClinician2,0)</f>
        <v>28</v>
      </c>
      <c r="L1200" s="636">
        <f>IF(VLOOKUP($C1200,obal!$J$273:$M$288,L$3,FALSE)=$D1200,obalR2LOB2AvgProdClinician2,0)</f>
        <v>28</v>
      </c>
      <c r="M1200" s="636">
        <f>IF(VLOOKUP($C1200,obal!$J$273:$M$288,M$3,FALSE)=$D1200,obalR2LOB2AvgProdClinician2,0)</f>
        <v>28</v>
      </c>
      <c r="N1200" s="131" t="s">
        <v>6717</v>
      </c>
    </row>
    <row r="1201" spans="1:14" ht="12.75" customHeight="1">
      <c r="A1201" s="478"/>
      <c r="B1201" s="459"/>
      <c r="C1201" s="170">
        <v>3</v>
      </c>
      <c r="D1201" s="131" t="s">
        <v>550</v>
      </c>
      <c r="E1201" s="560">
        <f>IF(VLOOKUP($C1201,obal!$D$273:$G$288,E$3,FALSE)=$D1201,obalLOB2AvgProdClinician3,0)</f>
        <v>17.021276595744681</v>
      </c>
      <c r="F1201" s="560">
        <f>IF(VLOOKUP($C1201,obal!$D$273:$G$288,F$3,FALSE)=$D1201,obalLOB2AvgProdClinician3,0)</f>
        <v>17.021276595744681</v>
      </c>
      <c r="G1201" s="560">
        <f>IF(VLOOKUP($C1201,obal!$D$273:$G$288,G$3,FALSE)=$D1201,obalLOB2AvgProdClinician3,0)</f>
        <v>17.021276595744681</v>
      </c>
      <c r="H1201" s="131" t="s">
        <v>2287</v>
      </c>
      <c r="J1201" s="131" t="s">
        <v>550</v>
      </c>
      <c r="K1201" s="636">
        <f>IF(VLOOKUP($C1201,obal!$J$273:$M$288,K$3,FALSE)=$D1201,obalR2LOB2AvgProdClinician3,0)</f>
        <v>17.021276595744681</v>
      </c>
      <c r="L1201" s="636">
        <f>IF(VLOOKUP($C1201,obal!$J$273:$M$288,L$3,FALSE)=$D1201,obalR2LOB2AvgProdClinician3,0)</f>
        <v>17.021276595744681</v>
      </c>
      <c r="M1201" s="636">
        <f>IF(VLOOKUP($C1201,obal!$J$273:$M$288,M$3,FALSE)=$D1201,obalR2LOB2AvgProdClinician3,0)</f>
        <v>17.021276595744681</v>
      </c>
      <c r="N1201" s="131" t="s">
        <v>6718</v>
      </c>
    </row>
    <row r="1202" spans="1:14" ht="12.75" customHeight="1">
      <c r="A1202" s="478"/>
      <c r="B1202" s="459"/>
      <c r="C1202" s="170">
        <v>4</v>
      </c>
      <c r="D1202" s="131" t="s">
        <v>550</v>
      </c>
      <c r="E1202" s="560">
        <f>IF(VLOOKUP($C1202,obal!$D$273:$G$288,E$3,FALSE)=$D1202,obalLOB2AvgProdClinician4,0)</f>
        <v>16.666666666666668</v>
      </c>
      <c r="F1202" s="560">
        <f>IF(VLOOKUP($C1202,obal!$D$273:$G$288,F$3,FALSE)=$D1202,obalLOB2AvgProdClinician4,0)</f>
        <v>16.666666666666668</v>
      </c>
      <c r="G1202" s="560">
        <f>IF(VLOOKUP($C1202,obal!$D$273:$G$288,G$3,FALSE)=$D1202,obalLOB2AvgProdClinician4,0)</f>
        <v>16.666666666666668</v>
      </c>
      <c r="H1202" s="131" t="s">
        <v>2288</v>
      </c>
      <c r="J1202" s="131" t="s">
        <v>550</v>
      </c>
      <c r="K1202" s="636">
        <f>IF(VLOOKUP($C1202,obal!$J$273:$M$288,K$3,FALSE)=$D1202,obalR2LOB2AvgProdClinician4,0)</f>
        <v>16.666666666666668</v>
      </c>
      <c r="L1202" s="636">
        <f>IF(VLOOKUP($C1202,obal!$J$273:$M$288,L$3,FALSE)=$D1202,obalR2LOB2AvgProdClinician4,0)</f>
        <v>16.666666666666668</v>
      </c>
      <c r="M1202" s="636">
        <f>IF(VLOOKUP($C1202,obal!$J$273:$M$288,M$3,FALSE)=$D1202,obalR2LOB2AvgProdClinician4,0)</f>
        <v>16.666666666666668</v>
      </c>
      <c r="N1202" s="131" t="s">
        <v>6719</v>
      </c>
    </row>
    <row r="1203" spans="1:14" ht="12.75" customHeight="1">
      <c r="A1203" s="478"/>
      <c r="B1203" s="459"/>
      <c r="C1203" s="170">
        <v>5</v>
      </c>
      <c r="D1203" s="131" t="s">
        <v>550</v>
      </c>
      <c r="E1203" s="560">
        <f>IF(VLOOKUP($C1203,obal!$D$273:$G$288,E$3,FALSE)=$D1203,obalLOB2AvgProdClinician5,0)</f>
        <v>0</v>
      </c>
      <c r="F1203" s="560">
        <f>IF(VLOOKUP($C1203,obal!$D$273:$G$288,F$3,FALSE)=$D1203,obalLOB2AvgProdClinician5,0)</f>
        <v>0</v>
      </c>
      <c r="G1203" s="560">
        <f>IF(VLOOKUP($C1203,obal!$D$273:$G$288,G$3,FALSE)=$D1203,obalLOB2AvgProdClinician5,0)</f>
        <v>0</v>
      </c>
      <c r="H1203" s="131" t="s">
        <v>2289</v>
      </c>
      <c r="J1203" s="131" t="s">
        <v>550</v>
      </c>
      <c r="K1203" s="636">
        <f>IF(VLOOKUP($C1203,obal!$J$273:$M$288,K$3,FALSE)=$D1203,obalR2LOB2AvgProdClinician5,0)</f>
        <v>0</v>
      </c>
      <c r="L1203" s="636">
        <f>IF(VLOOKUP($C1203,obal!$J$273:$M$288,L$3,FALSE)=$D1203,obalR2LOB2AvgProdClinician5,0)</f>
        <v>0</v>
      </c>
      <c r="M1203" s="636">
        <f>IF(VLOOKUP($C1203,obal!$J$273:$M$288,M$3,FALSE)=$D1203,obalR2LOB2AvgProdClinician5,0)</f>
        <v>0</v>
      </c>
      <c r="N1203" s="131" t="s">
        <v>6720</v>
      </c>
    </row>
    <row r="1204" spans="1:14" ht="12.75" customHeight="1">
      <c r="A1204" s="478"/>
      <c r="B1204" s="459"/>
      <c r="C1204" s="170">
        <v>6</v>
      </c>
      <c r="D1204" s="131" t="s">
        <v>550</v>
      </c>
      <c r="E1204" s="560">
        <f>IF(VLOOKUP($C1204,obal!$D$273:$G$288,E$3,FALSE)=$D1204,obalLOB2AvgProdClinician6,0)</f>
        <v>0</v>
      </c>
      <c r="F1204" s="560">
        <f>IF(VLOOKUP($C1204,obal!$D$273:$G$288,F$3,FALSE)=$D1204,obalLOB2AvgProdClinician6,0)</f>
        <v>0</v>
      </c>
      <c r="G1204" s="560">
        <f>IF(VLOOKUP($C1204,obal!$D$273:$G$288,G$3,FALSE)=$D1204,obalLOB2AvgProdClinician6,0)</f>
        <v>0</v>
      </c>
      <c r="H1204" s="131" t="s">
        <v>2290</v>
      </c>
      <c r="J1204" s="131" t="s">
        <v>550</v>
      </c>
      <c r="K1204" s="636">
        <f>IF(VLOOKUP($C1204,obal!$J$273:$M$288,K$3,FALSE)=$D1204,obalR2LOB2AvgProdClinician6,0)</f>
        <v>0</v>
      </c>
      <c r="L1204" s="636">
        <f>IF(VLOOKUP($C1204,obal!$J$273:$M$288,L$3,FALSE)=$D1204,obalR2LOB2AvgProdClinician6,0)</f>
        <v>0</v>
      </c>
      <c r="M1204" s="636">
        <f>IF(VLOOKUP($C1204,obal!$J$273:$M$288,M$3,FALSE)=$D1204,obalR2LOB2AvgProdClinician6,0)</f>
        <v>0</v>
      </c>
      <c r="N1204" s="131" t="s">
        <v>6721</v>
      </c>
    </row>
    <row r="1205" spans="1:14" ht="12.75" customHeight="1">
      <c r="A1205" s="478"/>
      <c r="B1205" s="459"/>
      <c r="C1205" s="170">
        <v>7</v>
      </c>
      <c r="D1205" s="131" t="s">
        <v>550</v>
      </c>
      <c r="E1205" s="560">
        <f>IF(VLOOKUP($C1205,obal!$D$273:$G$288,E$3,FALSE)=$D1205,obalLOB2AvgProdClinician7,0)</f>
        <v>0</v>
      </c>
      <c r="F1205" s="560">
        <f>IF(VLOOKUP($C1205,obal!$D$273:$G$288,F$3,FALSE)=$D1205,obalLOB2AvgProdClinician7,0)</f>
        <v>0</v>
      </c>
      <c r="G1205" s="560">
        <f>IF(VLOOKUP($C1205,obal!$D$273:$G$288,G$3,FALSE)=$D1205,obalLOB2AvgProdClinician7,0)</f>
        <v>0</v>
      </c>
      <c r="H1205" s="131" t="s">
        <v>2291</v>
      </c>
      <c r="J1205" s="131" t="s">
        <v>550</v>
      </c>
      <c r="K1205" s="636">
        <f>IF(VLOOKUP($C1205,obal!$J$273:$M$288,K$3,FALSE)=$D1205,obalR2LOB2AvgProdClinician7,0)</f>
        <v>0</v>
      </c>
      <c r="L1205" s="636">
        <f>IF(VLOOKUP($C1205,obal!$J$273:$M$288,L$3,FALSE)=$D1205,obalR2LOB2AvgProdClinician7,0)</f>
        <v>0</v>
      </c>
      <c r="M1205" s="636">
        <f>IF(VLOOKUP($C1205,obal!$J$273:$M$288,M$3,FALSE)=$D1205,obalR2LOB2AvgProdClinician7,0)</f>
        <v>0</v>
      </c>
      <c r="N1205" s="131" t="s">
        <v>6722</v>
      </c>
    </row>
    <row r="1206" spans="1:14" ht="12.75" customHeight="1">
      <c r="A1206" s="478"/>
      <c r="B1206" s="459"/>
      <c r="C1206" s="170">
        <v>8</v>
      </c>
      <c r="D1206" s="131" t="s">
        <v>550</v>
      </c>
      <c r="E1206" s="560">
        <f>IF(VLOOKUP($C1206,obal!$D$273:$G$288,E$3,FALSE)=$D1206,obalLOB2AvgProdClinician8,0)</f>
        <v>0</v>
      </c>
      <c r="F1206" s="560">
        <f>IF(VLOOKUP($C1206,obal!$D$273:$G$288,F$3,FALSE)=$D1206,obalLOB2AvgProdClinician8,0)</f>
        <v>0</v>
      </c>
      <c r="G1206" s="560">
        <f>IF(VLOOKUP($C1206,obal!$D$273:$G$288,G$3,FALSE)=$D1206,obalLOB2AvgProdClinician8,0)</f>
        <v>0</v>
      </c>
      <c r="H1206" s="131" t="s">
        <v>2292</v>
      </c>
      <c r="J1206" s="131" t="s">
        <v>550</v>
      </c>
      <c r="K1206" s="636">
        <f>IF(VLOOKUP($C1206,obal!$J$273:$M$288,K$3,FALSE)=$D1206,obalR2LOB2AvgProdClinician8,0)</f>
        <v>0</v>
      </c>
      <c r="L1206" s="636">
        <f>IF(VLOOKUP($C1206,obal!$J$273:$M$288,L$3,FALSE)=$D1206,obalR2LOB2AvgProdClinician8,0)</f>
        <v>0</v>
      </c>
      <c r="M1206" s="636">
        <f>IF(VLOOKUP($C1206,obal!$J$273:$M$288,M$3,FALSE)=$D1206,obalR2LOB2AvgProdClinician8,0)</f>
        <v>0</v>
      </c>
      <c r="N1206" s="131" t="s">
        <v>6723</v>
      </c>
    </row>
    <row r="1207" spans="1:14" ht="12.75" customHeight="1">
      <c r="A1207" s="478"/>
      <c r="B1207" s="459"/>
      <c r="C1207" s="170">
        <v>9</v>
      </c>
      <c r="D1207" s="131" t="s">
        <v>550</v>
      </c>
      <c r="E1207" s="560">
        <f>IF(VLOOKUP($C1207,obal!$D$273:$G$288,E$3,FALSE)=$D1207,obalLOB2AvgProdClinician9,0)</f>
        <v>0</v>
      </c>
      <c r="F1207" s="560">
        <f>IF(VLOOKUP($C1207,obal!$D$273:$G$288,F$3,FALSE)=$D1207,obalLOB2AvgProdClinician9,0)</f>
        <v>0</v>
      </c>
      <c r="G1207" s="560">
        <f>IF(VLOOKUP($C1207,obal!$D$273:$G$288,G$3,FALSE)=$D1207,obalLOB2AvgProdClinician9,0)</f>
        <v>0</v>
      </c>
      <c r="H1207" s="131" t="s">
        <v>2293</v>
      </c>
      <c r="J1207" s="131" t="s">
        <v>550</v>
      </c>
      <c r="K1207" s="636">
        <f>IF(VLOOKUP($C1207,obal!$J$273:$M$288,K$3,FALSE)=$D1207,obalR2LOB2AvgProdClinician9,0)</f>
        <v>0</v>
      </c>
      <c r="L1207" s="636">
        <f>IF(VLOOKUP($C1207,obal!$J$273:$M$288,L$3,FALSE)=$D1207,obalR2LOB2AvgProdClinician9,0)</f>
        <v>0</v>
      </c>
      <c r="M1207" s="636">
        <f>IF(VLOOKUP($C1207,obal!$J$273:$M$288,M$3,FALSE)=$D1207,obalR2LOB2AvgProdClinician9,0)</f>
        <v>0</v>
      </c>
      <c r="N1207" s="131" t="s">
        <v>6724</v>
      </c>
    </row>
    <row r="1208" spans="1:14" ht="12.75" customHeight="1">
      <c r="A1208" s="478"/>
      <c r="B1208" s="459"/>
      <c r="C1208" s="170">
        <v>10</v>
      </c>
      <c r="D1208" s="131" t="s">
        <v>550</v>
      </c>
      <c r="E1208" s="560">
        <f>IF(VLOOKUP($C1208,obal!$D$273:$G$288,E$3,FALSE)=$D1208,obalLOB2AvgProdClinician10,0)</f>
        <v>0</v>
      </c>
      <c r="F1208" s="560">
        <f>IF(VLOOKUP($C1208,obal!$D$273:$G$288,F$3,FALSE)=$D1208,obalLOB2AvgProdClinician10,0)</f>
        <v>0</v>
      </c>
      <c r="G1208" s="560">
        <f>IF(VLOOKUP($C1208,obal!$D$273:$G$288,G$3,FALSE)=$D1208,obalLOB2AvgProdClinician10,0)</f>
        <v>0</v>
      </c>
      <c r="H1208" s="131" t="s">
        <v>2294</v>
      </c>
      <c r="J1208" s="131" t="s">
        <v>550</v>
      </c>
      <c r="K1208" s="636">
        <f>IF(VLOOKUP($C1208,obal!$J$273:$M$288,K$3,FALSE)=$D1208,obalR2LOB2AvgProdClinician10,0)</f>
        <v>0</v>
      </c>
      <c r="L1208" s="636">
        <f>IF(VLOOKUP($C1208,obal!$J$273:$M$288,L$3,FALSE)=$D1208,obalR2LOB2AvgProdClinician10,0)</f>
        <v>0</v>
      </c>
      <c r="M1208" s="636">
        <f>IF(VLOOKUP($C1208,obal!$J$273:$M$288,M$3,FALSE)=$D1208,obalR2LOB2AvgProdClinician10,0)</f>
        <v>0</v>
      </c>
      <c r="N1208" s="131" t="s">
        <v>6725</v>
      </c>
    </row>
    <row r="1209" spans="1:14" ht="12.75" customHeight="1">
      <c r="A1209" s="478"/>
      <c r="B1209" s="459"/>
      <c r="C1209" s="170">
        <v>11</v>
      </c>
      <c r="D1209" s="131" t="s">
        <v>550</v>
      </c>
      <c r="E1209" s="560">
        <f>IF(VLOOKUP($C1209,cbal!$D$273:$G$288,E$3,FALSE)=$D1209,cbalLOB2AvgBaseProdClinician11,0)</f>
        <v>0</v>
      </c>
      <c r="F1209" s="560">
        <f>IF(VLOOKUP($C1209,cbal!$D$273:$G$288,F$3,FALSE)=$D1209,cbalLOB2AvgBaseProdClinician11,0)</f>
        <v>0</v>
      </c>
      <c r="G1209" s="560">
        <f>IF(VLOOKUP($C1209,cbal!$D$273:$G$288,G$3,FALSE)=$D1209,cbalLOB2AvgBaseProdClinician11,0)</f>
        <v>0</v>
      </c>
      <c r="H1209" s="131" t="s">
        <v>2295</v>
      </c>
      <c r="J1209" s="131" t="s">
        <v>550</v>
      </c>
      <c r="K1209" s="560">
        <f>IF(VLOOKUP($C1209,cbal!$J$273:$M$288,K$3,FALSE)=$D1209,cbalR2LOB2AvgBaseProdClinician11,0)</f>
        <v>0</v>
      </c>
      <c r="L1209" s="560">
        <f>IF(VLOOKUP($C1209,cbal!$J$273:$M$288,L$3,FALSE)=$D1209,cbalR2LOB2AvgBaseProdClinician11,0)</f>
        <v>0</v>
      </c>
      <c r="M1209" s="560">
        <f>IF(VLOOKUP($C1209,cbal!$J$273:$M$288,M$3,FALSE)=$D1209,cbalR2LOB2AvgBaseProdClinician11,0)</f>
        <v>0</v>
      </c>
      <c r="N1209" s="131" t="s">
        <v>6726</v>
      </c>
    </row>
    <row r="1210" spans="1:14" ht="12.75" customHeight="1">
      <c r="A1210" s="478"/>
      <c r="B1210" s="459"/>
      <c r="C1210" s="170">
        <v>12</v>
      </c>
      <c r="D1210" s="131" t="s">
        <v>550</v>
      </c>
      <c r="E1210" s="560">
        <f>IF(VLOOKUP($C1210,cbal!$D$273:$G$288,E$3,FALSE)=$D1210,cbalLOB2AvgBaseProdClinician12,0)</f>
        <v>0</v>
      </c>
      <c r="F1210" s="560">
        <f>IF(VLOOKUP($C1210,cbal!$D$273:$G$288,F$3,FALSE)=$D1210,cbalLOB2AvgBaseProdClinician12,0)</f>
        <v>0</v>
      </c>
      <c r="G1210" s="560">
        <f>IF(VLOOKUP($C1210,cbal!$D$273:$G$288,G$3,FALSE)=$D1210,cbalLOB2AvgBaseProdClinician12,0)</f>
        <v>0</v>
      </c>
      <c r="H1210" s="131" t="s">
        <v>2296</v>
      </c>
      <c r="J1210" s="131" t="s">
        <v>550</v>
      </c>
      <c r="K1210" s="560">
        <f>IF(VLOOKUP($C1210,cbal!$J$273:$M$288,K$3,FALSE)=$D1210,cbalR2LOB2AvgBaseProdClinician12,0)</f>
        <v>0</v>
      </c>
      <c r="L1210" s="560">
        <f>IF(VLOOKUP($C1210,cbal!$J$273:$M$288,L$3,FALSE)=$D1210,cbalR2LOB2AvgBaseProdClinician12,0)</f>
        <v>0</v>
      </c>
      <c r="M1210" s="560">
        <f>IF(VLOOKUP($C1210,cbal!$J$273:$M$288,M$3,FALSE)=$D1210,cbalR2LOB2AvgBaseProdClinician12,0)</f>
        <v>0</v>
      </c>
      <c r="N1210" s="131" t="s">
        <v>6727</v>
      </c>
    </row>
    <row r="1211" spans="1:14" ht="12.75" customHeight="1">
      <c r="A1211" s="478"/>
      <c r="B1211" s="459"/>
      <c r="C1211" s="571">
        <v>19</v>
      </c>
      <c r="D1211" s="572" t="s">
        <v>550</v>
      </c>
      <c r="E1211" s="747">
        <f>obalLOB2AvgProdClinician13</f>
        <v>126</v>
      </c>
      <c r="F1211" s="747">
        <f>obalLOB2AvgProdClinician13</f>
        <v>100</v>
      </c>
      <c r="G1211" s="747">
        <f>obalLOB2AvgProdClinician13</f>
        <v>200</v>
      </c>
      <c r="H1211" s="131" t="s">
        <v>4099</v>
      </c>
      <c r="J1211" s="572" t="s">
        <v>550</v>
      </c>
      <c r="K1211" s="747">
        <f>obalR2LOB2AvgProdClinician13</f>
        <v>119.69999999999999</v>
      </c>
      <c r="L1211" s="747">
        <f>obalR2LOB2AvgProdClinician13</f>
        <v>100</v>
      </c>
      <c r="M1211" s="747">
        <f>obalR2LOB2AvgProdClinician13</f>
        <v>200</v>
      </c>
      <c r="N1211" s="131" t="s">
        <v>6728</v>
      </c>
    </row>
    <row r="1212" spans="1:14" ht="12.75" customHeight="1">
      <c r="A1212" s="478"/>
      <c r="B1212" s="459"/>
      <c r="C1212" s="170">
        <v>1</v>
      </c>
      <c r="D1212" s="131" t="s">
        <v>554</v>
      </c>
      <c r="E1212" s="560">
        <f>IF(VLOOKUP($C1212,obal!$D$273:$G$288,E$3,FALSE)=$D1212,obalLOB2AvgProdClinician1,0)</f>
        <v>0</v>
      </c>
      <c r="F1212" s="560">
        <f>IF(VLOOKUP($C1212,obal!$D$273:$G$288,F$3,FALSE)=$D1212,obalLOB2AvgProdClinician1,0)</f>
        <v>0</v>
      </c>
      <c r="G1212" s="560">
        <f>IF(VLOOKUP($C1212,obal!$D$273:$G$288,G$3,FALSE)=$D1212,obalLOB2AvgProdClinician1,0)</f>
        <v>0</v>
      </c>
      <c r="H1212" s="131" t="s">
        <v>2297</v>
      </c>
      <c r="J1212" s="131" t="s">
        <v>554</v>
      </c>
      <c r="K1212" s="636">
        <f>IF(VLOOKUP($C1212,obal!$J$273:$M$288,K$3,FALSE)=$D1212,obalR2LOB2AvgProdClinician1,0)</f>
        <v>0</v>
      </c>
      <c r="L1212" s="636">
        <f>IF(VLOOKUP($C1212,obal!$J$273:$M$288,L$3,FALSE)=$D1212,obalR2LOB2AvgProdClinician1,0)</f>
        <v>0</v>
      </c>
      <c r="M1212" s="636">
        <f>IF(VLOOKUP($C1212,obal!$J$273:$M$288,M$3,FALSE)=$D1212,obalR2LOB2AvgProdClinician1,0)</f>
        <v>0</v>
      </c>
      <c r="N1212" s="131" t="s">
        <v>6729</v>
      </c>
    </row>
    <row r="1213" spans="1:14" ht="12.75" customHeight="1">
      <c r="A1213" s="478"/>
      <c r="B1213" s="459"/>
      <c r="C1213" s="170">
        <v>2</v>
      </c>
      <c r="D1213" s="131" t="s">
        <v>554</v>
      </c>
      <c r="E1213" s="560">
        <f>IF(VLOOKUP($C1213,obal!$D$273:$G$288,E$3,FALSE)=$D1213,obalLOB2AvgProdClinician2,0)</f>
        <v>0</v>
      </c>
      <c r="F1213" s="560">
        <f>IF(VLOOKUP($C1213,obal!$D$273:$G$288,F$3,FALSE)=$D1213,obalLOB2AvgProdClinician2,0)</f>
        <v>0</v>
      </c>
      <c r="G1213" s="560">
        <f>IF(VLOOKUP($C1213,obal!$D$273:$G$288,G$3,FALSE)=$D1213,obalLOB2AvgProdClinician2,0)</f>
        <v>0</v>
      </c>
      <c r="H1213" s="131" t="s">
        <v>2298</v>
      </c>
      <c r="J1213" s="131" t="s">
        <v>554</v>
      </c>
      <c r="K1213" s="636">
        <f>IF(VLOOKUP($C1213,obal!$J$273:$M$288,K$3,FALSE)=$D1213,obalR2LOB2AvgProdClinician2,0)</f>
        <v>0</v>
      </c>
      <c r="L1213" s="636">
        <f>IF(VLOOKUP($C1213,obal!$J$273:$M$288,L$3,FALSE)=$D1213,obalR2LOB2AvgProdClinician2,0)</f>
        <v>0</v>
      </c>
      <c r="M1213" s="636">
        <f>IF(VLOOKUP($C1213,obal!$J$273:$M$288,M$3,FALSE)=$D1213,obalR2LOB2AvgProdClinician2,0)</f>
        <v>0</v>
      </c>
      <c r="N1213" s="131" t="s">
        <v>6730</v>
      </c>
    </row>
    <row r="1214" spans="1:14" ht="12.75" customHeight="1">
      <c r="A1214" s="478"/>
      <c r="B1214" s="459"/>
      <c r="C1214" s="170">
        <v>3</v>
      </c>
      <c r="D1214" s="131" t="s">
        <v>554</v>
      </c>
      <c r="E1214" s="560">
        <f>IF(VLOOKUP($C1214,obal!$D$273:$G$288,E$3,FALSE)=$D1214,obalLOB2AvgProdClinician3,0)</f>
        <v>0</v>
      </c>
      <c r="F1214" s="560">
        <f>IF(VLOOKUP($C1214,obal!$D$273:$G$288,F$3,FALSE)=$D1214,obalLOB2AvgProdClinician3,0)</f>
        <v>0</v>
      </c>
      <c r="G1214" s="560">
        <f>IF(VLOOKUP($C1214,obal!$D$273:$G$288,G$3,FALSE)=$D1214,obalLOB2AvgProdClinician3,0)</f>
        <v>0</v>
      </c>
      <c r="H1214" s="131" t="s">
        <v>2299</v>
      </c>
      <c r="J1214" s="131" t="s">
        <v>554</v>
      </c>
      <c r="K1214" s="636">
        <f>IF(VLOOKUP($C1214,obal!$J$273:$M$288,K$3,FALSE)=$D1214,obalR2LOB2AvgProdClinician3,0)</f>
        <v>0</v>
      </c>
      <c r="L1214" s="636">
        <f>IF(VLOOKUP($C1214,obal!$J$273:$M$288,L$3,FALSE)=$D1214,obalR2LOB2AvgProdClinician3,0)</f>
        <v>0</v>
      </c>
      <c r="M1214" s="636">
        <f>IF(VLOOKUP($C1214,obal!$J$273:$M$288,M$3,FALSE)=$D1214,obalR2LOB2AvgProdClinician3,0)</f>
        <v>0</v>
      </c>
      <c r="N1214" s="131" t="s">
        <v>6731</v>
      </c>
    </row>
    <row r="1215" spans="1:14" ht="12.75" customHeight="1">
      <c r="A1215" s="478"/>
      <c r="B1215" s="459"/>
      <c r="C1215" s="170">
        <v>4</v>
      </c>
      <c r="D1215" s="131" t="s">
        <v>554</v>
      </c>
      <c r="E1215" s="560">
        <f>IF(VLOOKUP($C1215,obal!$D$273:$G$288,E$3,FALSE)=$D1215,obalLOB2AvgProdClinician4,0)</f>
        <v>0</v>
      </c>
      <c r="F1215" s="560">
        <f>IF(VLOOKUP($C1215,obal!$D$273:$G$288,F$3,FALSE)=$D1215,obalLOB2AvgProdClinician4,0)</f>
        <v>0</v>
      </c>
      <c r="G1215" s="560">
        <f>IF(VLOOKUP($C1215,obal!$D$273:$G$288,G$3,FALSE)=$D1215,obalLOB2AvgProdClinician4,0)</f>
        <v>0</v>
      </c>
      <c r="H1215" s="131" t="s">
        <v>2300</v>
      </c>
      <c r="J1215" s="131" t="s">
        <v>554</v>
      </c>
      <c r="K1215" s="636">
        <f>IF(VLOOKUP($C1215,obal!$J$273:$M$288,K$3,FALSE)=$D1215,obalR2LOB2AvgProdClinician4,0)</f>
        <v>0</v>
      </c>
      <c r="L1215" s="636">
        <f>IF(VLOOKUP($C1215,obal!$J$273:$M$288,L$3,FALSE)=$D1215,obalR2LOB2AvgProdClinician4,0)</f>
        <v>0</v>
      </c>
      <c r="M1215" s="636">
        <f>IF(VLOOKUP($C1215,obal!$J$273:$M$288,M$3,FALSE)=$D1215,obalR2LOB2AvgProdClinician4,0)</f>
        <v>0</v>
      </c>
      <c r="N1215" s="131" t="s">
        <v>6732</v>
      </c>
    </row>
    <row r="1216" spans="1:14" ht="12.75" customHeight="1">
      <c r="A1216" s="478"/>
      <c r="B1216" s="459"/>
      <c r="C1216" s="170">
        <v>5</v>
      </c>
      <c r="D1216" s="131" t="s">
        <v>554</v>
      </c>
      <c r="E1216" s="560">
        <f>IF(VLOOKUP($C1216,obal!$D$273:$G$288,E$3,FALSE)=$D1216,obalLOB2AvgProdClinician5,0)</f>
        <v>27.5</v>
      </c>
      <c r="F1216" s="560">
        <f>IF(VLOOKUP($C1216,obal!$D$273:$G$288,F$3,FALSE)=$D1216,obalLOB2AvgProdClinician5,0)</f>
        <v>27.5</v>
      </c>
      <c r="G1216" s="560">
        <f>IF(VLOOKUP($C1216,obal!$D$273:$G$288,G$3,FALSE)=$D1216,obalLOB2AvgProdClinician5,0)</f>
        <v>27.5</v>
      </c>
      <c r="H1216" s="131" t="s">
        <v>2301</v>
      </c>
      <c r="J1216" s="131" t="s">
        <v>554</v>
      </c>
      <c r="K1216" s="636">
        <f>IF(VLOOKUP($C1216,obal!$J$273:$M$288,K$3,FALSE)=$D1216,obalR2LOB2AvgProdClinician5,0)</f>
        <v>27.5</v>
      </c>
      <c r="L1216" s="636">
        <f>IF(VLOOKUP($C1216,obal!$J$273:$M$288,L$3,FALSE)=$D1216,obalR2LOB2AvgProdClinician5,0)</f>
        <v>27.5</v>
      </c>
      <c r="M1216" s="636">
        <f>IF(VLOOKUP($C1216,obal!$J$273:$M$288,M$3,FALSE)=$D1216,obalR2LOB2AvgProdClinician5,0)</f>
        <v>27.5</v>
      </c>
      <c r="N1216" s="131" t="s">
        <v>6733</v>
      </c>
    </row>
    <row r="1217" spans="1:14" ht="12.75" customHeight="1">
      <c r="A1217" s="478"/>
      <c r="B1217" s="459"/>
      <c r="C1217" s="170">
        <v>6</v>
      </c>
      <c r="D1217" s="131" t="s">
        <v>554</v>
      </c>
      <c r="E1217" s="560">
        <f>IF(VLOOKUP($C1217,obal!$D$273:$G$288,E$3,FALSE)=$D1217,obalLOB2AvgProdClinician6,0)</f>
        <v>28</v>
      </c>
      <c r="F1217" s="560">
        <f>IF(VLOOKUP($C1217,obal!$D$273:$G$288,F$3,FALSE)=$D1217,obalLOB2AvgProdClinician6,0)</f>
        <v>28</v>
      </c>
      <c r="G1217" s="560">
        <f>IF(VLOOKUP($C1217,obal!$D$273:$G$288,G$3,FALSE)=$D1217,obalLOB2AvgProdClinician6,0)</f>
        <v>28</v>
      </c>
      <c r="H1217" s="131" t="s">
        <v>2302</v>
      </c>
      <c r="J1217" s="131" t="s">
        <v>554</v>
      </c>
      <c r="K1217" s="636">
        <f>IF(VLOOKUP($C1217,obal!$J$273:$M$288,K$3,FALSE)=$D1217,obalR2LOB2AvgProdClinician6,0)</f>
        <v>28</v>
      </c>
      <c r="L1217" s="636">
        <f>IF(VLOOKUP($C1217,obal!$J$273:$M$288,L$3,FALSE)=$D1217,obalR2LOB2AvgProdClinician6,0)</f>
        <v>28</v>
      </c>
      <c r="M1217" s="636">
        <f>IF(VLOOKUP($C1217,obal!$J$273:$M$288,M$3,FALSE)=$D1217,obalR2LOB2AvgProdClinician6,0)</f>
        <v>28</v>
      </c>
      <c r="N1217" s="131" t="s">
        <v>6734</v>
      </c>
    </row>
    <row r="1218" spans="1:14" ht="12.75" customHeight="1">
      <c r="A1218" s="478"/>
      <c r="B1218" s="459"/>
      <c r="C1218" s="170">
        <v>7</v>
      </c>
      <c r="D1218" s="131" t="s">
        <v>554</v>
      </c>
      <c r="E1218" s="560">
        <f>IF(VLOOKUP($C1218,obal!$D$273:$G$288,E$3,FALSE)=$D1218,obalLOB2AvgProdClinician7,0)</f>
        <v>0</v>
      </c>
      <c r="F1218" s="560">
        <f>IF(VLOOKUP($C1218,obal!$D$273:$G$288,F$3,FALSE)=$D1218,obalLOB2AvgProdClinician7,0)</f>
        <v>0</v>
      </c>
      <c r="G1218" s="560">
        <f>IF(VLOOKUP($C1218,obal!$D$273:$G$288,G$3,FALSE)=$D1218,obalLOB2AvgProdClinician7,0)</f>
        <v>0</v>
      </c>
      <c r="H1218" s="131" t="s">
        <v>2303</v>
      </c>
      <c r="J1218" s="131" t="s">
        <v>554</v>
      </c>
      <c r="K1218" s="636">
        <f>IF(VLOOKUP($C1218,obal!$J$273:$M$288,K$3,FALSE)=$D1218,obalR2LOB2AvgProdClinician7,0)</f>
        <v>0</v>
      </c>
      <c r="L1218" s="636">
        <f>IF(VLOOKUP($C1218,obal!$J$273:$M$288,L$3,FALSE)=$D1218,obalR2LOB2AvgProdClinician7,0)</f>
        <v>0</v>
      </c>
      <c r="M1218" s="636">
        <f>IF(VLOOKUP($C1218,obal!$J$273:$M$288,M$3,FALSE)=$D1218,obalR2LOB2AvgProdClinician7,0)</f>
        <v>0</v>
      </c>
      <c r="N1218" s="131" t="s">
        <v>6735</v>
      </c>
    </row>
    <row r="1219" spans="1:14" ht="12.75" customHeight="1">
      <c r="A1219" s="478"/>
      <c r="B1219" s="459"/>
      <c r="C1219" s="170">
        <v>8</v>
      </c>
      <c r="D1219" s="131" t="s">
        <v>554</v>
      </c>
      <c r="E1219" s="560">
        <f>IF(VLOOKUP($C1219,obal!$D$273:$G$288,E$3,FALSE)=$D1219,obalLOB2AvgProdClinician8,0)</f>
        <v>0</v>
      </c>
      <c r="F1219" s="560">
        <f>IF(VLOOKUP($C1219,obal!$D$273:$G$288,F$3,FALSE)=$D1219,obalLOB2AvgProdClinician8,0)</f>
        <v>0</v>
      </c>
      <c r="G1219" s="560">
        <f>IF(VLOOKUP($C1219,obal!$D$273:$G$288,G$3,FALSE)=$D1219,obalLOB2AvgProdClinician8,0)</f>
        <v>0</v>
      </c>
      <c r="H1219" s="131" t="s">
        <v>2304</v>
      </c>
      <c r="J1219" s="131" t="s">
        <v>554</v>
      </c>
      <c r="K1219" s="636">
        <f>IF(VLOOKUP($C1219,obal!$J$273:$M$288,K$3,FALSE)=$D1219,obalR2LOB2AvgProdClinician8,0)</f>
        <v>0</v>
      </c>
      <c r="L1219" s="636">
        <f>IF(VLOOKUP($C1219,obal!$J$273:$M$288,L$3,FALSE)=$D1219,obalR2LOB2AvgProdClinician8,0)</f>
        <v>0</v>
      </c>
      <c r="M1219" s="636">
        <f>IF(VLOOKUP($C1219,obal!$J$273:$M$288,M$3,FALSE)=$D1219,obalR2LOB2AvgProdClinician8,0)</f>
        <v>0</v>
      </c>
      <c r="N1219" s="131" t="s">
        <v>6736</v>
      </c>
    </row>
    <row r="1220" spans="1:14" ht="12.75" customHeight="1">
      <c r="A1220" s="478"/>
      <c r="B1220" s="459"/>
      <c r="C1220" s="170">
        <v>9</v>
      </c>
      <c r="D1220" s="131" t="s">
        <v>554</v>
      </c>
      <c r="E1220" s="560">
        <f>IF(VLOOKUP($C1220,obal!$D$273:$G$288,E$3,FALSE)=$D1220,obalLOB2AvgProdClinician9,0)</f>
        <v>0</v>
      </c>
      <c r="F1220" s="560">
        <f>IF(VLOOKUP($C1220,obal!$D$273:$G$288,F$3,FALSE)=$D1220,obalLOB2AvgProdClinician9,0)</f>
        <v>0</v>
      </c>
      <c r="G1220" s="560">
        <f>IF(VLOOKUP($C1220,obal!$D$273:$G$288,G$3,FALSE)=$D1220,obalLOB2AvgProdClinician9,0)</f>
        <v>0</v>
      </c>
      <c r="H1220" s="131" t="s">
        <v>2305</v>
      </c>
      <c r="J1220" s="131" t="s">
        <v>554</v>
      </c>
      <c r="K1220" s="636">
        <f>IF(VLOOKUP($C1220,obal!$J$273:$M$288,K$3,FALSE)=$D1220,obalR2LOB2AvgProdClinician9,0)</f>
        <v>0</v>
      </c>
      <c r="L1220" s="636">
        <f>IF(VLOOKUP($C1220,obal!$J$273:$M$288,L$3,FALSE)=$D1220,obalR2LOB2AvgProdClinician9,0)</f>
        <v>0</v>
      </c>
      <c r="M1220" s="636">
        <f>IF(VLOOKUP($C1220,obal!$J$273:$M$288,M$3,FALSE)=$D1220,obalR2LOB2AvgProdClinician9,0)</f>
        <v>0</v>
      </c>
      <c r="N1220" s="131" t="s">
        <v>6737</v>
      </c>
    </row>
    <row r="1221" spans="1:14" ht="12.75" customHeight="1">
      <c r="A1221" s="478"/>
      <c r="B1221" s="459"/>
      <c r="C1221" s="170">
        <v>10</v>
      </c>
      <c r="D1221" s="131" t="s">
        <v>554</v>
      </c>
      <c r="E1221" s="560">
        <f>IF(VLOOKUP($C1221,obal!$D$273:$G$288,E$3,FALSE)=$D1221,obalLOB2AvgProdClinician10,0)</f>
        <v>0</v>
      </c>
      <c r="F1221" s="560">
        <f>IF(VLOOKUP($C1221,obal!$D$273:$G$288,F$3,FALSE)=$D1221,obalLOB2AvgProdClinician10,0)</f>
        <v>0</v>
      </c>
      <c r="G1221" s="560">
        <f>IF(VLOOKUP($C1221,obal!$D$273:$G$288,G$3,FALSE)=$D1221,obalLOB2AvgProdClinician10,0)</f>
        <v>0</v>
      </c>
      <c r="H1221" s="131" t="s">
        <v>2306</v>
      </c>
      <c r="J1221" s="131" t="s">
        <v>554</v>
      </c>
      <c r="K1221" s="636">
        <f>IF(VLOOKUP($C1221,obal!$J$273:$M$288,K$3,FALSE)=$D1221,obalR2LOB2AvgProdClinician10,0)</f>
        <v>0</v>
      </c>
      <c r="L1221" s="636">
        <f>IF(VLOOKUP($C1221,obal!$J$273:$M$288,L$3,FALSE)=$D1221,obalR2LOB2AvgProdClinician10,0)</f>
        <v>0</v>
      </c>
      <c r="M1221" s="636">
        <f>IF(VLOOKUP($C1221,obal!$J$273:$M$288,M$3,FALSE)=$D1221,obalR2LOB2AvgProdClinician10,0)</f>
        <v>0</v>
      </c>
      <c r="N1221" s="131" t="s">
        <v>6738</v>
      </c>
    </row>
    <row r="1222" spans="1:14" ht="12.75" customHeight="1">
      <c r="A1222" s="478"/>
      <c r="B1222" s="459"/>
      <c r="C1222" s="170">
        <v>11</v>
      </c>
      <c r="D1222" s="131" t="s">
        <v>554</v>
      </c>
      <c r="E1222" s="560">
        <f>IF(VLOOKUP($C1222,cbal!$D$273:$G$288,E$3,FALSE)=$D1222,cbalLOB2AvgBaseProdClinician11,0)</f>
        <v>0</v>
      </c>
      <c r="F1222" s="560">
        <f>IF(VLOOKUP($C1222,cbal!$D$273:$G$288,F$3,FALSE)=$D1222,cbalLOB2AvgBaseProdClinician11,0)</f>
        <v>0</v>
      </c>
      <c r="G1222" s="560">
        <f>IF(VLOOKUP($C1222,cbal!$D$273:$G$288,G$3,FALSE)=$D1222,cbalLOB2AvgBaseProdClinician11,0)</f>
        <v>0</v>
      </c>
      <c r="H1222" s="131" t="s">
        <v>2307</v>
      </c>
      <c r="J1222" s="131" t="s">
        <v>554</v>
      </c>
      <c r="K1222" s="560">
        <f>IF(VLOOKUP($C1222,cbal!$J$273:$M$288,K$3,FALSE)=$D1222,cbalR2LOB2AvgBaseProdClinician11,0)</f>
        <v>0</v>
      </c>
      <c r="L1222" s="560">
        <f>IF(VLOOKUP($C1222,cbal!$J$273:$M$288,L$3,FALSE)=$D1222,cbalR2LOB2AvgBaseProdClinician11,0)</f>
        <v>0</v>
      </c>
      <c r="M1222" s="560">
        <f>IF(VLOOKUP($C1222,cbal!$J$273:$M$288,M$3,FALSE)=$D1222,cbalR2LOB2AvgBaseProdClinician11,0)</f>
        <v>0</v>
      </c>
      <c r="N1222" s="131" t="s">
        <v>6739</v>
      </c>
    </row>
    <row r="1223" spans="1:14" ht="12.75" customHeight="1">
      <c r="A1223" s="478"/>
      <c r="B1223" s="459"/>
      <c r="C1223" s="170">
        <v>12</v>
      </c>
      <c r="D1223" s="131" t="s">
        <v>554</v>
      </c>
      <c r="E1223" s="560">
        <f>IF(VLOOKUP($C1223,cbal!$D$273:$G$288,E$3,FALSE)=$D1223,cbalLOB2AvgBaseProdClinician12,0)</f>
        <v>0</v>
      </c>
      <c r="F1223" s="560">
        <f>IF(VLOOKUP($C1223,cbal!$D$273:$G$288,F$3,FALSE)=$D1223,cbalLOB2AvgBaseProdClinician12,0)</f>
        <v>0</v>
      </c>
      <c r="G1223" s="560">
        <f>IF(VLOOKUP($C1223,cbal!$D$273:$G$288,G$3,FALSE)=$D1223,cbalLOB2AvgBaseProdClinician12,0)</f>
        <v>0</v>
      </c>
      <c r="H1223" s="131" t="s">
        <v>2308</v>
      </c>
      <c r="J1223" s="131" t="s">
        <v>554</v>
      </c>
      <c r="K1223" s="560">
        <f>IF(VLOOKUP($C1223,cbal!$J$273:$M$288,K$3,FALSE)=$D1223,cbalR2LOB2AvgBaseProdClinician12,0)</f>
        <v>0</v>
      </c>
      <c r="L1223" s="560">
        <f>IF(VLOOKUP($C1223,cbal!$J$273:$M$288,L$3,FALSE)=$D1223,cbalR2LOB2AvgBaseProdClinician12,0)</f>
        <v>0</v>
      </c>
      <c r="M1223" s="560">
        <f>IF(VLOOKUP($C1223,cbal!$J$273:$M$288,M$3,FALSE)=$D1223,cbalR2LOB2AvgBaseProdClinician12,0)</f>
        <v>0</v>
      </c>
      <c r="N1223" s="131" t="s">
        <v>6740</v>
      </c>
    </row>
    <row r="1224" spans="1:14" ht="12.75" customHeight="1">
      <c r="A1224" s="478"/>
      <c r="B1224" s="459"/>
      <c r="C1224" s="571">
        <v>20</v>
      </c>
      <c r="D1224" s="572" t="s">
        <v>554</v>
      </c>
      <c r="E1224" s="747">
        <f>obalLOB2AvgProdClinician14</f>
        <v>180</v>
      </c>
      <c r="F1224" s="747">
        <f>obalLOB2AvgProdClinician14</f>
        <v>100</v>
      </c>
      <c r="G1224" s="747">
        <f>obalLOB2AvgProdClinician14</f>
        <v>200</v>
      </c>
      <c r="H1224" s="131" t="s">
        <v>4100</v>
      </c>
      <c r="J1224" s="572" t="s">
        <v>554</v>
      </c>
      <c r="K1224" s="747">
        <f>obalR2LOB2AvgProdClinician14</f>
        <v>170.99999999999997</v>
      </c>
      <c r="L1224" s="747">
        <f>obalR2LOB2AvgProdClinician14</f>
        <v>100</v>
      </c>
      <c r="M1224" s="747">
        <f>obalR2LOB2AvgProdClinician14</f>
        <v>200</v>
      </c>
      <c r="N1224" s="131" t="s">
        <v>6741</v>
      </c>
    </row>
    <row r="1225" spans="1:14" ht="1.5" customHeight="1">
      <c r="A1225" s="478"/>
      <c r="B1225" s="459"/>
      <c r="D1225" s="449"/>
      <c r="E1225" s="450"/>
      <c r="F1225" s="450"/>
      <c r="G1225" s="450"/>
      <c r="H1225" s="131"/>
      <c r="J1225" s="449"/>
      <c r="K1225" s="450"/>
      <c r="L1225" s="450"/>
      <c r="M1225" s="450"/>
      <c r="N1225" s="131"/>
    </row>
    <row r="1226" spans="1:14" ht="12.75" customHeight="1">
      <c r="A1226" s="478"/>
      <c r="B1226" s="459"/>
      <c r="D1226" s="131" t="s">
        <v>1587</v>
      </c>
      <c r="E1226" s="448">
        <f>SUM(E1199:E1225)</f>
        <v>450.18794326241135</v>
      </c>
      <c r="F1226" s="448">
        <f t="shared" ref="F1226:G1226" si="188">SUM(F1199:F1225)</f>
        <v>344.18794326241135</v>
      </c>
      <c r="G1226" s="448">
        <f t="shared" si="188"/>
        <v>544.18794326241141</v>
      </c>
      <c r="H1226" s="131" t="s">
        <v>2309</v>
      </c>
      <c r="J1226" s="131" t="s">
        <v>1587</v>
      </c>
      <c r="K1226" s="448">
        <f>SUM(K1199:K1225)</f>
        <v>434.88794326241134</v>
      </c>
      <c r="L1226" s="448">
        <f t="shared" ref="L1226:M1226" si="189">SUM(L1199:L1225)</f>
        <v>344.18794326241135</v>
      </c>
      <c r="M1226" s="448">
        <f t="shared" si="189"/>
        <v>544.18794326241141</v>
      </c>
      <c r="N1226" s="131" t="s">
        <v>6742</v>
      </c>
    </row>
    <row r="1227" spans="1:14" ht="12.75" customHeight="1">
      <c r="A1227" s="478"/>
      <c r="B1227" s="459"/>
      <c r="E1227" s="462"/>
      <c r="K1227" s="462"/>
    </row>
    <row r="1228" spans="1:14" ht="12.75" customHeight="1">
      <c r="A1228" s="478"/>
      <c r="B1228" s="459"/>
      <c r="C1228" s="131" t="s">
        <v>1616</v>
      </c>
    </row>
    <row r="1229" spans="1:14" ht="12.75" customHeight="1">
      <c r="A1229" s="478"/>
      <c r="B1229" s="459"/>
      <c r="C1229" s="170">
        <v>1</v>
      </c>
      <c r="D1229" s="131" t="s">
        <v>550</v>
      </c>
      <c r="E1229" s="452">
        <f>calcLOB2Clinician1Disc1Emp1BaseProd/calcLOB2Emp1BaseProdCapacity</f>
        <v>5.9974951359952108E-2</v>
      </c>
      <c r="F1229" s="452">
        <f>calcLOB2Clinician1Disc1Emp1BaseProd/calcLOB2Emp1BaseProdCapacity</f>
        <v>7.8445513646057632E-2</v>
      </c>
      <c r="G1229" s="452">
        <f>calcLOB2Clinician1Disc1Emp1BaseProd/calcLOB2Emp1BaseProdCapacity</f>
        <v>4.9615211682447001E-2</v>
      </c>
      <c r="H1229" s="131" t="s">
        <v>2310</v>
      </c>
      <c r="J1229" s="131" t="s">
        <v>550</v>
      </c>
      <c r="K1229" s="452">
        <f>calcR2LOB2Clinician1Disc1Emp1BaseProd/calcR2LOB2Emp1BaseProdCapacity</f>
        <v>6.2084958707876163E-2</v>
      </c>
      <c r="L1229" s="452">
        <f>calcR2LOB2Clinician1Disc1Emp1BaseProd/calcR2LOB2Emp1BaseProdCapacity</f>
        <v>7.8445513646057632E-2</v>
      </c>
      <c r="M1229" s="452">
        <f>calcR2LOB2Clinician1Disc1Emp1BaseProd/calcR2LOB2Emp1BaseProdCapacity</f>
        <v>4.9615211682447001E-2</v>
      </c>
      <c r="N1229" s="131" t="s">
        <v>6743</v>
      </c>
    </row>
    <row r="1230" spans="1:14" ht="12.75" customHeight="1">
      <c r="A1230" s="478"/>
      <c r="B1230" s="459"/>
      <c r="C1230" s="170">
        <v>2</v>
      </c>
      <c r="D1230" s="131" t="s">
        <v>550</v>
      </c>
      <c r="E1230" s="452">
        <f>calcLOB2Clinician2Disc1Emp1BaseProd/calcLOB2Emp1BaseProdCapacity</f>
        <v>6.2196245854765152E-2</v>
      </c>
      <c r="F1230" s="452">
        <f>calcLOB2Clinician2Disc1Emp1BaseProd/calcLOB2Emp1BaseProdCapacity</f>
        <v>8.1350903040356068E-2</v>
      </c>
      <c r="G1230" s="452">
        <f>calcLOB2Clinician2Disc1Emp1BaseProd/calcLOB2Emp1BaseProdCapacity</f>
        <v>5.1452812115130225E-2</v>
      </c>
      <c r="H1230" s="131" t="s">
        <v>2311</v>
      </c>
      <c r="J1230" s="131" t="s">
        <v>550</v>
      </c>
      <c r="K1230" s="452">
        <f>calcR2LOB2Clinician2Disc1Emp1BaseProd/calcR2LOB2Emp1BaseProdCapacity</f>
        <v>6.4384401622982687E-2</v>
      </c>
      <c r="L1230" s="452">
        <f>calcR2LOB2Clinician2Disc1Emp1BaseProd/calcR2LOB2Emp1BaseProdCapacity</f>
        <v>8.1350903040356068E-2</v>
      </c>
      <c r="M1230" s="452">
        <f>calcR2LOB2Clinician2Disc1Emp1BaseProd/calcR2LOB2Emp1BaseProdCapacity</f>
        <v>5.1452812115130225E-2</v>
      </c>
      <c r="N1230" s="131" t="s">
        <v>6744</v>
      </c>
    </row>
    <row r="1231" spans="1:14" ht="12.75" customHeight="1">
      <c r="A1231" s="478"/>
      <c r="B1231" s="459"/>
      <c r="C1231" s="170">
        <v>3</v>
      </c>
      <c r="D1231" s="131" t="s">
        <v>550</v>
      </c>
      <c r="E1231" s="452">
        <f>calcLOB2Clinician3Disc1Emp1BaseProd/calcLOB2Emp1BaseProdCapacity</f>
        <v>3.7809267996817719E-2</v>
      </c>
      <c r="F1231" s="452">
        <f>calcLOB2Clinician3Disc1Emp1BaseProd/calcLOB2Emp1BaseProdCapacity</f>
        <v>4.9453436498696692E-2</v>
      </c>
      <c r="G1231" s="452">
        <f>calcLOB2Clinician3Disc1Emp1BaseProd/calcLOB2Emp1BaseProdCapacity</f>
        <v>3.1278305237161227E-2</v>
      </c>
      <c r="H1231" s="131" t="s">
        <v>2312</v>
      </c>
      <c r="J1231" s="131" t="s">
        <v>550</v>
      </c>
      <c r="K1231" s="452">
        <f>calcR2LOB2Clinician3Disc1Emp1BaseProd/calcR2LOB2Emp1BaseProdCapacity</f>
        <v>3.9139453874153608E-2</v>
      </c>
      <c r="L1231" s="452">
        <f>calcR2LOB2Clinician3Disc1Emp1BaseProd/calcR2LOB2Emp1BaseProdCapacity</f>
        <v>4.9453436498696692E-2</v>
      </c>
      <c r="M1231" s="452">
        <f>calcR2LOB2Clinician3Disc1Emp1BaseProd/calcR2LOB2Emp1BaseProdCapacity</f>
        <v>3.1278305237161227E-2</v>
      </c>
      <c r="N1231" s="131" t="s">
        <v>6745</v>
      </c>
    </row>
    <row r="1232" spans="1:14" ht="12.75" customHeight="1">
      <c r="A1232" s="478"/>
      <c r="B1232" s="459"/>
      <c r="C1232" s="170">
        <v>4</v>
      </c>
      <c r="D1232" s="131" t="s">
        <v>550</v>
      </c>
      <c r="E1232" s="452">
        <f>calcLOB2Clinician4Disc1Emp1BaseProd/calcLOB2Emp1BaseProdCapacity</f>
        <v>3.7021574913550688E-2</v>
      </c>
      <c r="F1232" s="452">
        <f>calcLOB2Clinician4Disc1Emp1BaseProd/calcLOB2Emp1BaseProdCapacity</f>
        <v>4.8423156571640515E-2</v>
      </c>
      <c r="G1232" s="452">
        <f>calcLOB2Clinician4Disc1Emp1BaseProd/calcLOB2Emp1BaseProdCapacity</f>
        <v>3.0626673878053706E-2</v>
      </c>
      <c r="H1232" s="131" t="s">
        <v>2313</v>
      </c>
      <c r="J1232" s="131" t="s">
        <v>550</v>
      </c>
      <c r="K1232" s="452">
        <f>calcR2LOB2Clinician4Disc1Emp1BaseProd/calcR2LOB2Emp1BaseProdCapacity</f>
        <v>3.8324048585108746E-2</v>
      </c>
      <c r="L1232" s="452">
        <f>calcR2LOB2Clinician4Disc1Emp1BaseProd/calcR2LOB2Emp1BaseProdCapacity</f>
        <v>4.8423156571640515E-2</v>
      </c>
      <c r="M1232" s="452">
        <f>calcR2LOB2Clinician4Disc1Emp1BaseProd/calcR2LOB2Emp1BaseProdCapacity</f>
        <v>3.0626673878053706E-2</v>
      </c>
      <c r="N1232" s="131" t="s">
        <v>6746</v>
      </c>
    </row>
    <row r="1233" spans="1:14" ht="12.75" customHeight="1">
      <c r="A1233" s="478"/>
      <c r="B1233" s="459"/>
      <c r="C1233" s="170">
        <v>5</v>
      </c>
      <c r="D1233" s="131" t="s">
        <v>550</v>
      </c>
      <c r="E1233" s="452">
        <f>calcLOB2Clinician5Disc1Emp1BaseProd/calcLOB2Emp1BaseProdCapacity</f>
        <v>0</v>
      </c>
      <c r="F1233" s="452">
        <f>calcLOB2Clinician5Disc1Emp1BaseProd/calcLOB2Emp1BaseProdCapacity</f>
        <v>0</v>
      </c>
      <c r="G1233" s="452">
        <f>calcLOB2Clinician5Disc1Emp1BaseProd/calcLOB2Emp1BaseProdCapacity</f>
        <v>0</v>
      </c>
      <c r="H1233" s="131" t="s">
        <v>2314</v>
      </c>
      <c r="J1233" s="131" t="s">
        <v>550</v>
      </c>
      <c r="K1233" s="452">
        <f>calcR2LOB2Clinician5Disc1Emp1BaseProd/calcR2LOB2Emp1BaseProdCapacity</f>
        <v>0</v>
      </c>
      <c r="L1233" s="452">
        <f>calcR2LOB2Clinician5Disc1Emp1BaseProd/calcR2LOB2Emp1BaseProdCapacity</f>
        <v>0</v>
      </c>
      <c r="M1233" s="452">
        <f>calcR2LOB2Clinician5Disc1Emp1BaseProd/calcR2LOB2Emp1BaseProdCapacity</f>
        <v>0</v>
      </c>
      <c r="N1233" s="131" t="s">
        <v>6747</v>
      </c>
    </row>
    <row r="1234" spans="1:14" ht="12.75" customHeight="1">
      <c r="A1234" s="478"/>
      <c r="B1234" s="459"/>
      <c r="C1234" s="170">
        <v>6</v>
      </c>
      <c r="D1234" s="131" t="s">
        <v>550</v>
      </c>
      <c r="E1234" s="452">
        <f>calcLOB2Clinician6Disc1Emp1BaseProd/calcLOB2Emp1BaseProdCapacity</f>
        <v>0</v>
      </c>
      <c r="F1234" s="452">
        <f>calcLOB2Clinician6Disc1Emp1BaseProd/calcLOB2Emp1BaseProdCapacity</f>
        <v>0</v>
      </c>
      <c r="G1234" s="452">
        <f>calcLOB2Clinician6Disc1Emp1BaseProd/calcLOB2Emp1BaseProdCapacity</f>
        <v>0</v>
      </c>
      <c r="H1234" s="131" t="s">
        <v>2315</v>
      </c>
      <c r="J1234" s="131" t="s">
        <v>550</v>
      </c>
      <c r="K1234" s="452">
        <f>calcR2LOB2Clinician6Disc1Emp1BaseProd/calcR2LOB2Emp1BaseProdCapacity</f>
        <v>0</v>
      </c>
      <c r="L1234" s="452">
        <f>calcR2LOB2Clinician6Disc1Emp1BaseProd/calcR2LOB2Emp1BaseProdCapacity</f>
        <v>0</v>
      </c>
      <c r="M1234" s="452">
        <f>calcR2LOB2Clinician6Disc1Emp1BaseProd/calcR2LOB2Emp1BaseProdCapacity</f>
        <v>0</v>
      </c>
      <c r="N1234" s="131" t="s">
        <v>6748</v>
      </c>
    </row>
    <row r="1235" spans="1:14" ht="12.75" customHeight="1">
      <c r="A1235" s="478"/>
      <c r="B1235" s="459"/>
      <c r="C1235" s="170">
        <v>7</v>
      </c>
      <c r="D1235" s="131" t="s">
        <v>550</v>
      </c>
      <c r="E1235" s="452">
        <f>calcLOB2Clinician7Disc1Emp1BaseProd/calcLOB2Emp1BaseProdCapacity</f>
        <v>0</v>
      </c>
      <c r="F1235" s="452">
        <f>calcLOB2Clinician7Disc1Emp1BaseProd/calcLOB2Emp1BaseProdCapacity</f>
        <v>0</v>
      </c>
      <c r="G1235" s="452">
        <f>calcLOB2Clinician7Disc1Emp1BaseProd/calcLOB2Emp1BaseProdCapacity</f>
        <v>0</v>
      </c>
      <c r="H1235" s="131" t="s">
        <v>2316</v>
      </c>
      <c r="J1235" s="131" t="s">
        <v>550</v>
      </c>
      <c r="K1235" s="452">
        <f>calcR2LOB2Clinician7Disc1Emp1BaseProd/calcR2LOB2Emp1BaseProdCapacity</f>
        <v>0</v>
      </c>
      <c r="L1235" s="452">
        <f>calcR2LOB2Clinician7Disc1Emp1BaseProd/calcR2LOB2Emp1BaseProdCapacity</f>
        <v>0</v>
      </c>
      <c r="M1235" s="452">
        <f>calcR2LOB2Clinician7Disc1Emp1BaseProd/calcR2LOB2Emp1BaseProdCapacity</f>
        <v>0</v>
      </c>
      <c r="N1235" s="131" t="s">
        <v>6749</v>
      </c>
    </row>
    <row r="1236" spans="1:14" ht="12.75" customHeight="1">
      <c r="A1236" s="478"/>
      <c r="B1236" s="459"/>
      <c r="C1236" s="170">
        <v>8</v>
      </c>
      <c r="D1236" s="131" t="s">
        <v>550</v>
      </c>
      <c r="E1236" s="452">
        <f>calcLOB2Clinician8Disc1Emp1BaseProd/calcLOB2Emp1BaseProdCapacity</f>
        <v>0</v>
      </c>
      <c r="F1236" s="452">
        <f>calcLOB2Clinician8Disc1Emp1BaseProd/calcLOB2Emp1BaseProdCapacity</f>
        <v>0</v>
      </c>
      <c r="G1236" s="452">
        <f>calcLOB2Clinician8Disc1Emp1BaseProd/calcLOB2Emp1BaseProdCapacity</f>
        <v>0</v>
      </c>
      <c r="H1236" s="131" t="s">
        <v>2317</v>
      </c>
      <c r="J1236" s="131" t="s">
        <v>550</v>
      </c>
      <c r="K1236" s="452">
        <f>calcR2LOB2Clinician8Disc1Emp1BaseProd/calcR2LOB2Emp1BaseProdCapacity</f>
        <v>0</v>
      </c>
      <c r="L1236" s="452">
        <f>calcR2LOB2Clinician8Disc1Emp1BaseProd/calcR2LOB2Emp1BaseProdCapacity</f>
        <v>0</v>
      </c>
      <c r="M1236" s="452">
        <f>calcR2LOB2Clinician8Disc1Emp1BaseProd/calcR2LOB2Emp1BaseProdCapacity</f>
        <v>0</v>
      </c>
      <c r="N1236" s="131" t="s">
        <v>6750</v>
      </c>
    </row>
    <row r="1237" spans="1:14" ht="12.75" customHeight="1">
      <c r="A1237" s="478"/>
      <c r="B1237" s="459"/>
      <c r="C1237" s="170">
        <v>9</v>
      </c>
      <c r="D1237" s="131" t="s">
        <v>550</v>
      </c>
      <c r="E1237" s="452">
        <f>calcLOB2Clinician9Disc1Emp1BaseProd/calcLOB2Emp1BaseProdCapacity</f>
        <v>0</v>
      </c>
      <c r="F1237" s="452">
        <f>calcLOB2Clinician9Disc1Emp1BaseProd/calcLOB2Emp1BaseProdCapacity</f>
        <v>0</v>
      </c>
      <c r="G1237" s="452">
        <f>calcLOB2Clinician9Disc1Emp1BaseProd/calcLOB2Emp1BaseProdCapacity</f>
        <v>0</v>
      </c>
      <c r="H1237" s="131" t="s">
        <v>2318</v>
      </c>
      <c r="J1237" s="131" t="s">
        <v>550</v>
      </c>
      <c r="K1237" s="452">
        <f>calcR2LOB2Clinician9Disc1Emp1BaseProd/calcR2LOB2Emp1BaseProdCapacity</f>
        <v>0</v>
      </c>
      <c r="L1237" s="452">
        <f>calcR2LOB2Clinician9Disc1Emp1BaseProd/calcR2LOB2Emp1BaseProdCapacity</f>
        <v>0</v>
      </c>
      <c r="M1237" s="452">
        <f>calcR2LOB2Clinician9Disc1Emp1BaseProd/calcR2LOB2Emp1BaseProdCapacity</f>
        <v>0</v>
      </c>
      <c r="N1237" s="131" t="s">
        <v>6751</v>
      </c>
    </row>
    <row r="1238" spans="1:14" ht="12.75" customHeight="1">
      <c r="A1238" s="478"/>
      <c r="B1238" s="459"/>
      <c r="C1238" s="170">
        <v>10</v>
      </c>
      <c r="D1238" s="131" t="s">
        <v>550</v>
      </c>
      <c r="E1238" s="452">
        <f>calcLOB2Clinician10Disc1Emp1BaseProd/calcLOB2Emp1BaseProdCapacity</f>
        <v>0</v>
      </c>
      <c r="F1238" s="452">
        <f>calcLOB2Clinician10Disc1Emp1BaseProd/calcLOB2Emp1BaseProdCapacity</f>
        <v>0</v>
      </c>
      <c r="G1238" s="452">
        <f>calcLOB2Clinician10Disc1Emp1BaseProd/calcLOB2Emp1BaseProdCapacity</f>
        <v>0</v>
      </c>
      <c r="H1238" s="131" t="s">
        <v>2319</v>
      </c>
      <c r="J1238" s="131" t="s">
        <v>550</v>
      </c>
      <c r="K1238" s="452">
        <f>calcR2LOB2Clinician10Disc1Emp1BaseProd/calcR2LOB2Emp1BaseProdCapacity</f>
        <v>0</v>
      </c>
      <c r="L1238" s="452">
        <f>calcR2LOB2Clinician10Disc1Emp1BaseProd/calcR2LOB2Emp1BaseProdCapacity</f>
        <v>0</v>
      </c>
      <c r="M1238" s="452">
        <f>calcR2LOB2Clinician10Disc1Emp1BaseProd/calcR2LOB2Emp1BaseProdCapacity</f>
        <v>0</v>
      </c>
      <c r="N1238" s="131" t="s">
        <v>6752</v>
      </c>
    </row>
    <row r="1239" spans="1:14" ht="12.75" customHeight="1">
      <c r="A1239" s="478"/>
      <c r="B1239" s="459"/>
      <c r="C1239" s="170">
        <v>11</v>
      </c>
      <c r="D1239" s="131" t="s">
        <v>550</v>
      </c>
      <c r="E1239" s="452">
        <f>calcLOB2Clinician11Disc1Emp1BaseProd/calcLOB2Emp1BaseProdCapacity</f>
        <v>0</v>
      </c>
      <c r="F1239" s="452">
        <f>calcLOB2Clinician11Disc1Emp1BaseProd/calcLOB2Emp1BaseProdCapacity</f>
        <v>0</v>
      </c>
      <c r="G1239" s="452">
        <f>calcLOB2Clinician11Disc1Emp1BaseProd/calcLOB2Emp1BaseProdCapacity</f>
        <v>0</v>
      </c>
      <c r="H1239" s="131" t="s">
        <v>2320</v>
      </c>
      <c r="J1239" s="131" t="s">
        <v>550</v>
      </c>
      <c r="K1239" s="452">
        <f>calcR2LOB2Clinician11Disc1Emp1BaseProd/calcR2LOB2Emp1BaseProdCapacity</f>
        <v>0</v>
      </c>
      <c r="L1239" s="452">
        <f>calcR2LOB2Clinician11Disc1Emp1BaseProd/calcR2LOB2Emp1BaseProdCapacity</f>
        <v>0</v>
      </c>
      <c r="M1239" s="452">
        <f>calcR2LOB2Clinician11Disc1Emp1BaseProd/calcR2LOB2Emp1BaseProdCapacity</f>
        <v>0</v>
      </c>
      <c r="N1239" s="131" t="s">
        <v>6753</v>
      </c>
    </row>
    <row r="1240" spans="1:14" ht="12.75" customHeight="1">
      <c r="A1240" s="478"/>
      <c r="B1240" s="459"/>
      <c r="C1240" s="170">
        <v>12</v>
      </c>
      <c r="D1240" s="131" t="s">
        <v>550</v>
      </c>
      <c r="E1240" s="452">
        <f>calcLOB2Clinician12Disc1Emp1BaseProd/calcLOB2Emp1BaseProdCapacity</f>
        <v>0</v>
      </c>
      <c r="F1240" s="452">
        <f>calcLOB2Clinician12Disc1Emp1BaseProd/calcLOB2Emp1BaseProdCapacity</f>
        <v>0</v>
      </c>
      <c r="G1240" s="452">
        <f>calcLOB2Clinician12Disc1Emp1BaseProd/calcLOB2Emp1BaseProdCapacity</f>
        <v>0</v>
      </c>
      <c r="H1240" s="131" t="s">
        <v>2321</v>
      </c>
      <c r="J1240" s="131" t="s">
        <v>550</v>
      </c>
      <c r="K1240" s="452">
        <f>calcR2LOB2Clinician12Disc1Emp1BaseProd/calcR2LOB2Emp1BaseProdCapacity</f>
        <v>0</v>
      </c>
      <c r="L1240" s="452">
        <f>calcR2LOB2Clinician12Disc1Emp1BaseProd/calcR2LOB2Emp1BaseProdCapacity</f>
        <v>0</v>
      </c>
      <c r="M1240" s="452">
        <f>calcR2LOB2Clinician12Disc1Emp1BaseProd/calcR2LOB2Emp1BaseProdCapacity</f>
        <v>0</v>
      </c>
      <c r="N1240" s="131" t="s">
        <v>6754</v>
      </c>
    </row>
    <row r="1241" spans="1:14" ht="12.75" customHeight="1">
      <c r="A1241" s="478"/>
      <c r="B1241" s="459"/>
      <c r="D1241" s="131" t="s">
        <v>550</v>
      </c>
      <c r="E1241" s="452">
        <f>calcLOB2Clinician13Disc1Emp1BaseProd/calcLOB2Emp1BaseProdCapacity</f>
        <v>0.27988310634644314</v>
      </c>
      <c r="F1241" s="452">
        <f>calcLOB2Clinician13Disc1Emp1BaseProd/calcLOB2Emp1BaseProdCapacity</f>
        <v>0.2905389394298431</v>
      </c>
      <c r="G1241" s="452">
        <f>calcLOB2Clinician13Disc1Emp1BaseProd/calcLOB2Emp1BaseProdCapacity</f>
        <v>0.36752008653664447</v>
      </c>
      <c r="H1241" s="131" t="s">
        <v>4101</v>
      </c>
      <c r="J1241" s="131" t="s">
        <v>550</v>
      </c>
      <c r="K1241" s="452">
        <f>calcR2LOB2Clinician13Disc1Emp1BaseProd/calcR2LOB2Emp1BaseProdCapacity</f>
        <v>0.27524331693825099</v>
      </c>
      <c r="L1241" s="452">
        <f>calcR2LOB2Clinician13Disc1Emp1BaseProd/calcR2LOB2Emp1BaseProdCapacity</f>
        <v>0.2905389394298431</v>
      </c>
      <c r="M1241" s="452">
        <f>calcR2LOB2Clinician13Disc1Emp1BaseProd/calcR2LOB2Emp1BaseProdCapacity</f>
        <v>0.36752008653664447</v>
      </c>
      <c r="N1241" s="131" t="s">
        <v>6755</v>
      </c>
    </row>
    <row r="1242" spans="1:14" ht="12.75" customHeight="1">
      <c r="A1242" s="478"/>
      <c r="B1242" s="459"/>
      <c r="C1242" s="170">
        <v>1</v>
      </c>
      <c r="D1242" s="131" t="s">
        <v>554</v>
      </c>
      <c r="E1242" s="452">
        <f>calcLOB2Clinician1Disc2Emp1BaseProd/calcLOB2Emp1BaseProdCapacity</f>
        <v>0</v>
      </c>
      <c r="F1242" s="452">
        <f>calcLOB2Clinician1Disc2Emp1BaseProd/calcLOB2Emp1BaseProdCapacity</f>
        <v>0</v>
      </c>
      <c r="G1242" s="452">
        <f>calcLOB2Clinician1Disc2Emp1BaseProd/calcLOB2Emp1BaseProdCapacity</f>
        <v>0</v>
      </c>
      <c r="H1242" s="131" t="s">
        <v>2322</v>
      </c>
      <c r="J1242" s="131" t="s">
        <v>554</v>
      </c>
      <c r="K1242" s="452">
        <f>calcR2LOB2Clinician1Disc2Emp1BaseProd/calcR2LOB2Emp1BaseProdCapacity</f>
        <v>0</v>
      </c>
      <c r="L1242" s="452">
        <f>calcR2LOB2Clinician1Disc2Emp1BaseProd/calcR2LOB2Emp1BaseProdCapacity</f>
        <v>0</v>
      </c>
      <c r="M1242" s="452">
        <f>calcR2LOB2Clinician1Disc2Emp1BaseProd/calcR2LOB2Emp1BaseProdCapacity</f>
        <v>0</v>
      </c>
      <c r="N1242" s="131" t="s">
        <v>6756</v>
      </c>
    </row>
    <row r="1243" spans="1:14" ht="12.75" customHeight="1">
      <c r="A1243" s="478"/>
      <c r="B1243" s="459"/>
      <c r="C1243" s="170">
        <v>2</v>
      </c>
      <c r="D1243" s="131" t="s">
        <v>554</v>
      </c>
      <c r="E1243" s="452">
        <f>calcLOB2Clinician2Disc2Emp1BaseProd/calcLOB2Emp1BaseProdCapacity</f>
        <v>0</v>
      </c>
      <c r="F1243" s="452">
        <f>calcLOB2Clinician2Disc2Emp1BaseProd/calcLOB2Emp1BaseProdCapacity</f>
        <v>0</v>
      </c>
      <c r="G1243" s="452">
        <f>calcLOB2Clinician2Disc2Emp1BaseProd/calcLOB2Emp1BaseProdCapacity</f>
        <v>0</v>
      </c>
      <c r="H1243" s="131" t="s">
        <v>2323</v>
      </c>
      <c r="J1243" s="131" t="s">
        <v>554</v>
      </c>
      <c r="K1243" s="452">
        <f>calcR2LOB2Clinician2Disc2Emp1BaseProd/calcR2LOB2Emp1BaseProdCapacity</f>
        <v>0</v>
      </c>
      <c r="L1243" s="452">
        <f>calcR2LOB2Clinician2Disc2Emp1BaseProd/calcR2LOB2Emp1BaseProdCapacity</f>
        <v>0</v>
      </c>
      <c r="M1243" s="452">
        <f>calcR2LOB2Clinician2Disc2Emp1BaseProd/calcR2LOB2Emp1BaseProdCapacity</f>
        <v>0</v>
      </c>
      <c r="N1243" s="131" t="s">
        <v>6757</v>
      </c>
    </row>
    <row r="1244" spans="1:14" ht="12.75" customHeight="1">
      <c r="A1244" s="478"/>
      <c r="B1244" s="459"/>
      <c r="C1244" s="170">
        <v>3</v>
      </c>
      <c r="D1244" s="131" t="s">
        <v>554</v>
      </c>
      <c r="E1244" s="452">
        <f>calcLOB2Clinician3Disc2Emp1BaseProd/calcLOB2Emp1BaseProdCapacity</f>
        <v>0</v>
      </c>
      <c r="F1244" s="452">
        <f>calcLOB2Clinician3Disc2Emp1BaseProd/calcLOB2Emp1BaseProdCapacity</f>
        <v>0</v>
      </c>
      <c r="G1244" s="452">
        <f>calcLOB2Clinician3Disc2Emp1BaseProd/calcLOB2Emp1BaseProdCapacity</f>
        <v>0</v>
      </c>
      <c r="H1244" s="131" t="s">
        <v>2324</v>
      </c>
      <c r="J1244" s="131" t="s">
        <v>554</v>
      </c>
      <c r="K1244" s="452">
        <f>calcR2LOB2Clinician3Disc2Emp1BaseProd/calcR2LOB2Emp1BaseProdCapacity</f>
        <v>0</v>
      </c>
      <c r="L1244" s="452">
        <f>calcR2LOB2Clinician3Disc2Emp1BaseProd/calcR2LOB2Emp1BaseProdCapacity</f>
        <v>0</v>
      </c>
      <c r="M1244" s="452">
        <f>calcR2LOB2Clinician3Disc2Emp1BaseProd/calcR2LOB2Emp1BaseProdCapacity</f>
        <v>0</v>
      </c>
      <c r="N1244" s="131" t="s">
        <v>6758</v>
      </c>
    </row>
    <row r="1245" spans="1:14" ht="12.75" customHeight="1">
      <c r="A1245" s="478"/>
      <c r="B1245" s="459"/>
      <c r="C1245" s="170">
        <v>4</v>
      </c>
      <c r="D1245" s="131" t="s">
        <v>554</v>
      </c>
      <c r="E1245" s="452">
        <f>calcLOB2Clinician4Disc2Emp1BaseProd/calcLOB2Emp1BaseProdCapacity</f>
        <v>0</v>
      </c>
      <c r="F1245" s="452">
        <f>calcLOB2Clinician4Disc2Emp1BaseProd/calcLOB2Emp1BaseProdCapacity</f>
        <v>0</v>
      </c>
      <c r="G1245" s="452">
        <f>calcLOB2Clinician4Disc2Emp1BaseProd/calcLOB2Emp1BaseProdCapacity</f>
        <v>0</v>
      </c>
      <c r="H1245" s="131" t="s">
        <v>2325</v>
      </c>
      <c r="J1245" s="131" t="s">
        <v>554</v>
      </c>
      <c r="K1245" s="452">
        <f>calcR2LOB2Clinician4Disc2Emp1BaseProd/calcR2LOB2Emp1BaseProdCapacity</f>
        <v>0</v>
      </c>
      <c r="L1245" s="452">
        <f>calcR2LOB2Clinician4Disc2Emp1BaseProd/calcR2LOB2Emp1BaseProdCapacity</f>
        <v>0</v>
      </c>
      <c r="M1245" s="452">
        <f>calcR2LOB2Clinician4Disc2Emp1BaseProd/calcR2LOB2Emp1BaseProdCapacity</f>
        <v>0</v>
      </c>
      <c r="N1245" s="131" t="s">
        <v>6759</v>
      </c>
    </row>
    <row r="1246" spans="1:14" ht="12.75" customHeight="1">
      <c r="A1246" s="478"/>
      <c r="B1246" s="459"/>
      <c r="C1246" s="170">
        <v>5</v>
      </c>
      <c r="D1246" s="131" t="s">
        <v>554</v>
      </c>
      <c r="E1246" s="452">
        <f>calcLOB2Clinician5Disc2Emp1BaseProd/calcLOB2Emp1BaseProdCapacity</f>
        <v>6.1085598607358627E-2</v>
      </c>
      <c r="F1246" s="452">
        <f>calcLOB2Clinician5Disc2Emp1BaseProd/calcLOB2Emp1BaseProdCapacity</f>
        <v>7.989820834320685E-2</v>
      </c>
      <c r="G1246" s="452">
        <f>calcLOB2Clinician5Disc2Emp1BaseProd/calcLOB2Emp1BaseProdCapacity</f>
        <v>5.053401189878861E-2</v>
      </c>
      <c r="H1246" s="131" t="s">
        <v>2326</v>
      </c>
      <c r="J1246" s="131" t="s">
        <v>554</v>
      </c>
      <c r="K1246" s="452">
        <f>calcR2LOB2Clinician5Disc2Emp1BaseProd/calcR2LOB2Emp1BaseProdCapacity</f>
        <v>6.3234680165429422E-2</v>
      </c>
      <c r="L1246" s="452">
        <f>calcR2LOB2Clinician5Disc2Emp1BaseProd/calcR2LOB2Emp1BaseProdCapacity</f>
        <v>7.989820834320685E-2</v>
      </c>
      <c r="M1246" s="452">
        <f>calcR2LOB2Clinician5Disc2Emp1BaseProd/calcR2LOB2Emp1BaseProdCapacity</f>
        <v>5.053401189878861E-2</v>
      </c>
      <c r="N1246" s="131" t="s">
        <v>6760</v>
      </c>
    </row>
    <row r="1247" spans="1:14" ht="12.75" customHeight="1">
      <c r="A1247" s="478"/>
      <c r="B1247" s="459"/>
      <c r="C1247" s="170">
        <v>6</v>
      </c>
      <c r="D1247" s="131" t="s">
        <v>554</v>
      </c>
      <c r="E1247" s="452">
        <f>calcLOB2Clinician6Disc2Emp1BaseProd/calcLOB2Emp1BaseProdCapacity</f>
        <v>6.2196245854765152E-2</v>
      </c>
      <c r="F1247" s="452">
        <f>calcLOB2Clinician6Disc2Emp1BaseProd/calcLOB2Emp1BaseProdCapacity</f>
        <v>8.1350903040356068E-2</v>
      </c>
      <c r="G1247" s="452">
        <f>calcLOB2Clinician6Disc2Emp1BaseProd/calcLOB2Emp1BaseProdCapacity</f>
        <v>5.1452812115130225E-2</v>
      </c>
      <c r="H1247" s="131" t="s">
        <v>2327</v>
      </c>
      <c r="J1247" s="131" t="s">
        <v>554</v>
      </c>
      <c r="K1247" s="452">
        <f>calcR2LOB2Clinician6Disc2Emp1BaseProd/calcR2LOB2Emp1BaseProdCapacity</f>
        <v>6.4384401622982687E-2</v>
      </c>
      <c r="L1247" s="452">
        <f>calcR2LOB2Clinician6Disc2Emp1BaseProd/calcR2LOB2Emp1BaseProdCapacity</f>
        <v>8.1350903040356068E-2</v>
      </c>
      <c r="M1247" s="452">
        <f>calcR2LOB2Clinician6Disc2Emp1BaseProd/calcR2LOB2Emp1BaseProdCapacity</f>
        <v>5.1452812115130225E-2</v>
      </c>
      <c r="N1247" s="131" t="s">
        <v>6761</v>
      </c>
    </row>
    <row r="1248" spans="1:14" ht="12.75" customHeight="1">
      <c r="A1248" s="478"/>
      <c r="B1248" s="459"/>
      <c r="C1248" s="170">
        <v>7</v>
      </c>
      <c r="D1248" s="131" t="s">
        <v>554</v>
      </c>
      <c r="E1248" s="452">
        <f>calcLOB2Clinician7Disc2Emp1BaseProd/calcLOB2Emp1BaseProdCapacity</f>
        <v>0</v>
      </c>
      <c r="F1248" s="452">
        <f>calcLOB2Clinician7Disc2Emp1BaseProd/calcLOB2Emp1BaseProdCapacity</f>
        <v>0</v>
      </c>
      <c r="G1248" s="452">
        <f>calcLOB2Clinician7Disc2Emp1BaseProd/calcLOB2Emp1BaseProdCapacity</f>
        <v>0</v>
      </c>
      <c r="H1248" s="131" t="s">
        <v>2328</v>
      </c>
      <c r="J1248" s="131" t="s">
        <v>554</v>
      </c>
      <c r="K1248" s="452">
        <f>calcR2LOB2Clinician7Disc2Emp1BaseProd/calcR2LOB2Emp1BaseProdCapacity</f>
        <v>0</v>
      </c>
      <c r="L1248" s="452">
        <f>calcR2LOB2Clinician7Disc2Emp1BaseProd/calcR2LOB2Emp1BaseProdCapacity</f>
        <v>0</v>
      </c>
      <c r="M1248" s="452">
        <f>calcR2LOB2Clinician7Disc2Emp1BaseProd/calcR2LOB2Emp1BaseProdCapacity</f>
        <v>0</v>
      </c>
      <c r="N1248" s="131" t="s">
        <v>6762</v>
      </c>
    </row>
    <row r="1249" spans="1:14" ht="12.75" customHeight="1">
      <c r="A1249" s="478"/>
      <c r="B1249" s="459"/>
      <c r="C1249" s="170">
        <v>8</v>
      </c>
      <c r="D1249" s="131" t="s">
        <v>554</v>
      </c>
      <c r="E1249" s="452">
        <f>calcLOB2Clinician8Disc2Emp1BaseProd/calcLOB2Emp1BaseProdCapacity</f>
        <v>0</v>
      </c>
      <c r="F1249" s="452">
        <f>calcLOB2Clinician8Disc2Emp1BaseProd/calcLOB2Emp1BaseProdCapacity</f>
        <v>0</v>
      </c>
      <c r="G1249" s="452">
        <f>calcLOB2Clinician8Disc2Emp1BaseProd/calcLOB2Emp1BaseProdCapacity</f>
        <v>0</v>
      </c>
      <c r="H1249" s="131" t="s">
        <v>2329</v>
      </c>
      <c r="J1249" s="131" t="s">
        <v>554</v>
      </c>
      <c r="K1249" s="452">
        <f>calcR2LOB2Clinician8Disc2Emp1BaseProd/calcR2LOB2Emp1BaseProdCapacity</f>
        <v>0</v>
      </c>
      <c r="L1249" s="452">
        <f>calcR2LOB2Clinician8Disc2Emp1BaseProd/calcR2LOB2Emp1BaseProdCapacity</f>
        <v>0</v>
      </c>
      <c r="M1249" s="452">
        <f>calcR2LOB2Clinician8Disc2Emp1BaseProd/calcR2LOB2Emp1BaseProdCapacity</f>
        <v>0</v>
      </c>
      <c r="N1249" s="131" t="s">
        <v>6763</v>
      </c>
    </row>
    <row r="1250" spans="1:14" ht="12.75" customHeight="1">
      <c r="A1250" s="478"/>
      <c r="B1250" s="459"/>
      <c r="C1250" s="170">
        <v>9</v>
      </c>
      <c r="D1250" s="131" t="s">
        <v>554</v>
      </c>
      <c r="E1250" s="452">
        <f>calcLOB2Clinician9Disc2Emp1BaseProd/calcLOB2Emp1BaseProdCapacity</f>
        <v>0</v>
      </c>
      <c r="F1250" s="452">
        <f>calcLOB2Clinician9Disc2Emp1BaseProd/calcLOB2Emp1BaseProdCapacity</f>
        <v>0</v>
      </c>
      <c r="G1250" s="452">
        <f>calcLOB2Clinician9Disc2Emp1BaseProd/calcLOB2Emp1BaseProdCapacity</f>
        <v>0</v>
      </c>
      <c r="H1250" s="131" t="s">
        <v>2330</v>
      </c>
      <c r="J1250" s="131" t="s">
        <v>554</v>
      </c>
      <c r="K1250" s="452">
        <f>calcR2LOB2Clinician9Disc2Emp1BaseProd/calcR2LOB2Emp1BaseProdCapacity</f>
        <v>0</v>
      </c>
      <c r="L1250" s="452">
        <f>calcR2LOB2Clinician9Disc2Emp1BaseProd/calcR2LOB2Emp1BaseProdCapacity</f>
        <v>0</v>
      </c>
      <c r="M1250" s="452">
        <f>calcR2LOB2Clinician9Disc2Emp1BaseProd/calcR2LOB2Emp1BaseProdCapacity</f>
        <v>0</v>
      </c>
      <c r="N1250" s="131" t="s">
        <v>6764</v>
      </c>
    </row>
    <row r="1251" spans="1:14" ht="12.75" customHeight="1">
      <c r="A1251" s="478"/>
      <c r="B1251" s="459"/>
      <c r="C1251" s="170">
        <v>10</v>
      </c>
      <c r="D1251" s="131" t="s">
        <v>554</v>
      </c>
      <c r="E1251" s="452">
        <f>calcLOB2Clinician10Disc2Emp1BaseProd/calcLOB2Emp1BaseProdCapacity</f>
        <v>0</v>
      </c>
      <c r="F1251" s="452">
        <f>calcLOB2Clinician10Disc2Emp1BaseProd/calcLOB2Emp1BaseProdCapacity</f>
        <v>0</v>
      </c>
      <c r="G1251" s="452">
        <f>calcLOB2Clinician10Disc2Emp1BaseProd/calcLOB2Emp1BaseProdCapacity</f>
        <v>0</v>
      </c>
      <c r="H1251" s="131" t="s">
        <v>2331</v>
      </c>
      <c r="J1251" s="131" t="s">
        <v>554</v>
      </c>
      <c r="K1251" s="452">
        <f>calcR2LOB2Clinician10Disc2Emp1BaseProd/calcR2LOB2Emp1BaseProdCapacity</f>
        <v>0</v>
      </c>
      <c r="L1251" s="452">
        <f>calcR2LOB2Clinician10Disc2Emp1BaseProd/calcR2LOB2Emp1BaseProdCapacity</f>
        <v>0</v>
      </c>
      <c r="M1251" s="452">
        <f>calcR2LOB2Clinician10Disc2Emp1BaseProd/calcR2LOB2Emp1BaseProdCapacity</f>
        <v>0</v>
      </c>
      <c r="N1251" s="131" t="s">
        <v>6765</v>
      </c>
    </row>
    <row r="1252" spans="1:14" ht="12.75" customHeight="1">
      <c r="A1252" s="478"/>
      <c r="B1252" s="459"/>
      <c r="C1252" s="170">
        <v>11</v>
      </c>
      <c r="D1252" s="131" t="s">
        <v>554</v>
      </c>
      <c r="E1252" s="452">
        <f>calcLOB2Clinician11Disc2Emp1BaseProd/calcLOB2Emp1BaseProdCapacity</f>
        <v>0</v>
      </c>
      <c r="F1252" s="452">
        <f>calcLOB2Clinician11Disc2Emp1BaseProd/calcLOB2Emp1BaseProdCapacity</f>
        <v>0</v>
      </c>
      <c r="G1252" s="452">
        <f>calcLOB2Clinician11Disc2Emp1BaseProd/calcLOB2Emp1BaseProdCapacity</f>
        <v>0</v>
      </c>
      <c r="H1252" s="131" t="s">
        <v>2332</v>
      </c>
      <c r="J1252" s="131" t="s">
        <v>554</v>
      </c>
      <c r="K1252" s="452">
        <f>calcR2LOB2Clinician11Disc2Emp1BaseProd/calcR2LOB2Emp1BaseProdCapacity</f>
        <v>0</v>
      </c>
      <c r="L1252" s="452">
        <f>calcR2LOB2Clinician11Disc2Emp1BaseProd/calcR2LOB2Emp1BaseProdCapacity</f>
        <v>0</v>
      </c>
      <c r="M1252" s="452">
        <f>calcR2LOB2Clinician11Disc2Emp1BaseProd/calcR2LOB2Emp1BaseProdCapacity</f>
        <v>0</v>
      </c>
      <c r="N1252" s="131" t="s">
        <v>6766</v>
      </c>
    </row>
    <row r="1253" spans="1:14" ht="12.75" customHeight="1">
      <c r="A1253" s="478"/>
      <c r="B1253" s="459"/>
      <c r="C1253" s="170">
        <v>12</v>
      </c>
      <c r="D1253" s="131" t="s">
        <v>554</v>
      </c>
      <c r="E1253" s="452">
        <f>calcLOB2Clinician12Disc2Emp1BaseProd/calcLOB2Emp1BaseProdCapacity</f>
        <v>0</v>
      </c>
      <c r="F1253" s="452">
        <f>calcLOB2Clinician12Disc2Emp1BaseProd/calcLOB2Emp1BaseProdCapacity</f>
        <v>0</v>
      </c>
      <c r="G1253" s="452">
        <f>calcLOB2Clinician12Disc2Emp1BaseProd/calcLOB2Emp1BaseProdCapacity</f>
        <v>0</v>
      </c>
      <c r="H1253" s="131" t="s">
        <v>2333</v>
      </c>
      <c r="J1253" s="131" t="s">
        <v>554</v>
      </c>
      <c r="K1253" s="452">
        <f>calcR2LOB2Clinician12Disc2Emp1BaseProd/calcR2LOB2Emp1BaseProdCapacity</f>
        <v>0</v>
      </c>
      <c r="L1253" s="452">
        <f>calcR2LOB2Clinician12Disc2Emp1BaseProd/calcR2LOB2Emp1BaseProdCapacity</f>
        <v>0</v>
      </c>
      <c r="M1253" s="452">
        <f>calcR2LOB2Clinician12Disc2Emp1BaseProd/calcR2LOB2Emp1BaseProdCapacity</f>
        <v>0</v>
      </c>
      <c r="N1253" s="131" t="s">
        <v>6767</v>
      </c>
    </row>
    <row r="1254" spans="1:14" ht="12.75" customHeight="1">
      <c r="A1254" s="478"/>
      <c r="B1254" s="459"/>
      <c r="D1254" s="131" t="s">
        <v>554</v>
      </c>
      <c r="E1254" s="452">
        <f>calcLOB2Clinician14Disc2Emp1BaseProd/calcLOB2Emp1BaseProdCapacity</f>
        <v>0.39983300906634739</v>
      </c>
      <c r="F1254" s="452">
        <f>calcLOB2Clinician14Disc2Emp1BaseProd/calcLOB2Emp1BaseProdCapacity</f>
        <v>0.2905389394298431</v>
      </c>
      <c r="G1254" s="452">
        <f>calcLOB2Clinician14Disc2Emp1BaseProd/calcLOB2Emp1BaseProdCapacity</f>
        <v>0.36752008653664447</v>
      </c>
      <c r="H1254" s="131" t="s">
        <v>4102</v>
      </c>
      <c r="J1254" s="131" t="s">
        <v>554</v>
      </c>
      <c r="K1254" s="452">
        <f>calcR2LOB2Clinician14Disc2Emp1BaseProd/calcR2LOB2Emp1BaseProdCapacity</f>
        <v>0.39320473848321563</v>
      </c>
      <c r="L1254" s="452">
        <f>calcR2LOB2Clinician14Disc2Emp1BaseProd/calcR2LOB2Emp1BaseProdCapacity</f>
        <v>0.2905389394298431</v>
      </c>
      <c r="M1254" s="452">
        <f>calcR2LOB2Clinician14Disc2Emp1BaseProd/calcR2LOB2Emp1BaseProdCapacity</f>
        <v>0.36752008653664447</v>
      </c>
      <c r="N1254" s="131" t="s">
        <v>6768</v>
      </c>
    </row>
    <row r="1255" spans="1:14" ht="12.75" customHeight="1">
      <c r="A1255" s="478"/>
      <c r="B1255" s="459"/>
      <c r="C1255" s="131" t="s">
        <v>3589</v>
      </c>
    </row>
    <row r="1256" spans="1:14" ht="12.75" customHeight="1">
      <c r="A1256" s="478"/>
      <c r="B1256" s="459"/>
      <c r="C1256" s="170">
        <v>1</v>
      </c>
      <c r="D1256" s="131" t="s">
        <v>550</v>
      </c>
      <c r="E1256" s="453">
        <f>calcLOB2Emp1Visits/paramWorkWeeksPYear*calcLOB2Clinician1Disc1Emp1AllowPerc</f>
        <v>26.215051239435063</v>
      </c>
      <c r="F1256" s="453">
        <f>calcLOB2Emp1Visits/paramWorkWeeksPYear*calcLOB2Clinician1Disc1Emp1AllowPerc</f>
        <v>26.263557968700095</v>
      </c>
      <c r="G1256" s="453">
        <f>calcLOB2Emp1Visits/paramWorkWeeksPYear*calcLOB2Clinician1Disc1Emp1AllowPerc</f>
        <v>33.10699037540482</v>
      </c>
      <c r="H1256" s="131" t="s">
        <v>3590</v>
      </c>
      <c r="J1256" s="131" t="s">
        <v>550</v>
      </c>
      <c r="K1256" s="453">
        <f>calcR2LOB2Emp1Visits/paramR2WorkWeeksPYear*calcR2LOB2Clinician1Disc1Emp1AllowPerc</f>
        <v>28.292115683179166</v>
      </c>
      <c r="L1256" s="453">
        <f>calcR2LOB2Emp1Visits/paramR2WorkWeeksPYear*calcR2LOB2Clinician1Disc1Emp1AllowPerc</f>
        <v>26.263557968700095</v>
      </c>
      <c r="M1256" s="453">
        <f>calcR2LOB2Emp1Visits/paramR2WorkWeeksPYear*calcR2LOB2Clinician1Disc1Emp1AllowPerc</f>
        <v>33.10699037540482</v>
      </c>
      <c r="N1256" s="131" t="s">
        <v>6769</v>
      </c>
    </row>
    <row r="1257" spans="1:14" ht="12.75" customHeight="1">
      <c r="A1257" s="478"/>
      <c r="B1257" s="459"/>
      <c r="C1257" s="170">
        <v>2</v>
      </c>
      <c r="D1257" s="131" t="s">
        <v>550</v>
      </c>
      <c r="E1257" s="453">
        <f>calcLOB2Emp1Visits/paramWorkWeeksPYear*calcLOB2Clinician2Disc1Emp1AllowPerc</f>
        <v>27.185979063117845</v>
      </c>
      <c r="F1257" s="453">
        <f>calcLOB2Emp1Visits/paramWorkWeeksPYear*calcLOB2Clinician2Disc1Emp1AllowPerc</f>
        <v>27.236282337911213</v>
      </c>
      <c r="G1257" s="453">
        <f>calcLOB2Emp1Visits/paramWorkWeeksPYear*calcLOB2Clinician2Disc1Emp1AllowPerc</f>
        <v>34.333175204123521</v>
      </c>
      <c r="H1257" s="131" t="s">
        <v>3591</v>
      </c>
      <c r="J1257" s="131" t="s">
        <v>550</v>
      </c>
      <c r="K1257" s="453">
        <f>calcR2LOB2Emp1Visits/paramR2WorkWeeksPYear*calcR2LOB2Clinician2Disc1Emp1AllowPerc</f>
        <v>29.33997181959321</v>
      </c>
      <c r="L1257" s="453">
        <f>calcR2LOB2Emp1Visits/paramR2WorkWeeksPYear*calcR2LOB2Clinician2Disc1Emp1AllowPerc</f>
        <v>27.236282337911213</v>
      </c>
      <c r="M1257" s="453">
        <f>calcR2LOB2Emp1Visits/paramR2WorkWeeksPYear*calcR2LOB2Clinician2Disc1Emp1AllowPerc</f>
        <v>34.333175204123521</v>
      </c>
      <c r="N1257" s="131" t="s">
        <v>6770</v>
      </c>
    </row>
    <row r="1258" spans="1:14" ht="12.75" customHeight="1">
      <c r="A1258" s="478"/>
      <c r="B1258" s="459"/>
      <c r="C1258" s="170">
        <v>3</v>
      </c>
      <c r="D1258" s="131" t="s">
        <v>550</v>
      </c>
      <c r="E1258" s="453">
        <f>calcLOB2Emp1Visits/paramWorkWeeksPYear*calcLOB2Clinician3Disc1Emp1AllowPerc</f>
        <v>16.526431041409023</v>
      </c>
      <c r="F1258" s="453">
        <f>calcLOB2Emp1Visits/paramWorkWeeksPYear*calcLOB2Clinician3Disc1Emp1AllowPerc</f>
        <v>16.557010539763652</v>
      </c>
      <c r="G1258" s="453">
        <f>calcLOB2Emp1Visits/paramWorkWeeksPYear*calcLOB2Clinician3Disc1Emp1AllowPerc</f>
        <v>20.871231127126759</v>
      </c>
      <c r="H1258" s="131" t="s">
        <v>3592</v>
      </c>
      <c r="J1258" s="131" t="s">
        <v>550</v>
      </c>
      <c r="K1258" s="453">
        <f>calcR2LOB2Emp1Visits/paramR2WorkWeeksPYear*calcR2LOB2Clinician3Disc1Emp1AllowPerc</f>
        <v>17.835849130451798</v>
      </c>
      <c r="L1258" s="453">
        <f>calcR2LOB2Emp1Visits/paramR2WorkWeeksPYear*calcR2LOB2Clinician3Disc1Emp1AllowPerc</f>
        <v>16.557010539763652</v>
      </c>
      <c r="M1258" s="453">
        <f>calcR2LOB2Emp1Visits/paramR2WorkWeeksPYear*calcR2LOB2Clinician3Disc1Emp1AllowPerc</f>
        <v>20.871231127126759</v>
      </c>
      <c r="N1258" s="131" t="s">
        <v>6771</v>
      </c>
    </row>
    <row r="1259" spans="1:14" ht="12.75" customHeight="1">
      <c r="A1259" s="478"/>
      <c r="B1259" s="459"/>
      <c r="C1259" s="170">
        <v>4</v>
      </c>
      <c r="D1259" s="131" t="s">
        <v>550</v>
      </c>
      <c r="E1259" s="453">
        <f>calcLOB2Emp1Visits/paramWorkWeeksPYear*calcLOB2Clinician4Disc1Emp1AllowPerc</f>
        <v>16.182130394713006</v>
      </c>
      <c r="F1259" s="453">
        <f>calcLOB2Emp1Visits/paramWorkWeeksPYear*calcLOB2Clinician4Disc1Emp1AllowPerc</f>
        <v>16.212072820185245</v>
      </c>
      <c r="G1259" s="453">
        <f>calcLOB2Emp1Visits/paramWorkWeeksPYear*calcLOB2Clinician4Disc1Emp1AllowPerc</f>
        <v>20.436413811978287</v>
      </c>
      <c r="H1259" s="131" t="s">
        <v>3593</v>
      </c>
      <c r="J1259" s="131" t="s">
        <v>550</v>
      </c>
      <c r="K1259" s="453">
        <f>calcR2LOB2Emp1Visits/paramR2WorkWeeksPYear*calcR2LOB2Clinician4Disc1Emp1AllowPerc</f>
        <v>17.464268940234057</v>
      </c>
      <c r="L1259" s="453">
        <f>calcR2LOB2Emp1Visits/paramR2WorkWeeksPYear*calcR2LOB2Clinician4Disc1Emp1AllowPerc</f>
        <v>16.212072820185245</v>
      </c>
      <c r="M1259" s="453">
        <f>calcR2LOB2Emp1Visits/paramR2WorkWeeksPYear*calcR2LOB2Clinician4Disc1Emp1AllowPerc</f>
        <v>20.436413811978287</v>
      </c>
      <c r="N1259" s="131" t="s">
        <v>6772</v>
      </c>
    </row>
    <row r="1260" spans="1:14" ht="12.75" customHeight="1">
      <c r="A1260" s="478"/>
      <c r="B1260" s="459"/>
      <c r="C1260" s="170">
        <v>5</v>
      </c>
      <c r="D1260" s="131" t="s">
        <v>550</v>
      </c>
      <c r="E1260" s="453">
        <f>calcLOB2Emp1Visits/paramWorkWeeksPYear*calcLOB2Clinician5Disc1Emp1AllowPerc</f>
        <v>0</v>
      </c>
      <c r="F1260" s="453">
        <f>calcLOB2Emp1Visits/paramWorkWeeksPYear*calcLOB2Clinician5Disc1Emp1AllowPerc</f>
        <v>0</v>
      </c>
      <c r="G1260" s="453">
        <f>calcLOB2Emp1Visits/paramWorkWeeksPYear*calcLOB2Clinician5Disc1Emp1AllowPerc</f>
        <v>0</v>
      </c>
      <c r="H1260" s="131" t="s">
        <v>3594</v>
      </c>
      <c r="J1260" s="131" t="s">
        <v>550</v>
      </c>
      <c r="K1260" s="453">
        <f>calcR2LOB2Emp1Visits/paramR2WorkWeeksPYear*calcR2LOB2Clinician5Disc1Emp1AllowPerc</f>
        <v>0</v>
      </c>
      <c r="L1260" s="453">
        <f>calcR2LOB2Emp1Visits/paramR2WorkWeeksPYear*calcR2LOB2Clinician5Disc1Emp1AllowPerc</f>
        <v>0</v>
      </c>
      <c r="M1260" s="453">
        <f>calcR2LOB2Emp1Visits/paramR2WorkWeeksPYear*calcR2LOB2Clinician5Disc1Emp1AllowPerc</f>
        <v>0</v>
      </c>
      <c r="N1260" s="131" t="s">
        <v>6773</v>
      </c>
    </row>
    <row r="1261" spans="1:14" ht="12.75" customHeight="1">
      <c r="A1261" s="478"/>
      <c r="B1261" s="459"/>
      <c r="C1261" s="170">
        <v>6</v>
      </c>
      <c r="D1261" s="131" t="s">
        <v>550</v>
      </c>
      <c r="E1261" s="453">
        <f>calcLOB2Emp1Visits/paramWorkWeeksPYear*calcLOB2Clinician6Disc1Emp1AllowPerc</f>
        <v>0</v>
      </c>
      <c r="F1261" s="453">
        <f>calcLOB2Emp1Visits/paramWorkWeeksPYear*calcLOB2Clinician6Disc1Emp1AllowPerc</f>
        <v>0</v>
      </c>
      <c r="G1261" s="453">
        <f>calcLOB2Emp1Visits/paramWorkWeeksPYear*calcLOB2Clinician6Disc1Emp1AllowPerc</f>
        <v>0</v>
      </c>
      <c r="H1261" s="131" t="s">
        <v>3595</v>
      </c>
      <c r="J1261" s="131" t="s">
        <v>550</v>
      </c>
      <c r="K1261" s="453">
        <f>calcR2LOB2Emp1Visits/paramR2WorkWeeksPYear*calcR2LOB2Clinician6Disc1Emp1AllowPerc</f>
        <v>0</v>
      </c>
      <c r="L1261" s="453">
        <f>calcR2LOB2Emp1Visits/paramR2WorkWeeksPYear*calcR2LOB2Clinician6Disc1Emp1AllowPerc</f>
        <v>0</v>
      </c>
      <c r="M1261" s="453">
        <f>calcR2LOB2Emp1Visits/paramR2WorkWeeksPYear*calcR2LOB2Clinician6Disc1Emp1AllowPerc</f>
        <v>0</v>
      </c>
      <c r="N1261" s="131" t="s">
        <v>6774</v>
      </c>
    </row>
    <row r="1262" spans="1:14" ht="12.75" customHeight="1">
      <c r="A1262" s="478"/>
      <c r="B1262" s="459"/>
      <c r="C1262" s="170">
        <v>7</v>
      </c>
      <c r="D1262" s="131" t="s">
        <v>550</v>
      </c>
      <c r="E1262" s="453">
        <f>calcLOB2Emp1Visits/paramWorkWeeksPYear*calcLOB2Clinician7Disc1Emp1AllowPerc</f>
        <v>0</v>
      </c>
      <c r="F1262" s="453">
        <f>calcLOB2Emp1Visits/paramWorkWeeksPYear*calcLOB2Clinician7Disc1Emp1AllowPerc</f>
        <v>0</v>
      </c>
      <c r="G1262" s="453">
        <f>calcLOB2Emp1Visits/paramWorkWeeksPYear*calcLOB2Clinician7Disc1Emp1AllowPerc</f>
        <v>0</v>
      </c>
      <c r="H1262" s="131" t="s">
        <v>3596</v>
      </c>
      <c r="J1262" s="131" t="s">
        <v>550</v>
      </c>
      <c r="K1262" s="453">
        <f>calcR2LOB2Emp1Visits/paramR2WorkWeeksPYear*calcR2LOB2Clinician7Disc1Emp1AllowPerc</f>
        <v>0</v>
      </c>
      <c r="L1262" s="453">
        <f>calcR2LOB2Emp1Visits/paramR2WorkWeeksPYear*calcR2LOB2Clinician7Disc1Emp1AllowPerc</f>
        <v>0</v>
      </c>
      <c r="M1262" s="453">
        <f>calcR2LOB2Emp1Visits/paramR2WorkWeeksPYear*calcR2LOB2Clinician7Disc1Emp1AllowPerc</f>
        <v>0</v>
      </c>
      <c r="N1262" s="131" t="s">
        <v>6775</v>
      </c>
    </row>
    <row r="1263" spans="1:14" ht="12.75" customHeight="1">
      <c r="A1263" s="478"/>
      <c r="B1263" s="459"/>
      <c r="C1263" s="170">
        <v>8</v>
      </c>
      <c r="D1263" s="131" t="s">
        <v>550</v>
      </c>
      <c r="E1263" s="453">
        <f>calcLOB2Emp1Visits/paramWorkWeeksPYear*calcLOB2Clinician8Disc1Emp1AllowPerc</f>
        <v>0</v>
      </c>
      <c r="F1263" s="453">
        <f>calcLOB2Emp1Visits/paramWorkWeeksPYear*calcLOB2Clinician8Disc1Emp1AllowPerc</f>
        <v>0</v>
      </c>
      <c r="G1263" s="453">
        <f>calcLOB2Emp1Visits/paramWorkWeeksPYear*calcLOB2Clinician8Disc1Emp1AllowPerc</f>
        <v>0</v>
      </c>
      <c r="H1263" s="131" t="s">
        <v>3597</v>
      </c>
      <c r="J1263" s="131" t="s">
        <v>550</v>
      </c>
      <c r="K1263" s="453">
        <f>calcR2LOB2Emp1Visits/paramR2WorkWeeksPYear*calcR2LOB2Clinician8Disc1Emp1AllowPerc</f>
        <v>0</v>
      </c>
      <c r="L1263" s="453">
        <f>calcR2LOB2Emp1Visits/paramR2WorkWeeksPYear*calcR2LOB2Clinician8Disc1Emp1AllowPerc</f>
        <v>0</v>
      </c>
      <c r="M1263" s="453">
        <f>calcR2LOB2Emp1Visits/paramR2WorkWeeksPYear*calcR2LOB2Clinician8Disc1Emp1AllowPerc</f>
        <v>0</v>
      </c>
      <c r="N1263" s="131" t="s">
        <v>6776</v>
      </c>
    </row>
    <row r="1264" spans="1:14" ht="12.75" customHeight="1">
      <c r="A1264" s="478"/>
      <c r="B1264" s="459"/>
      <c r="C1264" s="170">
        <v>9</v>
      </c>
      <c r="D1264" s="131" t="s">
        <v>550</v>
      </c>
      <c r="E1264" s="453">
        <f>calcLOB2Emp1Visits/paramWorkWeeksPYear*calcLOB2Clinician9Disc1Emp1AllowPerc</f>
        <v>0</v>
      </c>
      <c r="F1264" s="453">
        <f>calcLOB2Emp1Visits/paramWorkWeeksPYear*calcLOB2Clinician9Disc1Emp1AllowPerc</f>
        <v>0</v>
      </c>
      <c r="G1264" s="453">
        <f>calcLOB2Emp1Visits/paramWorkWeeksPYear*calcLOB2Clinician9Disc1Emp1AllowPerc</f>
        <v>0</v>
      </c>
      <c r="H1264" s="131" t="s">
        <v>3598</v>
      </c>
      <c r="J1264" s="131" t="s">
        <v>550</v>
      </c>
      <c r="K1264" s="453">
        <f>calcR2LOB2Emp1Visits/paramR2WorkWeeksPYear*calcR2LOB2Clinician9Disc1Emp1AllowPerc</f>
        <v>0</v>
      </c>
      <c r="L1264" s="453">
        <f>calcR2LOB2Emp1Visits/paramR2WorkWeeksPYear*calcR2LOB2Clinician9Disc1Emp1AllowPerc</f>
        <v>0</v>
      </c>
      <c r="M1264" s="453">
        <f>calcR2LOB2Emp1Visits/paramR2WorkWeeksPYear*calcR2LOB2Clinician9Disc1Emp1AllowPerc</f>
        <v>0</v>
      </c>
      <c r="N1264" s="131" t="s">
        <v>6777</v>
      </c>
    </row>
    <row r="1265" spans="1:14" ht="12.75" customHeight="1">
      <c r="A1265" s="478"/>
      <c r="B1265" s="459"/>
      <c r="C1265" s="170">
        <v>10</v>
      </c>
      <c r="D1265" s="131" t="s">
        <v>550</v>
      </c>
      <c r="E1265" s="453">
        <f>calcLOB2Emp1Visits/paramWorkWeeksPYear*calcLOB2Clinician10Disc1Emp1AllowPerc</f>
        <v>0</v>
      </c>
      <c r="F1265" s="453">
        <f>calcLOB2Emp1Visits/paramWorkWeeksPYear*calcLOB2Clinician10Disc1Emp1AllowPerc</f>
        <v>0</v>
      </c>
      <c r="G1265" s="453">
        <f>calcLOB2Emp1Visits/paramWorkWeeksPYear*calcLOB2Clinician10Disc1Emp1AllowPerc</f>
        <v>0</v>
      </c>
      <c r="H1265" s="131" t="s">
        <v>3599</v>
      </c>
      <c r="J1265" s="131" t="s">
        <v>550</v>
      </c>
      <c r="K1265" s="453">
        <f>calcR2LOB2Emp1Visits/paramR2WorkWeeksPYear*calcR2LOB2Clinician10Disc1Emp1AllowPerc</f>
        <v>0</v>
      </c>
      <c r="L1265" s="453">
        <f>calcR2LOB2Emp1Visits/paramR2WorkWeeksPYear*calcR2LOB2Clinician10Disc1Emp1AllowPerc</f>
        <v>0</v>
      </c>
      <c r="M1265" s="453">
        <f>calcR2LOB2Emp1Visits/paramR2WorkWeeksPYear*calcR2LOB2Clinician10Disc1Emp1AllowPerc</f>
        <v>0</v>
      </c>
      <c r="N1265" s="131" t="s">
        <v>6778</v>
      </c>
    </row>
    <row r="1266" spans="1:14" ht="12.75" customHeight="1">
      <c r="A1266" s="478"/>
      <c r="B1266" s="459"/>
      <c r="C1266" s="170">
        <v>11</v>
      </c>
      <c r="D1266" s="131" t="s">
        <v>550</v>
      </c>
      <c r="E1266" s="453">
        <f>calcLOB2Emp1Visits/paramWorkWeeksPYear*calcLOB2Clinician11Disc1Emp1AllowPerc</f>
        <v>0</v>
      </c>
      <c r="F1266" s="453">
        <f>calcLOB2Emp1Visits/paramWorkWeeksPYear*calcLOB2Clinician11Disc1Emp1AllowPerc</f>
        <v>0</v>
      </c>
      <c r="G1266" s="453">
        <f>calcLOB2Emp1Visits/paramWorkWeeksPYear*calcLOB2Clinician11Disc1Emp1AllowPerc</f>
        <v>0</v>
      </c>
      <c r="H1266" s="131" t="s">
        <v>3600</v>
      </c>
      <c r="J1266" s="131" t="s">
        <v>550</v>
      </c>
      <c r="K1266" s="453">
        <f>calcR2LOB2Emp1Visits/paramR2WorkWeeksPYear*calcR2LOB2Clinician11Disc1Emp1AllowPerc</f>
        <v>0</v>
      </c>
      <c r="L1266" s="453">
        <f>calcR2LOB2Emp1Visits/paramR2WorkWeeksPYear*calcR2LOB2Clinician11Disc1Emp1AllowPerc</f>
        <v>0</v>
      </c>
      <c r="M1266" s="453">
        <f>calcR2LOB2Emp1Visits/paramR2WorkWeeksPYear*calcR2LOB2Clinician11Disc1Emp1AllowPerc</f>
        <v>0</v>
      </c>
      <c r="N1266" s="131" t="s">
        <v>6779</v>
      </c>
    </row>
    <row r="1267" spans="1:14" ht="12.75" customHeight="1">
      <c r="A1267" s="478"/>
      <c r="B1267" s="459"/>
      <c r="C1267" s="170">
        <v>12</v>
      </c>
      <c r="D1267" s="131" t="s">
        <v>550</v>
      </c>
      <c r="E1267" s="453">
        <f>calcLOB2Emp1Visits/paramWorkWeeksPYear*calcLOB2Clinician12Disc1Emp1AllowPerc</f>
        <v>0</v>
      </c>
      <c r="F1267" s="453">
        <f>calcLOB2Emp1Visits/paramWorkWeeksPYear*calcLOB2Clinician12Disc1Emp1AllowPerc</f>
        <v>0</v>
      </c>
      <c r="G1267" s="453">
        <f>calcLOB2Emp1Visits/paramWorkWeeksPYear*calcLOB2Clinician12Disc1Emp1AllowPerc</f>
        <v>0</v>
      </c>
      <c r="H1267" s="131" t="s">
        <v>3601</v>
      </c>
      <c r="J1267" s="131" t="s">
        <v>550</v>
      </c>
      <c r="K1267" s="453">
        <f>calcR2LOB2Emp1Visits/paramR2WorkWeeksPYear*calcR2LOB2Clinician12Disc1Emp1AllowPerc</f>
        <v>0</v>
      </c>
      <c r="L1267" s="453">
        <f>calcR2LOB2Emp1Visits/paramR2WorkWeeksPYear*calcR2LOB2Clinician12Disc1Emp1AllowPerc</f>
        <v>0</v>
      </c>
      <c r="M1267" s="453">
        <f>calcR2LOB2Emp1Visits/paramR2WorkWeeksPYear*calcR2LOB2Clinician12Disc1Emp1AllowPerc</f>
        <v>0</v>
      </c>
      <c r="N1267" s="131" t="s">
        <v>6780</v>
      </c>
    </row>
    <row r="1268" spans="1:14" ht="12.75" customHeight="1">
      <c r="A1268" s="478"/>
      <c r="B1268" s="459"/>
      <c r="D1268" s="131" t="s">
        <v>550</v>
      </c>
      <c r="E1268" s="453">
        <f>calcLOB2Emp1Visits/paramWorkWeeksPYear*calcLOB2Clinician13Disc1Emp1AllowPerc</f>
        <v>122.33690578403029</v>
      </c>
      <c r="F1268" s="453">
        <f>calcLOB2Emp1Visits/paramWorkWeeksPYear*calcLOB2Clinician13Disc1Emp1AllowPerc</f>
        <v>97.272436921111478</v>
      </c>
      <c r="G1268" s="453">
        <f>calcLOB2Emp1Visits/paramWorkWeeksPYear*calcLOB2Clinician13Disc1Emp1AllowPerc</f>
        <v>245.23696574373943</v>
      </c>
      <c r="H1268" s="131" t="s">
        <v>4103</v>
      </c>
      <c r="J1268" s="131" t="s">
        <v>550</v>
      </c>
      <c r="K1268" s="453">
        <f>calcR2LOB2Emp1Visits/paramR2WorkWeeksPYear*calcR2LOB2Clinician13Disc1Emp1AllowPerc</f>
        <v>125.42837952876097</v>
      </c>
      <c r="L1268" s="453">
        <f>calcR2LOB2Emp1Visits/paramR2WorkWeeksPYear*calcR2LOB2Clinician13Disc1Emp1AllowPerc</f>
        <v>97.272436921111478</v>
      </c>
      <c r="M1268" s="453">
        <f>calcR2LOB2Emp1Visits/paramR2WorkWeeksPYear*calcR2LOB2Clinician13Disc1Emp1AllowPerc</f>
        <v>245.23696574373943</v>
      </c>
      <c r="N1268" s="131" t="s">
        <v>6781</v>
      </c>
    </row>
    <row r="1269" spans="1:14" ht="12.75" customHeight="1">
      <c r="A1269" s="478"/>
      <c r="B1269" s="459"/>
      <c r="C1269" s="170">
        <v>1</v>
      </c>
      <c r="D1269" s="131" t="s">
        <v>554</v>
      </c>
      <c r="E1269" s="453">
        <f>calcLOB2Emp1Visits/paramWorkWeeksPYear*calcLOB2Clinician1Disc2Emp1AllowPerc</f>
        <v>0</v>
      </c>
      <c r="F1269" s="453">
        <f>calcLOB2Emp1Visits/paramWorkWeeksPYear*calcLOB2Clinician1Disc2Emp1AllowPerc</f>
        <v>0</v>
      </c>
      <c r="G1269" s="453">
        <f>calcLOB2Emp1Visits/paramWorkWeeksPYear*calcLOB2Clinician1Disc2Emp1AllowPerc</f>
        <v>0</v>
      </c>
      <c r="H1269" s="131" t="s">
        <v>3602</v>
      </c>
      <c r="J1269" s="131" t="s">
        <v>554</v>
      </c>
      <c r="K1269" s="453">
        <f>calcR2LOB2Emp1Visits/paramR2WorkWeeksPYear*calcR2LOB2Clinician1Disc2Emp1AllowPerc</f>
        <v>0</v>
      </c>
      <c r="L1269" s="453">
        <f>calcR2LOB2Emp1Visits/paramR2WorkWeeksPYear*calcR2LOB2Clinician1Disc2Emp1AllowPerc</f>
        <v>0</v>
      </c>
      <c r="M1269" s="453">
        <f>calcR2LOB2Emp1Visits/paramR2WorkWeeksPYear*calcR2LOB2Clinician1Disc2Emp1AllowPerc</f>
        <v>0</v>
      </c>
      <c r="N1269" s="131" t="s">
        <v>6782</v>
      </c>
    </row>
    <row r="1270" spans="1:14" ht="12.75" customHeight="1">
      <c r="A1270" s="478"/>
      <c r="B1270" s="459"/>
      <c r="C1270" s="170">
        <v>2</v>
      </c>
      <c r="D1270" s="131" t="s">
        <v>554</v>
      </c>
      <c r="E1270" s="453">
        <f>calcLOB2Emp1Visits/paramWorkWeeksPYear*calcLOB2Clinician2Disc2Emp1AllowPerc</f>
        <v>0</v>
      </c>
      <c r="F1270" s="453">
        <f>calcLOB2Emp1Visits/paramWorkWeeksPYear*calcLOB2Clinician2Disc2Emp1AllowPerc</f>
        <v>0</v>
      </c>
      <c r="G1270" s="453">
        <f>calcLOB2Emp1Visits/paramWorkWeeksPYear*calcLOB2Clinician2Disc2Emp1AllowPerc</f>
        <v>0</v>
      </c>
      <c r="H1270" s="131" t="s">
        <v>3603</v>
      </c>
      <c r="J1270" s="131" t="s">
        <v>554</v>
      </c>
      <c r="K1270" s="453">
        <f>calcR2LOB2Emp1Visits/paramR2WorkWeeksPYear*calcR2LOB2Clinician2Disc2Emp1AllowPerc</f>
        <v>0</v>
      </c>
      <c r="L1270" s="453">
        <f>calcR2LOB2Emp1Visits/paramR2WorkWeeksPYear*calcR2LOB2Clinician2Disc2Emp1AllowPerc</f>
        <v>0</v>
      </c>
      <c r="M1270" s="453">
        <f>calcR2LOB2Emp1Visits/paramR2WorkWeeksPYear*calcR2LOB2Clinician2Disc2Emp1AllowPerc</f>
        <v>0</v>
      </c>
      <c r="N1270" s="131" t="s">
        <v>6783</v>
      </c>
    </row>
    <row r="1271" spans="1:14" ht="12.75" customHeight="1">
      <c r="A1271" s="478"/>
      <c r="B1271" s="459"/>
      <c r="C1271" s="170">
        <v>3</v>
      </c>
      <c r="D1271" s="131" t="s">
        <v>554</v>
      </c>
      <c r="E1271" s="453">
        <f>calcLOB2Emp1Visits/paramWorkWeeksPYear*calcLOB2Clinician3Disc2Emp1AllowPerc</f>
        <v>0</v>
      </c>
      <c r="F1271" s="453">
        <f>calcLOB2Emp1Visits/paramWorkWeeksPYear*calcLOB2Clinician3Disc2Emp1AllowPerc</f>
        <v>0</v>
      </c>
      <c r="G1271" s="453">
        <f>calcLOB2Emp1Visits/paramWorkWeeksPYear*calcLOB2Clinician3Disc2Emp1AllowPerc</f>
        <v>0</v>
      </c>
      <c r="H1271" s="131" t="s">
        <v>3604</v>
      </c>
      <c r="J1271" s="131" t="s">
        <v>554</v>
      </c>
      <c r="K1271" s="453">
        <f>calcR2LOB2Emp1Visits/paramR2WorkWeeksPYear*calcR2LOB2Clinician3Disc2Emp1AllowPerc</f>
        <v>0</v>
      </c>
      <c r="L1271" s="453">
        <f>calcR2LOB2Emp1Visits/paramR2WorkWeeksPYear*calcR2LOB2Clinician3Disc2Emp1AllowPerc</f>
        <v>0</v>
      </c>
      <c r="M1271" s="453">
        <f>calcR2LOB2Emp1Visits/paramR2WorkWeeksPYear*calcR2LOB2Clinician3Disc2Emp1AllowPerc</f>
        <v>0</v>
      </c>
      <c r="N1271" s="131" t="s">
        <v>6784</v>
      </c>
    </row>
    <row r="1272" spans="1:14" ht="12.75" customHeight="1">
      <c r="A1272" s="478"/>
      <c r="B1272" s="459"/>
      <c r="C1272" s="170">
        <v>4</v>
      </c>
      <c r="D1272" s="131" t="s">
        <v>554</v>
      </c>
      <c r="E1272" s="453">
        <f>calcLOB2Emp1Visits/paramWorkWeeksPYear*calcLOB2Clinician4Disc2Emp1AllowPerc</f>
        <v>0</v>
      </c>
      <c r="F1272" s="453">
        <f>calcLOB2Emp1Visits/paramWorkWeeksPYear*calcLOB2Clinician4Disc2Emp1AllowPerc</f>
        <v>0</v>
      </c>
      <c r="G1272" s="453">
        <f>calcLOB2Emp1Visits/paramWorkWeeksPYear*calcLOB2Clinician4Disc2Emp1AllowPerc</f>
        <v>0</v>
      </c>
      <c r="H1272" s="131" t="s">
        <v>3605</v>
      </c>
      <c r="J1272" s="131" t="s">
        <v>554</v>
      </c>
      <c r="K1272" s="453">
        <f>calcR2LOB2Emp1Visits/paramR2WorkWeeksPYear*calcR2LOB2Clinician4Disc2Emp1AllowPerc</f>
        <v>0</v>
      </c>
      <c r="L1272" s="453">
        <f>calcR2LOB2Emp1Visits/paramR2WorkWeeksPYear*calcR2LOB2Clinician4Disc2Emp1AllowPerc</f>
        <v>0</v>
      </c>
      <c r="M1272" s="453">
        <f>calcR2LOB2Emp1Visits/paramR2WorkWeeksPYear*calcR2LOB2Clinician4Disc2Emp1AllowPerc</f>
        <v>0</v>
      </c>
      <c r="N1272" s="131" t="s">
        <v>6785</v>
      </c>
    </row>
    <row r="1273" spans="1:14" ht="12.75" customHeight="1">
      <c r="A1273" s="478"/>
      <c r="B1273" s="459"/>
      <c r="C1273" s="170">
        <v>5</v>
      </c>
      <c r="D1273" s="131" t="s">
        <v>554</v>
      </c>
      <c r="E1273" s="453">
        <f>calcLOB2Emp1Visits/paramWorkWeeksPYear*calcLOB2Clinician5Disc2Emp1AllowPerc</f>
        <v>26.700515151276452</v>
      </c>
      <c r="F1273" s="453">
        <f>calcLOB2Emp1Visits/paramWorkWeeksPYear*calcLOB2Clinician5Disc2Emp1AllowPerc</f>
        <v>26.749920153305656</v>
      </c>
      <c r="G1273" s="453">
        <f>calcLOB2Emp1Visits/paramWorkWeeksPYear*calcLOB2Clinician5Disc2Emp1AllowPerc</f>
        <v>33.72008278976417</v>
      </c>
      <c r="H1273" s="131" t="s">
        <v>3606</v>
      </c>
      <c r="J1273" s="131" t="s">
        <v>554</v>
      </c>
      <c r="K1273" s="453">
        <f>calcR2LOB2Emp1Visits/paramR2WorkWeeksPYear*calcR2LOB2Clinician5Disc2Emp1AllowPerc</f>
        <v>28.816043751386186</v>
      </c>
      <c r="L1273" s="453">
        <f>calcR2LOB2Emp1Visits/paramR2WorkWeeksPYear*calcR2LOB2Clinician5Disc2Emp1AllowPerc</f>
        <v>26.749920153305656</v>
      </c>
      <c r="M1273" s="453">
        <f>calcR2LOB2Emp1Visits/paramR2WorkWeeksPYear*calcR2LOB2Clinician5Disc2Emp1AllowPerc</f>
        <v>33.72008278976417</v>
      </c>
      <c r="N1273" s="131" t="s">
        <v>6786</v>
      </c>
    </row>
    <row r="1274" spans="1:14" ht="12.75" customHeight="1">
      <c r="A1274" s="478"/>
      <c r="B1274" s="459"/>
      <c r="C1274" s="170">
        <v>6</v>
      </c>
      <c r="D1274" s="131" t="s">
        <v>554</v>
      </c>
      <c r="E1274" s="453">
        <f>calcLOB2Emp1Visits/paramWorkWeeksPYear*calcLOB2Clinician6Disc2Emp1AllowPerc</f>
        <v>27.185979063117845</v>
      </c>
      <c r="F1274" s="453">
        <f>calcLOB2Emp1Visits/paramWorkWeeksPYear*calcLOB2Clinician6Disc2Emp1AllowPerc</f>
        <v>27.236282337911213</v>
      </c>
      <c r="G1274" s="453">
        <f>calcLOB2Emp1Visits/paramWorkWeeksPYear*calcLOB2Clinician6Disc2Emp1AllowPerc</f>
        <v>34.333175204123521</v>
      </c>
      <c r="H1274" s="131" t="s">
        <v>3607</v>
      </c>
      <c r="J1274" s="131" t="s">
        <v>554</v>
      </c>
      <c r="K1274" s="453">
        <f>calcR2LOB2Emp1Visits/paramR2WorkWeeksPYear*calcR2LOB2Clinician6Disc2Emp1AllowPerc</f>
        <v>29.33997181959321</v>
      </c>
      <c r="L1274" s="453">
        <f>calcR2LOB2Emp1Visits/paramR2WorkWeeksPYear*calcR2LOB2Clinician6Disc2Emp1AllowPerc</f>
        <v>27.236282337911213</v>
      </c>
      <c r="M1274" s="453">
        <f>calcR2LOB2Emp1Visits/paramR2WorkWeeksPYear*calcR2LOB2Clinician6Disc2Emp1AllowPerc</f>
        <v>34.333175204123521</v>
      </c>
      <c r="N1274" s="131" t="s">
        <v>6787</v>
      </c>
    </row>
    <row r="1275" spans="1:14" ht="12.75" customHeight="1">
      <c r="A1275" s="478"/>
      <c r="B1275" s="459"/>
      <c r="C1275" s="170">
        <v>7</v>
      </c>
      <c r="D1275" s="131" t="s">
        <v>554</v>
      </c>
      <c r="E1275" s="453">
        <f>calcLOB2Emp1Visits/paramWorkWeeksPYear*calcLOB2Clinician7Disc2Emp1AllowPerc</f>
        <v>0</v>
      </c>
      <c r="F1275" s="453">
        <f>calcLOB2Emp1Visits/paramWorkWeeksPYear*calcLOB2Clinician7Disc2Emp1AllowPerc</f>
        <v>0</v>
      </c>
      <c r="G1275" s="453">
        <f>calcLOB2Emp1Visits/paramWorkWeeksPYear*calcLOB2Clinician7Disc2Emp1AllowPerc</f>
        <v>0</v>
      </c>
      <c r="H1275" s="131" t="s">
        <v>3608</v>
      </c>
      <c r="J1275" s="131" t="s">
        <v>554</v>
      </c>
      <c r="K1275" s="453">
        <f>calcR2LOB2Emp1Visits/paramR2WorkWeeksPYear*calcR2LOB2Clinician7Disc2Emp1AllowPerc</f>
        <v>0</v>
      </c>
      <c r="L1275" s="453">
        <f>calcR2LOB2Emp1Visits/paramR2WorkWeeksPYear*calcR2LOB2Clinician7Disc2Emp1AllowPerc</f>
        <v>0</v>
      </c>
      <c r="M1275" s="453">
        <f>calcR2LOB2Emp1Visits/paramR2WorkWeeksPYear*calcR2LOB2Clinician7Disc2Emp1AllowPerc</f>
        <v>0</v>
      </c>
      <c r="N1275" s="131" t="s">
        <v>6788</v>
      </c>
    </row>
    <row r="1276" spans="1:14" ht="12.75" customHeight="1">
      <c r="A1276" s="478"/>
      <c r="B1276" s="459"/>
      <c r="C1276" s="170">
        <v>8</v>
      </c>
      <c r="D1276" s="131" t="s">
        <v>554</v>
      </c>
      <c r="E1276" s="453">
        <f>calcLOB2Emp1Visits/paramWorkWeeksPYear*calcLOB2Clinician8Disc2Emp1AllowPerc</f>
        <v>0</v>
      </c>
      <c r="F1276" s="453">
        <f>calcLOB2Emp1Visits/paramWorkWeeksPYear*calcLOB2Clinician8Disc2Emp1AllowPerc</f>
        <v>0</v>
      </c>
      <c r="G1276" s="453">
        <f>calcLOB2Emp1Visits/paramWorkWeeksPYear*calcLOB2Clinician8Disc2Emp1AllowPerc</f>
        <v>0</v>
      </c>
      <c r="H1276" s="131" t="s">
        <v>3609</v>
      </c>
      <c r="J1276" s="131" t="s">
        <v>554</v>
      </c>
      <c r="K1276" s="453">
        <f>calcR2LOB2Emp1Visits/paramR2WorkWeeksPYear*calcR2LOB2Clinician8Disc2Emp1AllowPerc</f>
        <v>0</v>
      </c>
      <c r="L1276" s="453">
        <f>calcR2LOB2Emp1Visits/paramR2WorkWeeksPYear*calcR2LOB2Clinician8Disc2Emp1AllowPerc</f>
        <v>0</v>
      </c>
      <c r="M1276" s="453">
        <f>calcR2LOB2Emp1Visits/paramR2WorkWeeksPYear*calcR2LOB2Clinician8Disc2Emp1AllowPerc</f>
        <v>0</v>
      </c>
      <c r="N1276" s="131" t="s">
        <v>6789</v>
      </c>
    </row>
    <row r="1277" spans="1:14" ht="12.75" customHeight="1">
      <c r="A1277" s="478"/>
      <c r="B1277" s="459"/>
      <c r="C1277" s="170">
        <v>9</v>
      </c>
      <c r="D1277" s="131" t="s">
        <v>554</v>
      </c>
      <c r="E1277" s="453">
        <f>calcLOB2Emp1Visits/paramWorkWeeksPYear*calcLOB2Clinician9Disc2Emp1AllowPerc</f>
        <v>0</v>
      </c>
      <c r="F1277" s="453">
        <f>calcLOB2Emp1Visits/paramWorkWeeksPYear*calcLOB2Clinician9Disc2Emp1AllowPerc</f>
        <v>0</v>
      </c>
      <c r="G1277" s="453">
        <f>calcLOB2Emp1Visits/paramWorkWeeksPYear*calcLOB2Clinician9Disc2Emp1AllowPerc</f>
        <v>0</v>
      </c>
      <c r="H1277" s="131" t="s">
        <v>3610</v>
      </c>
      <c r="J1277" s="131" t="s">
        <v>554</v>
      </c>
      <c r="K1277" s="453">
        <f>calcR2LOB2Emp1Visits/paramR2WorkWeeksPYear*calcR2LOB2Clinician9Disc2Emp1AllowPerc</f>
        <v>0</v>
      </c>
      <c r="L1277" s="453">
        <f>calcR2LOB2Emp1Visits/paramR2WorkWeeksPYear*calcR2LOB2Clinician9Disc2Emp1AllowPerc</f>
        <v>0</v>
      </c>
      <c r="M1277" s="453">
        <f>calcR2LOB2Emp1Visits/paramR2WorkWeeksPYear*calcR2LOB2Clinician9Disc2Emp1AllowPerc</f>
        <v>0</v>
      </c>
      <c r="N1277" s="131" t="s">
        <v>6790</v>
      </c>
    </row>
    <row r="1278" spans="1:14" ht="12.75" customHeight="1">
      <c r="A1278" s="478"/>
      <c r="B1278" s="459"/>
      <c r="C1278" s="170">
        <v>10</v>
      </c>
      <c r="D1278" s="131" t="s">
        <v>554</v>
      </c>
      <c r="E1278" s="453">
        <f>calcLOB2Emp1Visits/paramWorkWeeksPYear*calcLOB2Clinician10Disc2Emp1AllowPerc</f>
        <v>0</v>
      </c>
      <c r="F1278" s="453">
        <f>calcLOB2Emp1Visits/paramWorkWeeksPYear*calcLOB2Clinician10Disc2Emp1AllowPerc</f>
        <v>0</v>
      </c>
      <c r="G1278" s="453">
        <f>calcLOB2Emp1Visits/paramWorkWeeksPYear*calcLOB2Clinician10Disc2Emp1AllowPerc</f>
        <v>0</v>
      </c>
      <c r="H1278" s="131" t="s">
        <v>3611</v>
      </c>
      <c r="J1278" s="131" t="s">
        <v>554</v>
      </c>
      <c r="K1278" s="453">
        <f>calcR2LOB2Emp1Visits/paramR2WorkWeeksPYear*calcR2LOB2Clinician10Disc2Emp1AllowPerc</f>
        <v>0</v>
      </c>
      <c r="L1278" s="453">
        <f>calcR2LOB2Emp1Visits/paramR2WorkWeeksPYear*calcR2LOB2Clinician10Disc2Emp1AllowPerc</f>
        <v>0</v>
      </c>
      <c r="M1278" s="453">
        <f>calcR2LOB2Emp1Visits/paramR2WorkWeeksPYear*calcR2LOB2Clinician10Disc2Emp1AllowPerc</f>
        <v>0</v>
      </c>
      <c r="N1278" s="131" t="s">
        <v>6791</v>
      </c>
    </row>
    <row r="1279" spans="1:14" ht="12.75" customHeight="1">
      <c r="A1279" s="478"/>
      <c r="B1279" s="459"/>
      <c r="C1279" s="170">
        <v>11</v>
      </c>
      <c r="D1279" s="131" t="s">
        <v>554</v>
      </c>
      <c r="E1279" s="453">
        <f>calcLOB2Emp1Visits/paramWorkWeeksPYear*calcLOB2Clinician11Disc2Emp1AllowPerc</f>
        <v>0</v>
      </c>
      <c r="F1279" s="453">
        <f>calcLOB2Emp1Visits/paramWorkWeeksPYear*calcLOB2Clinician11Disc2Emp1AllowPerc</f>
        <v>0</v>
      </c>
      <c r="G1279" s="453">
        <f>calcLOB2Emp1Visits/paramWorkWeeksPYear*calcLOB2Clinician11Disc2Emp1AllowPerc</f>
        <v>0</v>
      </c>
      <c r="H1279" s="131" t="s">
        <v>3612</v>
      </c>
      <c r="J1279" s="131" t="s">
        <v>554</v>
      </c>
      <c r="K1279" s="453">
        <f>calcR2LOB2Emp1Visits/paramR2WorkWeeksPYear*calcR2LOB2Clinician11Disc2Emp1AllowPerc</f>
        <v>0</v>
      </c>
      <c r="L1279" s="453">
        <f>calcR2LOB2Emp1Visits/paramR2WorkWeeksPYear*calcR2LOB2Clinician11Disc2Emp1AllowPerc</f>
        <v>0</v>
      </c>
      <c r="M1279" s="453">
        <f>calcR2LOB2Emp1Visits/paramR2WorkWeeksPYear*calcR2LOB2Clinician11Disc2Emp1AllowPerc</f>
        <v>0</v>
      </c>
      <c r="N1279" s="131" t="s">
        <v>6792</v>
      </c>
    </row>
    <row r="1280" spans="1:14" ht="12.75" customHeight="1">
      <c r="A1280" s="478"/>
      <c r="B1280" s="459"/>
      <c r="C1280" s="170">
        <v>12</v>
      </c>
      <c r="D1280" s="131" t="s">
        <v>554</v>
      </c>
      <c r="E1280" s="453">
        <f>calcLOB2Emp1Visits/paramWorkWeeksPYear*calcLOB2Clinician12Disc2Emp1AllowPerc</f>
        <v>0</v>
      </c>
      <c r="F1280" s="453">
        <f>calcLOB2Emp1Visits/paramWorkWeeksPYear*calcLOB2Clinician12Disc2Emp1AllowPerc</f>
        <v>0</v>
      </c>
      <c r="G1280" s="453">
        <f>calcLOB2Emp1Visits/paramWorkWeeksPYear*calcLOB2Clinician12Disc2Emp1AllowPerc</f>
        <v>0</v>
      </c>
      <c r="H1280" s="131" t="s">
        <v>3613</v>
      </c>
      <c r="J1280" s="131" t="s">
        <v>554</v>
      </c>
      <c r="K1280" s="453">
        <f>calcR2LOB2Emp1Visits/paramR2WorkWeeksPYear*calcR2LOB2Clinician12Disc2Emp1AllowPerc</f>
        <v>0</v>
      </c>
      <c r="L1280" s="453">
        <f>calcR2LOB2Emp1Visits/paramR2WorkWeeksPYear*calcR2LOB2Clinician12Disc2Emp1AllowPerc</f>
        <v>0</v>
      </c>
      <c r="M1280" s="453">
        <f>calcR2LOB2Emp1Visits/paramR2WorkWeeksPYear*calcR2LOB2Clinician12Disc2Emp1AllowPerc</f>
        <v>0</v>
      </c>
      <c r="N1280" s="131" t="s">
        <v>6793</v>
      </c>
    </row>
    <row r="1281" spans="1:14" ht="12.75" customHeight="1">
      <c r="A1281" s="478"/>
      <c r="B1281" s="459"/>
      <c r="D1281" s="131" t="s">
        <v>554</v>
      </c>
      <c r="E1281" s="453">
        <f>calcLOB2Emp1Visits/paramWorkWeeksPYear*calcLOB2Clinician14Disc2Emp1AllowPerc</f>
        <v>174.76700826290042</v>
      </c>
      <c r="F1281" s="453">
        <f>calcLOB2Emp1Visits/paramWorkWeeksPYear*calcLOB2Clinician14Disc2Emp1AllowPerc</f>
        <v>97.272436921111478</v>
      </c>
      <c r="G1281" s="453">
        <f>calcLOB2Emp1Visits/paramWorkWeeksPYear*calcLOB2Clinician14Disc2Emp1AllowPerc</f>
        <v>245.23696574373943</v>
      </c>
      <c r="H1281" s="131" t="s">
        <v>4104</v>
      </c>
      <c r="J1281" s="131" t="s">
        <v>554</v>
      </c>
      <c r="K1281" s="453">
        <f>calcR2LOB2Emp1Visits/paramR2WorkWeeksPYear*calcR2LOB2Clinician14Disc2Emp1AllowPerc</f>
        <v>179.18339932680135</v>
      </c>
      <c r="L1281" s="453">
        <f>calcR2LOB2Emp1Visits/paramR2WorkWeeksPYear*calcR2LOB2Clinician14Disc2Emp1AllowPerc</f>
        <v>97.272436921111478</v>
      </c>
      <c r="M1281" s="453">
        <f>calcR2LOB2Emp1Visits/paramR2WorkWeeksPYear*calcR2LOB2Clinician14Disc2Emp1AllowPerc</f>
        <v>245.23696574373943</v>
      </c>
      <c r="N1281" s="131" t="s">
        <v>6794</v>
      </c>
    </row>
    <row r="1282" spans="1:14" ht="1.5" customHeight="1">
      <c r="A1282" s="461"/>
      <c r="B1282" s="459"/>
      <c r="D1282" s="449"/>
      <c r="E1282" s="751"/>
      <c r="F1282" s="751"/>
      <c r="G1282" s="751"/>
      <c r="H1282" s="131"/>
      <c r="J1282" s="449"/>
      <c r="K1282" s="450"/>
      <c r="L1282" s="450"/>
      <c r="M1282" s="450"/>
      <c r="N1282" s="131"/>
    </row>
    <row r="1283" spans="1:14" ht="12.75" customHeight="1">
      <c r="A1283" s="461"/>
      <c r="B1283" s="459"/>
      <c r="D1283" s="131" t="s">
        <v>13</v>
      </c>
      <c r="E1283" s="453">
        <f>SUM(E1256:E1282)</f>
        <v>437.09999999999991</v>
      </c>
      <c r="F1283" s="453">
        <f t="shared" ref="F1283" si="190">SUM(F1256:F1282)</f>
        <v>334.8</v>
      </c>
      <c r="G1283" s="453">
        <f t="shared" ref="G1283" si="191">SUM(G1256:G1282)</f>
        <v>667.27499999999986</v>
      </c>
      <c r="H1283" s="131" t="s">
        <v>8351</v>
      </c>
      <c r="J1283" s="131"/>
      <c r="K1283" s="453">
        <f>SUM(K1256:K1282)</f>
        <v>455.69999999999993</v>
      </c>
      <c r="L1283" s="453">
        <f t="shared" ref="L1283" si="192">SUM(L1256:L1282)</f>
        <v>334.8</v>
      </c>
      <c r="M1283" s="453">
        <f t="shared" ref="M1283" si="193">SUM(M1256:M1282)</f>
        <v>667.27499999999986</v>
      </c>
      <c r="N1283" s="131" t="s">
        <v>8352</v>
      </c>
    </row>
    <row r="1284" spans="1:14" ht="12.75" customHeight="1">
      <c r="A1284" s="478"/>
      <c r="B1284" s="459"/>
    </row>
    <row r="1285" spans="1:14" ht="12.75" customHeight="1">
      <c r="A1285" s="478"/>
      <c r="B1285" s="459"/>
      <c r="C1285" s="131" t="s">
        <v>3588</v>
      </c>
    </row>
    <row r="1286" spans="1:14" ht="12.75" customHeight="1">
      <c r="A1286" s="478"/>
      <c r="B1286" s="459"/>
      <c r="C1286" s="170">
        <v>1</v>
      </c>
      <c r="D1286" s="131" t="s">
        <v>550</v>
      </c>
      <c r="E1286" s="453">
        <f>decLOB2Cln1WeekProdMod_R1</f>
        <v>0</v>
      </c>
      <c r="F1286" s="453">
        <f>decLOB2Cln1WeekProdMod_R1</f>
        <v>0</v>
      </c>
      <c r="G1286" s="453">
        <f>decLOB2Cln1WeekProdMod_R1</f>
        <v>0</v>
      </c>
      <c r="H1286" s="131" t="s">
        <v>3614</v>
      </c>
      <c r="J1286" s="131" t="s">
        <v>550</v>
      </c>
      <c r="K1286" s="453">
        <f>decLOB2Cln1WeekProdMod_R2</f>
        <v>0</v>
      </c>
      <c r="L1286" s="453">
        <f>decLOB2Cln1WeekProdMod_R2</f>
        <v>0</v>
      </c>
      <c r="M1286" s="453">
        <f>decLOB2Cln1WeekProdMod_R2</f>
        <v>0</v>
      </c>
      <c r="N1286" s="131" t="s">
        <v>6795</v>
      </c>
    </row>
    <row r="1287" spans="1:14" ht="12.75" customHeight="1">
      <c r="A1287" s="478"/>
      <c r="B1287" s="459"/>
      <c r="C1287" s="170">
        <v>2</v>
      </c>
      <c r="D1287" s="131" t="s">
        <v>550</v>
      </c>
      <c r="E1287" s="453">
        <f>decLOB2Cln2WeekProdMod_R1</f>
        <v>0</v>
      </c>
      <c r="F1287" s="453">
        <f>decLOB2Cln2WeekProdMod_R1</f>
        <v>0</v>
      </c>
      <c r="G1287" s="453">
        <f>decLOB2Cln2WeekProdMod_R1</f>
        <v>0</v>
      </c>
      <c r="H1287" s="131" t="s">
        <v>3615</v>
      </c>
      <c r="J1287" s="131" t="s">
        <v>550</v>
      </c>
      <c r="K1287" s="453">
        <f>decLOB2Cln2WeekProdMod_R2</f>
        <v>0</v>
      </c>
      <c r="L1287" s="453">
        <f>decLOB2Cln2WeekProdMod_R2</f>
        <v>0</v>
      </c>
      <c r="M1287" s="453">
        <f>decLOB2Cln2WeekProdMod_R2</f>
        <v>0</v>
      </c>
      <c r="N1287" s="131" t="s">
        <v>6796</v>
      </c>
    </row>
    <row r="1288" spans="1:14" ht="12.75" customHeight="1">
      <c r="A1288" s="478"/>
      <c r="B1288" s="459"/>
      <c r="C1288" s="170">
        <v>3</v>
      </c>
      <c r="D1288" s="131" t="s">
        <v>550</v>
      </c>
      <c r="E1288" s="453">
        <f>decLOB2Cln3WeekProdMod_R1</f>
        <v>0</v>
      </c>
      <c r="F1288" s="453">
        <f>decLOB2Cln3WeekProdMod_R1</f>
        <v>0</v>
      </c>
      <c r="G1288" s="453">
        <f>decLOB2Cln3WeekProdMod_R1</f>
        <v>0</v>
      </c>
      <c r="H1288" s="131" t="s">
        <v>3616</v>
      </c>
      <c r="J1288" s="131" t="s">
        <v>550</v>
      </c>
      <c r="K1288" s="453">
        <f>decLOB2Cln3WeekProdMod_R2</f>
        <v>0</v>
      </c>
      <c r="L1288" s="453">
        <f>decLOB2Cln3WeekProdMod_R2</f>
        <v>0</v>
      </c>
      <c r="M1288" s="453">
        <f>decLOB2Cln3WeekProdMod_R2</f>
        <v>0</v>
      </c>
      <c r="N1288" s="131" t="s">
        <v>6797</v>
      </c>
    </row>
    <row r="1289" spans="1:14" ht="12.75" customHeight="1">
      <c r="A1289" s="478"/>
      <c r="B1289" s="459"/>
      <c r="C1289" s="170">
        <v>4</v>
      </c>
      <c r="D1289" s="131" t="s">
        <v>550</v>
      </c>
      <c r="E1289" s="453">
        <f>decLOB2Cln4WeekProdMod_R1</f>
        <v>0</v>
      </c>
      <c r="F1289" s="453">
        <f>decLOB2Cln4WeekProdMod_R1</f>
        <v>0</v>
      </c>
      <c r="G1289" s="453">
        <f>decLOB2Cln4WeekProdMod_R1</f>
        <v>0</v>
      </c>
      <c r="H1289" s="131" t="s">
        <v>3617</v>
      </c>
      <c r="J1289" s="131" t="s">
        <v>550</v>
      </c>
      <c r="K1289" s="453">
        <f>decLOB2Cln4WeekProdMod_R2</f>
        <v>0</v>
      </c>
      <c r="L1289" s="453">
        <f>decLOB2Cln4WeekProdMod_R2</f>
        <v>0</v>
      </c>
      <c r="M1289" s="453">
        <f>decLOB2Cln4WeekProdMod_R2</f>
        <v>0</v>
      </c>
      <c r="N1289" s="131" t="s">
        <v>6798</v>
      </c>
    </row>
    <row r="1290" spans="1:14" ht="12.75" customHeight="1">
      <c r="A1290" s="478"/>
      <c r="B1290" s="459"/>
      <c r="C1290" s="170">
        <v>5</v>
      </c>
      <c r="D1290" s="131" t="s">
        <v>550</v>
      </c>
      <c r="E1290" s="453">
        <f>decLOB2Cln5WeekProdMod_R1</f>
        <v>0</v>
      </c>
      <c r="F1290" s="453">
        <f>decLOB2Cln5WeekProdMod_R1</f>
        <v>0</v>
      </c>
      <c r="G1290" s="453">
        <f>decLOB2Cln5WeekProdMod_R1</f>
        <v>0</v>
      </c>
      <c r="H1290" s="131" t="s">
        <v>3618</v>
      </c>
      <c r="J1290" s="131" t="s">
        <v>550</v>
      </c>
      <c r="K1290" s="453">
        <f>decLOB2Cln5WeekProdMod_R2</f>
        <v>0</v>
      </c>
      <c r="L1290" s="453">
        <f>decLOB2Cln5WeekProdMod_R2</f>
        <v>0</v>
      </c>
      <c r="M1290" s="453">
        <f>decLOB2Cln5WeekProdMod_R2</f>
        <v>0</v>
      </c>
      <c r="N1290" s="131" t="s">
        <v>6799</v>
      </c>
    </row>
    <row r="1291" spans="1:14" ht="12.75" customHeight="1">
      <c r="A1291" s="478"/>
      <c r="B1291" s="459"/>
      <c r="C1291" s="170">
        <v>6</v>
      </c>
      <c r="D1291" s="131" t="s">
        <v>550</v>
      </c>
      <c r="E1291" s="453">
        <f>decLOB2Cln6WeekProdMod_R1</f>
        <v>0</v>
      </c>
      <c r="F1291" s="453">
        <f>decLOB2Cln6WeekProdMod_R1</f>
        <v>0</v>
      </c>
      <c r="G1291" s="453">
        <f>decLOB2Cln6WeekProdMod_R1</f>
        <v>0</v>
      </c>
      <c r="H1291" s="131" t="s">
        <v>3619</v>
      </c>
      <c r="J1291" s="131" t="s">
        <v>550</v>
      </c>
      <c r="K1291" s="453">
        <f>decLOB2Cln6WeekProdMod_R2</f>
        <v>0</v>
      </c>
      <c r="L1291" s="453">
        <f>decLOB2Cln6WeekProdMod_R2</f>
        <v>0</v>
      </c>
      <c r="M1291" s="453">
        <f>decLOB2Cln6WeekProdMod_R2</f>
        <v>0</v>
      </c>
      <c r="N1291" s="131" t="s">
        <v>6800</v>
      </c>
    </row>
    <row r="1292" spans="1:14" ht="12.75" customHeight="1">
      <c r="A1292" s="478"/>
      <c r="B1292" s="459"/>
      <c r="C1292" s="170">
        <v>7</v>
      </c>
      <c r="D1292" s="131" t="s">
        <v>550</v>
      </c>
      <c r="E1292" s="453">
        <f>decLOB2Cln7WeekProdMod_R1</f>
        <v>0</v>
      </c>
      <c r="F1292" s="453">
        <f>decLOB2Cln7WeekProdMod_R1</f>
        <v>0</v>
      </c>
      <c r="G1292" s="453">
        <f>decLOB2Cln7WeekProdMod_R1</f>
        <v>0</v>
      </c>
      <c r="H1292" s="131" t="s">
        <v>3620</v>
      </c>
      <c r="J1292" s="131" t="s">
        <v>550</v>
      </c>
      <c r="K1292" s="453">
        <f>decLOB2Cln7WeekProdMod_R2</f>
        <v>0</v>
      </c>
      <c r="L1292" s="453">
        <f>decLOB2Cln7WeekProdMod_R2</f>
        <v>0</v>
      </c>
      <c r="M1292" s="453">
        <f>decLOB2Cln7WeekProdMod_R2</f>
        <v>0</v>
      </c>
      <c r="N1292" s="131" t="s">
        <v>6801</v>
      </c>
    </row>
    <row r="1293" spans="1:14" ht="12.75" customHeight="1">
      <c r="A1293" s="478"/>
      <c r="B1293" s="459"/>
      <c r="C1293" s="170">
        <v>8</v>
      </c>
      <c r="D1293" s="131" t="s">
        <v>550</v>
      </c>
      <c r="E1293" s="453">
        <f>decLOB2Cln8WeekProdMod_R1</f>
        <v>0</v>
      </c>
      <c r="F1293" s="453">
        <f>decLOB2Cln8WeekProdMod_R1</f>
        <v>0</v>
      </c>
      <c r="G1293" s="453">
        <f>decLOB2Cln8WeekProdMod_R1</f>
        <v>0</v>
      </c>
      <c r="H1293" s="131" t="s">
        <v>3621</v>
      </c>
      <c r="J1293" s="131" t="s">
        <v>550</v>
      </c>
      <c r="K1293" s="453">
        <f>decLOB2Cln8WeekProdMod_R2</f>
        <v>0</v>
      </c>
      <c r="L1293" s="453">
        <f>decLOB2Cln8WeekProdMod_R2</f>
        <v>0</v>
      </c>
      <c r="M1293" s="453">
        <f>decLOB2Cln8WeekProdMod_R2</f>
        <v>0</v>
      </c>
      <c r="N1293" s="131" t="s">
        <v>6802</v>
      </c>
    </row>
    <row r="1294" spans="1:14" ht="12.75" customHeight="1">
      <c r="A1294" s="478"/>
      <c r="B1294" s="459"/>
      <c r="C1294" s="170">
        <v>9</v>
      </c>
      <c r="D1294" s="131" t="s">
        <v>550</v>
      </c>
      <c r="E1294" s="453">
        <f>decLOB2Cln9WeekProdMod_R1</f>
        <v>0</v>
      </c>
      <c r="F1294" s="453">
        <f>decLOB2Cln9WeekProdMod_R1</f>
        <v>0</v>
      </c>
      <c r="G1294" s="453">
        <f>decLOB2Cln9WeekProdMod_R1</f>
        <v>0</v>
      </c>
      <c r="H1294" s="131" t="s">
        <v>3622</v>
      </c>
      <c r="J1294" s="131" t="s">
        <v>550</v>
      </c>
      <c r="K1294" s="453">
        <f>decLOB2Cln9WeekProdMod_R2</f>
        <v>0</v>
      </c>
      <c r="L1294" s="453">
        <f>decLOB2Cln9WeekProdMod_R2</f>
        <v>0</v>
      </c>
      <c r="M1294" s="453">
        <f>decLOB2Cln9WeekProdMod_R2</f>
        <v>0</v>
      </c>
      <c r="N1294" s="131" t="s">
        <v>6803</v>
      </c>
    </row>
    <row r="1295" spans="1:14" ht="12.75" customHeight="1">
      <c r="A1295" s="478"/>
      <c r="B1295" s="459"/>
      <c r="C1295" s="170">
        <v>10</v>
      </c>
      <c r="D1295" s="131" t="s">
        <v>550</v>
      </c>
      <c r="E1295" s="453">
        <f>decLOB2Cln10WeekProdMod_R1</f>
        <v>0</v>
      </c>
      <c r="F1295" s="453">
        <f>decLOB2Cln10WeekProdMod_R1</f>
        <v>0</v>
      </c>
      <c r="G1295" s="453">
        <f>decLOB2Cln10WeekProdMod_R1</f>
        <v>0</v>
      </c>
      <c r="H1295" s="131" t="s">
        <v>3623</v>
      </c>
      <c r="J1295" s="131" t="s">
        <v>550</v>
      </c>
      <c r="K1295" s="453">
        <f>decLOB2Cln10WeekProdMod_R2</f>
        <v>0</v>
      </c>
      <c r="L1295" s="453">
        <f>decLOB2Cln10WeekProdMod_R2</f>
        <v>0</v>
      </c>
      <c r="M1295" s="453">
        <f>decLOB2Cln10WeekProdMod_R2</f>
        <v>0</v>
      </c>
      <c r="N1295" s="131" t="s">
        <v>6804</v>
      </c>
    </row>
    <row r="1296" spans="1:14" ht="12.75" customHeight="1">
      <c r="A1296" s="478"/>
      <c r="B1296" s="459"/>
      <c r="C1296" s="170">
        <v>11</v>
      </c>
      <c r="D1296" s="131" t="s">
        <v>550</v>
      </c>
      <c r="E1296" s="453">
        <f>decLOB2Cln11WeekProdMod_R1</f>
        <v>0</v>
      </c>
      <c r="F1296" s="453">
        <f>decLOB2Cln11WeekProdMod_R1</f>
        <v>0</v>
      </c>
      <c r="G1296" s="453">
        <f>decLOB2Cln11WeekProdMod_R1</f>
        <v>0</v>
      </c>
      <c r="H1296" s="131" t="s">
        <v>3624</v>
      </c>
      <c r="J1296" s="131" t="s">
        <v>550</v>
      </c>
      <c r="K1296" s="453">
        <f>decLOB2Cln11WeekProdMod_R2</f>
        <v>0</v>
      </c>
      <c r="L1296" s="453">
        <f>decLOB2Cln11WeekProdMod_R2</f>
        <v>0</v>
      </c>
      <c r="M1296" s="453">
        <f>decLOB2Cln11WeekProdMod_R2</f>
        <v>0</v>
      </c>
      <c r="N1296" s="131" t="s">
        <v>6805</v>
      </c>
    </row>
    <row r="1297" spans="1:14" ht="12.75" customHeight="1">
      <c r="A1297" s="478"/>
      <c r="B1297" s="459"/>
      <c r="C1297" s="170">
        <v>12</v>
      </c>
      <c r="D1297" s="131" t="s">
        <v>550</v>
      </c>
      <c r="E1297" s="453">
        <f>decLOB2Cln12WeekProdMod_R1</f>
        <v>0</v>
      </c>
      <c r="F1297" s="453">
        <f>decLOB2Cln12WeekProdMod_R1</f>
        <v>0</v>
      </c>
      <c r="G1297" s="453">
        <f>decLOB2Cln12WeekProdMod_R1</f>
        <v>0</v>
      </c>
      <c r="H1297" s="131" t="s">
        <v>3625</v>
      </c>
      <c r="J1297" s="131" t="s">
        <v>550</v>
      </c>
      <c r="K1297" s="453">
        <f>decLOB2Cln12WeekProdMod_R2</f>
        <v>0</v>
      </c>
      <c r="L1297" s="453">
        <f>decLOB2Cln12WeekProdMod_R2</f>
        <v>0</v>
      </c>
      <c r="M1297" s="453">
        <f>decLOB2Cln12WeekProdMod_R2</f>
        <v>0</v>
      </c>
      <c r="N1297" s="131" t="s">
        <v>6806</v>
      </c>
    </row>
    <row r="1298" spans="1:14" ht="12.75" customHeight="1">
      <c r="A1298" s="478"/>
      <c r="B1298" s="459"/>
      <c r="C1298" s="170">
        <v>1</v>
      </c>
      <c r="D1298" s="131" t="s">
        <v>554</v>
      </c>
      <c r="E1298" s="453">
        <f>decLOB2Cln1WeekProdMod_R1</f>
        <v>0</v>
      </c>
      <c r="F1298" s="453">
        <f>decLOB2Cln1WeekProdMod_R1</f>
        <v>0</v>
      </c>
      <c r="G1298" s="453">
        <f>decLOB2Cln1WeekProdMod_R1</f>
        <v>0</v>
      </c>
      <c r="H1298" s="131" t="s">
        <v>3626</v>
      </c>
      <c r="J1298" s="131" t="s">
        <v>554</v>
      </c>
      <c r="K1298" s="453">
        <f>decLOB2Cln1WeekProdMod_R2</f>
        <v>0</v>
      </c>
      <c r="L1298" s="453">
        <f>decLOB2Cln1WeekProdMod_R2</f>
        <v>0</v>
      </c>
      <c r="M1298" s="453">
        <f>decLOB2Cln1WeekProdMod_R2</f>
        <v>0</v>
      </c>
      <c r="N1298" s="131" t="s">
        <v>6807</v>
      </c>
    </row>
    <row r="1299" spans="1:14" ht="12.75" customHeight="1">
      <c r="A1299" s="478"/>
      <c r="B1299" s="459"/>
      <c r="C1299" s="170">
        <v>2</v>
      </c>
      <c r="D1299" s="131" t="s">
        <v>554</v>
      </c>
      <c r="E1299" s="453">
        <f>decLOB2Cln2WeekProdMod_R1</f>
        <v>0</v>
      </c>
      <c r="F1299" s="453">
        <f>decLOB2Cln2WeekProdMod_R1</f>
        <v>0</v>
      </c>
      <c r="G1299" s="453">
        <f>decLOB2Cln2WeekProdMod_R1</f>
        <v>0</v>
      </c>
      <c r="H1299" s="131" t="s">
        <v>3627</v>
      </c>
      <c r="J1299" s="131" t="s">
        <v>554</v>
      </c>
      <c r="K1299" s="453">
        <f>decLOB2Cln2WeekProdMod_R2</f>
        <v>0</v>
      </c>
      <c r="L1299" s="453">
        <f>decLOB2Cln2WeekProdMod_R2</f>
        <v>0</v>
      </c>
      <c r="M1299" s="453">
        <f>decLOB2Cln2WeekProdMod_R2</f>
        <v>0</v>
      </c>
      <c r="N1299" s="131" t="s">
        <v>6808</v>
      </c>
    </row>
    <row r="1300" spans="1:14" ht="12.75" customHeight="1">
      <c r="A1300" s="478"/>
      <c r="B1300" s="459"/>
      <c r="C1300" s="170">
        <v>3</v>
      </c>
      <c r="D1300" s="131" t="s">
        <v>554</v>
      </c>
      <c r="E1300" s="453">
        <f>decLOB2Cln3WeekProdMod_R1</f>
        <v>0</v>
      </c>
      <c r="F1300" s="453">
        <f>decLOB2Cln3WeekProdMod_R1</f>
        <v>0</v>
      </c>
      <c r="G1300" s="453">
        <f>decLOB2Cln3WeekProdMod_R1</f>
        <v>0</v>
      </c>
      <c r="H1300" s="131" t="s">
        <v>3628</v>
      </c>
      <c r="J1300" s="131" t="s">
        <v>554</v>
      </c>
      <c r="K1300" s="453">
        <f>decLOB2Cln3WeekProdMod_R2</f>
        <v>0</v>
      </c>
      <c r="L1300" s="453">
        <f>decLOB2Cln3WeekProdMod_R2</f>
        <v>0</v>
      </c>
      <c r="M1300" s="453">
        <f>decLOB2Cln3WeekProdMod_R2</f>
        <v>0</v>
      </c>
      <c r="N1300" s="131" t="s">
        <v>6809</v>
      </c>
    </row>
    <row r="1301" spans="1:14" ht="12.75" customHeight="1">
      <c r="A1301" s="478"/>
      <c r="B1301" s="459"/>
      <c r="C1301" s="170">
        <v>4</v>
      </c>
      <c r="D1301" s="131" t="s">
        <v>554</v>
      </c>
      <c r="E1301" s="453">
        <f>decLOB2Cln4WeekProdMod_R1</f>
        <v>0</v>
      </c>
      <c r="F1301" s="453">
        <f>decLOB2Cln4WeekProdMod_R1</f>
        <v>0</v>
      </c>
      <c r="G1301" s="453">
        <f>decLOB2Cln4WeekProdMod_R1</f>
        <v>0</v>
      </c>
      <c r="H1301" s="131" t="s">
        <v>3629</v>
      </c>
      <c r="J1301" s="131" t="s">
        <v>554</v>
      </c>
      <c r="K1301" s="453">
        <f>decLOB2Cln4WeekProdMod_R2</f>
        <v>0</v>
      </c>
      <c r="L1301" s="453">
        <f>decLOB2Cln4WeekProdMod_R2</f>
        <v>0</v>
      </c>
      <c r="M1301" s="453">
        <f>decLOB2Cln4WeekProdMod_R2</f>
        <v>0</v>
      </c>
      <c r="N1301" s="131" t="s">
        <v>6810</v>
      </c>
    </row>
    <row r="1302" spans="1:14" ht="12.75" customHeight="1">
      <c r="A1302" s="478"/>
      <c r="B1302" s="459"/>
      <c r="C1302" s="170">
        <v>5</v>
      </c>
      <c r="D1302" s="131" t="s">
        <v>554</v>
      </c>
      <c r="E1302" s="453">
        <f>decLOB2Cln5WeekProdMod_R1</f>
        <v>0</v>
      </c>
      <c r="F1302" s="453">
        <f>decLOB2Cln5WeekProdMod_R1</f>
        <v>0</v>
      </c>
      <c r="G1302" s="453">
        <f>decLOB2Cln5WeekProdMod_R1</f>
        <v>0</v>
      </c>
      <c r="H1302" s="131" t="s">
        <v>3630</v>
      </c>
      <c r="J1302" s="131" t="s">
        <v>554</v>
      </c>
      <c r="K1302" s="453">
        <f>decLOB2Cln5WeekProdMod_R2</f>
        <v>0</v>
      </c>
      <c r="L1302" s="453">
        <f>decLOB2Cln5WeekProdMod_R2</f>
        <v>0</v>
      </c>
      <c r="M1302" s="453">
        <f>decLOB2Cln5WeekProdMod_R2</f>
        <v>0</v>
      </c>
      <c r="N1302" s="131" t="s">
        <v>6811</v>
      </c>
    </row>
    <row r="1303" spans="1:14" ht="12.75" customHeight="1">
      <c r="A1303" s="478"/>
      <c r="B1303" s="459"/>
      <c r="C1303" s="170">
        <v>6</v>
      </c>
      <c r="D1303" s="131" t="s">
        <v>554</v>
      </c>
      <c r="E1303" s="453">
        <f>decLOB2Cln6WeekProdMod_R1</f>
        <v>0</v>
      </c>
      <c r="F1303" s="453">
        <f>decLOB2Cln6WeekProdMod_R1</f>
        <v>0</v>
      </c>
      <c r="G1303" s="453">
        <f>decLOB2Cln6WeekProdMod_R1</f>
        <v>0</v>
      </c>
      <c r="H1303" s="131" t="s">
        <v>3631</v>
      </c>
      <c r="J1303" s="131" t="s">
        <v>554</v>
      </c>
      <c r="K1303" s="453">
        <f>decLOB2Cln6WeekProdMod_R2</f>
        <v>0</v>
      </c>
      <c r="L1303" s="453">
        <f>decLOB2Cln6WeekProdMod_R2</f>
        <v>0</v>
      </c>
      <c r="M1303" s="453">
        <f>decLOB2Cln6WeekProdMod_R2</f>
        <v>0</v>
      </c>
      <c r="N1303" s="131" t="s">
        <v>6812</v>
      </c>
    </row>
    <row r="1304" spans="1:14" ht="12.75" customHeight="1">
      <c r="A1304" s="478"/>
      <c r="B1304" s="459"/>
      <c r="C1304" s="170">
        <v>7</v>
      </c>
      <c r="D1304" s="131" t="s">
        <v>554</v>
      </c>
      <c r="E1304" s="453">
        <f>decLOB2Cln7WeekProdMod_R1</f>
        <v>0</v>
      </c>
      <c r="F1304" s="453">
        <f>decLOB2Cln7WeekProdMod_R1</f>
        <v>0</v>
      </c>
      <c r="G1304" s="453">
        <f>decLOB2Cln7WeekProdMod_R1</f>
        <v>0</v>
      </c>
      <c r="H1304" s="131" t="s">
        <v>3632</v>
      </c>
      <c r="J1304" s="131" t="s">
        <v>554</v>
      </c>
      <c r="K1304" s="453">
        <f>decLOB2Cln7WeekProdMod_R2</f>
        <v>0</v>
      </c>
      <c r="L1304" s="453">
        <f>decLOB2Cln7WeekProdMod_R2</f>
        <v>0</v>
      </c>
      <c r="M1304" s="453">
        <f>decLOB2Cln7WeekProdMod_R2</f>
        <v>0</v>
      </c>
      <c r="N1304" s="131" t="s">
        <v>6813</v>
      </c>
    </row>
    <row r="1305" spans="1:14" ht="12.75" customHeight="1">
      <c r="A1305" s="478"/>
      <c r="B1305" s="459"/>
      <c r="C1305" s="170">
        <v>8</v>
      </c>
      <c r="D1305" s="131" t="s">
        <v>554</v>
      </c>
      <c r="E1305" s="453">
        <f>decLOB2Cln8WeekProdMod_R1</f>
        <v>0</v>
      </c>
      <c r="F1305" s="453">
        <f>decLOB2Cln8WeekProdMod_R1</f>
        <v>0</v>
      </c>
      <c r="G1305" s="453">
        <f>decLOB2Cln8WeekProdMod_R1</f>
        <v>0</v>
      </c>
      <c r="H1305" s="131" t="s">
        <v>3633</v>
      </c>
      <c r="J1305" s="131" t="s">
        <v>554</v>
      </c>
      <c r="K1305" s="453">
        <f>decLOB2Cln8WeekProdMod_R2</f>
        <v>0</v>
      </c>
      <c r="L1305" s="453">
        <f>decLOB2Cln8WeekProdMod_R2</f>
        <v>0</v>
      </c>
      <c r="M1305" s="453">
        <f>decLOB2Cln8WeekProdMod_R2</f>
        <v>0</v>
      </c>
      <c r="N1305" s="131" t="s">
        <v>6814</v>
      </c>
    </row>
    <row r="1306" spans="1:14" ht="12.75" customHeight="1">
      <c r="A1306" s="478"/>
      <c r="B1306" s="459"/>
      <c r="C1306" s="170">
        <v>9</v>
      </c>
      <c r="D1306" s="131" t="s">
        <v>554</v>
      </c>
      <c r="E1306" s="453">
        <f>decLOB2Cln9WeekProdMod_R1</f>
        <v>0</v>
      </c>
      <c r="F1306" s="453">
        <f>decLOB2Cln9WeekProdMod_R1</f>
        <v>0</v>
      </c>
      <c r="G1306" s="453">
        <f>decLOB2Cln9WeekProdMod_R1</f>
        <v>0</v>
      </c>
      <c r="H1306" s="131" t="s">
        <v>3634</v>
      </c>
      <c r="J1306" s="131" t="s">
        <v>554</v>
      </c>
      <c r="K1306" s="453">
        <f>decLOB2Cln9WeekProdMod_R2</f>
        <v>0</v>
      </c>
      <c r="L1306" s="453">
        <f>decLOB2Cln9WeekProdMod_R2</f>
        <v>0</v>
      </c>
      <c r="M1306" s="453">
        <f>decLOB2Cln9WeekProdMod_R2</f>
        <v>0</v>
      </c>
      <c r="N1306" s="131" t="s">
        <v>6815</v>
      </c>
    </row>
    <row r="1307" spans="1:14" ht="12.75" customHeight="1">
      <c r="A1307" s="478"/>
      <c r="B1307" s="459"/>
      <c r="C1307" s="170">
        <v>10</v>
      </c>
      <c r="D1307" s="131" t="s">
        <v>554</v>
      </c>
      <c r="E1307" s="453">
        <f>decLOB2Cln10WeekProdMod_R1</f>
        <v>0</v>
      </c>
      <c r="F1307" s="453">
        <f>decLOB2Cln10WeekProdMod_R1</f>
        <v>0</v>
      </c>
      <c r="G1307" s="453">
        <f>decLOB2Cln10WeekProdMod_R1</f>
        <v>0</v>
      </c>
      <c r="H1307" s="131" t="s">
        <v>3635</v>
      </c>
      <c r="J1307" s="131" t="s">
        <v>554</v>
      </c>
      <c r="K1307" s="453">
        <f>decLOB2Cln10WeekProdMod_R2</f>
        <v>0</v>
      </c>
      <c r="L1307" s="453">
        <f>decLOB2Cln10WeekProdMod_R2</f>
        <v>0</v>
      </c>
      <c r="M1307" s="453">
        <f>decLOB2Cln10WeekProdMod_R2</f>
        <v>0</v>
      </c>
      <c r="N1307" s="131" t="s">
        <v>6816</v>
      </c>
    </row>
    <row r="1308" spans="1:14" ht="12.75" customHeight="1">
      <c r="A1308" s="478"/>
      <c r="B1308" s="459"/>
      <c r="C1308" s="170">
        <v>11</v>
      </c>
      <c r="D1308" s="131" t="s">
        <v>554</v>
      </c>
      <c r="E1308" s="453">
        <f>decLOB2Cln11WeekProdMod_R1</f>
        <v>0</v>
      </c>
      <c r="F1308" s="453">
        <f>decLOB2Cln11WeekProdMod_R1</f>
        <v>0</v>
      </c>
      <c r="G1308" s="453">
        <f>decLOB2Cln11WeekProdMod_R1</f>
        <v>0</v>
      </c>
      <c r="H1308" s="131" t="s">
        <v>3636</v>
      </c>
      <c r="J1308" s="131" t="s">
        <v>554</v>
      </c>
      <c r="K1308" s="453">
        <f>decLOB2Cln11WeekProdMod_R2</f>
        <v>0</v>
      </c>
      <c r="L1308" s="453">
        <f>decLOB2Cln11WeekProdMod_R2</f>
        <v>0</v>
      </c>
      <c r="M1308" s="453">
        <f>decLOB2Cln11WeekProdMod_R2</f>
        <v>0</v>
      </c>
      <c r="N1308" s="131" t="s">
        <v>6817</v>
      </c>
    </row>
    <row r="1309" spans="1:14" ht="12.75" customHeight="1">
      <c r="A1309" s="478"/>
      <c r="B1309" s="459"/>
      <c r="C1309" s="170">
        <v>12</v>
      </c>
      <c r="D1309" s="131" t="s">
        <v>554</v>
      </c>
      <c r="E1309" s="453">
        <f>decLOB2Cln12WeekProdMod_R1</f>
        <v>0</v>
      </c>
      <c r="F1309" s="453">
        <f>decLOB2Cln12WeekProdMod_R1</f>
        <v>0</v>
      </c>
      <c r="G1309" s="453">
        <f>decLOB2Cln12WeekProdMod_R1</f>
        <v>0</v>
      </c>
      <c r="H1309" s="131" t="s">
        <v>3637</v>
      </c>
      <c r="J1309" s="131" t="s">
        <v>554</v>
      </c>
      <c r="K1309" s="453">
        <f>decLOB2Cln12WeekProdMod_R2</f>
        <v>0</v>
      </c>
      <c r="L1309" s="453">
        <f>decLOB2Cln12WeekProdMod_R2</f>
        <v>0</v>
      </c>
      <c r="M1309" s="453">
        <f>decLOB2Cln12WeekProdMod_R2</f>
        <v>0</v>
      </c>
      <c r="N1309" s="131" t="s">
        <v>6818</v>
      </c>
    </row>
    <row r="1310" spans="1:14" ht="12.75" customHeight="1">
      <c r="A1310" s="478"/>
      <c r="B1310" s="459"/>
    </row>
    <row r="1311" spans="1:14" ht="12.75" customHeight="1">
      <c r="A1311" s="478"/>
      <c r="B1311" s="459"/>
    </row>
    <row r="1312" spans="1:14" ht="12.75" customHeight="1">
      <c r="A1312" s="478"/>
      <c r="B1312" s="459"/>
      <c r="C1312" s="131" t="s">
        <v>1588</v>
      </c>
    </row>
    <row r="1313" spans="1:14" ht="12.75" customHeight="1">
      <c r="A1313" s="478"/>
      <c r="B1313" s="459"/>
      <c r="C1313" s="170">
        <v>1</v>
      </c>
      <c r="D1313" s="131" t="s">
        <v>550</v>
      </c>
      <c r="E1313" s="453">
        <f>IF(calcLOB2Clinician1Disc1Emp1BaseProd=0,0,IF(calcLOB2Clinician1Disc1Emp1ModifiedProd=0,calcLOB2Clinician1Disc1Emp1BaseProd*paramLOB2Disc1Meetings*paramLOB2Meetings*paramLOB2Clinician1Meetings,calcLOB2Clinician1Disc1Emp1ModifiedProd))</f>
        <v>27</v>
      </c>
      <c r="F1313" s="453">
        <f>IF(calcLOB2Clinician1Disc1Emp1BaseProd=0,0,IF(calcLOB2Clinician1Disc1Emp1ModifiedProd=0,calcLOB2Clinician1Disc1Emp1BaseProd*paramLOB2Disc1Meetings*paramLOB2Meetings*paramLOB2Clinician1Meetings,calcLOB2Clinician1Disc1Emp1ModifiedProd))</f>
        <v>27</v>
      </c>
      <c r="G1313" s="453">
        <f>IF(calcLOB2Clinician1Disc1Emp1BaseProd=0,0,IF(calcLOB2Clinician1Disc1Emp1ModifiedProd=0,calcLOB2Clinician1Disc1Emp1BaseProd*paramLOB2Disc1Meetings*paramLOB2Meetings*paramLOB2Clinician1Meetings,calcLOB2Clinician1Disc1Emp1ModifiedProd))</f>
        <v>27</v>
      </c>
      <c r="H1313" s="131" t="s">
        <v>2334</v>
      </c>
      <c r="J1313" s="131" t="s">
        <v>550</v>
      </c>
      <c r="K1313" s="453">
        <f>IF(calcR2LOB2Clinician1Disc1Emp1BaseProd=0,0,IF(calcR2LOB2Clinician1Disc1Emp1ModifiedProd=0,calcR2LOB2Clinician1Disc1Emp1BaseProd*paramR2LOB2Disc1Meetings*paramR2LOB2Meetings*paramR2LOB2Clinician1Meetings,calcR2LOB2Clinician1Disc1Emp1ModifiedProd))</f>
        <v>27</v>
      </c>
      <c r="L1313" s="453">
        <f>IF(calcR2LOB2Clinician1Disc1Emp1BaseProd=0,0,IF(calcR2LOB2Clinician1Disc1Emp1ModifiedProd=0,calcR2LOB2Clinician1Disc1Emp1BaseProd*paramR2LOB2Disc1Meetings*paramR2LOB2Meetings*paramR2LOB2Clinician1Meetings,calcR2LOB2Clinician1Disc1Emp1ModifiedProd))</f>
        <v>27</v>
      </c>
      <c r="M1313" s="453">
        <f>IF(calcR2LOB2Clinician1Disc1Emp1BaseProd=0,0,IF(calcR2LOB2Clinician1Disc1Emp1ModifiedProd=0,calcR2LOB2Clinician1Disc1Emp1BaseProd*paramR2LOB2Disc1Meetings*paramR2LOB2Meetings*paramR2LOB2Clinician1Meetings,calcR2LOB2Clinician1Disc1Emp1ModifiedProd))</f>
        <v>27</v>
      </c>
      <c r="N1313" s="131" t="s">
        <v>6819</v>
      </c>
    </row>
    <row r="1314" spans="1:14" ht="12.75" customHeight="1">
      <c r="A1314" s="478"/>
      <c r="B1314" s="459"/>
      <c r="C1314" s="170">
        <v>2</v>
      </c>
      <c r="D1314" s="131" t="s">
        <v>550</v>
      </c>
      <c r="E1314" s="453">
        <f>IF(calcLOB2Clinician2Disc1Emp1BaseProd=0,0,IF(calcLOB2Clinician2Disc1Emp1ModifiedProd=0,calcLOB2Clinician2Disc1Emp1BaseProd*paramLOB2Disc1Meetings*paramLOB2Meetings*paramLOB2Clinician2Meetings,calcLOB2Clinician2Disc1Emp1ModifiedProd))</f>
        <v>28</v>
      </c>
      <c r="F1314" s="453">
        <f>IF(calcLOB2Clinician2Disc1Emp1BaseProd=0,0,IF(calcLOB2Clinician2Disc1Emp1ModifiedProd=0,calcLOB2Clinician2Disc1Emp1BaseProd*paramLOB2Disc1Meetings*paramLOB2Meetings*paramLOB2Clinician2Meetings,calcLOB2Clinician2Disc1Emp1ModifiedProd))</f>
        <v>28</v>
      </c>
      <c r="G1314" s="453">
        <f>IF(calcLOB2Clinician2Disc1Emp1BaseProd=0,0,IF(calcLOB2Clinician2Disc1Emp1ModifiedProd=0,calcLOB2Clinician2Disc1Emp1BaseProd*paramLOB2Disc1Meetings*paramLOB2Meetings*paramLOB2Clinician2Meetings,calcLOB2Clinician2Disc1Emp1ModifiedProd))</f>
        <v>28</v>
      </c>
      <c r="H1314" s="131" t="s">
        <v>2335</v>
      </c>
      <c r="J1314" s="131" t="s">
        <v>550</v>
      </c>
      <c r="K1314" s="453">
        <f>IF(calcR2LOB2Clinician2Disc1Emp1BaseProd=0,0,IF(calcR2LOB2Clinician2Disc1Emp1ModifiedProd=0,calcR2LOB2Clinician2Disc1Emp1BaseProd*paramR2LOB2Disc1Meetings*paramR2LOB2Meetings*paramR2LOB2Clinician2Meetings,calcR2LOB2Clinician2Disc1Emp1ModifiedProd))</f>
        <v>28</v>
      </c>
      <c r="L1314" s="453">
        <f>IF(calcR2LOB2Clinician2Disc1Emp1BaseProd=0,0,IF(calcR2LOB2Clinician2Disc1Emp1ModifiedProd=0,calcR2LOB2Clinician2Disc1Emp1BaseProd*paramR2LOB2Disc1Meetings*paramR2LOB2Meetings*paramR2LOB2Clinician2Meetings,calcR2LOB2Clinician2Disc1Emp1ModifiedProd))</f>
        <v>28</v>
      </c>
      <c r="M1314" s="453">
        <f>IF(calcR2LOB2Clinician2Disc1Emp1BaseProd=0,0,IF(calcR2LOB2Clinician2Disc1Emp1ModifiedProd=0,calcR2LOB2Clinician2Disc1Emp1BaseProd*paramR2LOB2Disc1Meetings*paramR2LOB2Meetings*paramR2LOB2Clinician2Meetings,calcR2LOB2Clinician2Disc1Emp1ModifiedProd))</f>
        <v>28</v>
      </c>
      <c r="N1314" s="131" t="s">
        <v>6820</v>
      </c>
    </row>
    <row r="1315" spans="1:14" ht="12.75" customHeight="1">
      <c r="A1315" s="478"/>
      <c r="B1315" s="459"/>
      <c r="C1315" s="170">
        <v>3</v>
      </c>
      <c r="D1315" s="131" t="s">
        <v>550</v>
      </c>
      <c r="E1315" s="453">
        <f>IF(calcLOB2Clinician3Disc1Emp1BaseProd=0,0,IF(calcLOB2Clinician3Disc1Emp1ModifiedProd=0,calcLOB2Clinician3Disc1Emp1BaseProd*paramLOB2Disc1Meetings*paramLOB2Meetings*paramLOB2Clinician3Meetings,calcLOB2Clinician3Disc1Emp1ModifiedProd))</f>
        <v>17.021276595744681</v>
      </c>
      <c r="F1315" s="453">
        <f>IF(calcLOB2Clinician3Disc1Emp1BaseProd=0,0,IF(calcLOB2Clinician3Disc1Emp1ModifiedProd=0,calcLOB2Clinician3Disc1Emp1BaseProd*paramLOB2Disc1Meetings*paramLOB2Meetings*paramLOB2Clinician3Meetings,calcLOB2Clinician3Disc1Emp1ModifiedProd))</f>
        <v>17.021276595744681</v>
      </c>
      <c r="G1315" s="453">
        <f>IF(calcLOB2Clinician3Disc1Emp1BaseProd=0,0,IF(calcLOB2Clinician3Disc1Emp1ModifiedProd=0,calcLOB2Clinician3Disc1Emp1BaseProd*paramLOB2Disc1Meetings*paramLOB2Meetings*paramLOB2Clinician3Meetings,calcLOB2Clinician3Disc1Emp1ModifiedProd))</f>
        <v>17.021276595744681</v>
      </c>
      <c r="H1315" s="131" t="s">
        <v>2336</v>
      </c>
      <c r="J1315" s="131" t="s">
        <v>550</v>
      </c>
      <c r="K1315" s="453">
        <f>IF(calcR2LOB2Clinician3Disc1Emp1BaseProd=0,0,IF(calcR2LOB2Clinician3Disc1Emp1ModifiedProd=0,calcR2LOB2Clinician3Disc1Emp1BaseProd*paramR2LOB2Disc1Meetings*paramR2LOB2Meetings*paramR2LOB2Clinician3Meetings,calcR2LOB2Clinician3Disc1Emp1ModifiedProd))</f>
        <v>17.021276595744681</v>
      </c>
      <c r="L1315" s="453">
        <f>IF(calcR2LOB2Clinician3Disc1Emp1BaseProd=0,0,IF(calcR2LOB2Clinician3Disc1Emp1ModifiedProd=0,calcR2LOB2Clinician3Disc1Emp1BaseProd*paramR2LOB2Disc1Meetings*paramR2LOB2Meetings*paramR2LOB2Clinician3Meetings,calcR2LOB2Clinician3Disc1Emp1ModifiedProd))</f>
        <v>17.021276595744681</v>
      </c>
      <c r="M1315" s="453">
        <f>IF(calcR2LOB2Clinician3Disc1Emp1BaseProd=0,0,IF(calcR2LOB2Clinician3Disc1Emp1ModifiedProd=0,calcR2LOB2Clinician3Disc1Emp1BaseProd*paramR2LOB2Disc1Meetings*paramR2LOB2Meetings*paramR2LOB2Clinician3Meetings,calcR2LOB2Clinician3Disc1Emp1ModifiedProd))</f>
        <v>17.021276595744681</v>
      </c>
      <c r="N1315" s="131" t="s">
        <v>6821</v>
      </c>
    </row>
    <row r="1316" spans="1:14" ht="12.75" customHeight="1">
      <c r="A1316" s="478"/>
      <c r="B1316" s="459"/>
      <c r="C1316" s="170">
        <v>4</v>
      </c>
      <c r="D1316" s="131" t="s">
        <v>550</v>
      </c>
      <c r="E1316" s="453">
        <f>IF(calcLOB2Clinician4Disc1Emp1BaseProd=0,0,IF(calcLOB2Clinician4Disc1Emp1ModifiedProd=0,calcLOB2Clinician4Disc1Emp1BaseProd*paramLOB2Disc1Meetings*paramLOB2Meetings*paramLOB2Clinician4Meetings,calcLOB2Clinician4Disc1Emp1ModifiedProd))</f>
        <v>16.666666666666668</v>
      </c>
      <c r="F1316" s="453">
        <f>IF(calcLOB2Clinician4Disc1Emp1BaseProd=0,0,IF(calcLOB2Clinician4Disc1Emp1ModifiedProd=0,calcLOB2Clinician4Disc1Emp1BaseProd*paramLOB2Disc1Meetings*paramLOB2Meetings*paramLOB2Clinician4Meetings,calcLOB2Clinician4Disc1Emp1ModifiedProd))</f>
        <v>16.666666666666668</v>
      </c>
      <c r="G1316" s="453">
        <f>IF(calcLOB2Clinician4Disc1Emp1BaseProd=0,0,IF(calcLOB2Clinician4Disc1Emp1ModifiedProd=0,calcLOB2Clinician4Disc1Emp1BaseProd*paramLOB2Disc1Meetings*paramLOB2Meetings*paramLOB2Clinician4Meetings,calcLOB2Clinician4Disc1Emp1ModifiedProd))</f>
        <v>16.666666666666668</v>
      </c>
      <c r="H1316" s="131" t="s">
        <v>2337</v>
      </c>
      <c r="J1316" s="131" t="s">
        <v>550</v>
      </c>
      <c r="K1316" s="453">
        <f>IF(calcR2LOB2Clinician4Disc1Emp1BaseProd=0,0,IF(calcR2LOB2Clinician4Disc1Emp1ModifiedProd=0,calcR2LOB2Clinician4Disc1Emp1BaseProd*paramR2LOB2Disc1Meetings*paramR2LOB2Meetings*paramR2LOB2Clinician4Meetings,calcR2LOB2Clinician4Disc1Emp1ModifiedProd))</f>
        <v>16.666666666666668</v>
      </c>
      <c r="L1316" s="453">
        <f>IF(calcR2LOB2Clinician4Disc1Emp1BaseProd=0,0,IF(calcR2LOB2Clinician4Disc1Emp1ModifiedProd=0,calcR2LOB2Clinician4Disc1Emp1BaseProd*paramR2LOB2Disc1Meetings*paramR2LOB2Meetings*paramR2LOB2Clinician4Meetings,calcR2LOB2Clinician4Disc1Emp1ModifiedProd))</f>
        <v>16.666666666666668</v>
      </c>
      <c r="M1316" s="453">
        <f>IF(calcR2LOB2Clinician4Disc1Emp1BaseProd=0,0,IF(calcR2LOB2Clinician4Disc1Emp1ModifiedProd=0,calcR2LOB2Clinician4Disc1Emp1BaseProd*paramR2LOB2Disc1Meetings*paramR2LOB2Meetings*paramR2LOB2Clinician4Meetings,calcR2LOB2Clinician4Disc1Emp1ModifiedProd))</f>
        <v>16.666666666666668</v>
      </c>
      <c r="N1316" s="131" t="s">
        <v>6822</v>
      </c>
    </row>
    <row r="1317" spans="1:14" ht="12.75" customHeight="1">
      <c r="A1317" s="478"/>
      <c r="B1317" s="459"/>
      <c r="C1317" s="170">
        <v>5</v>
      </c>
      <c r="D1317" s="131" t="s">
        <v>550</v>
      </c>
      <c r="E1317" s="453">
        <f>IF(calcLOB2Clinician5Disc1Emp1BaseProd=0,0,IF(calcLOB2Clinician5Disc1Emp1ModifiedProd=0,calcLOB2Clinician5Disc1Emp1BaseProd*paramLOB2Disc1Meetings*paramLOB2Meetings*paramLOB2Clinician5Meetings,calcLOB2Clinician5Disc1Emp1ModifiedProd))</f>
        <v>0</v>
      </c>
      <c r="F1317" s="453">
        <f>IF(calcLOB2Clinician5Disc1Emp1BaseProd=0,0,IF(calcLOB2Clinician5Disc1Emp1ModifiedProd=0,calcLOB2Clinician5Disc1Emp1BaseProd*paramLOB2Disc1Meetings*paramLOB2Meetings*paramLOB2Clinician5Meetings,calcLOB2Clinician5Disc1Emp1ModifiedProd))</f>
        <v>0</v>
      </c>
      <c r="G1317" s="453">
        <f>IF(calcLOB2Clinician5Disc1Emp1BaseProd=0,0,IF(calcLOB2Clinician5Disc1Emp1ModifiedProd=0,calcLOB2Clinician5Disc1Emp1BaseProd*paramLOB2Disc1Meetings*paramLOB2Meetings*paramLOB2Clinician5Meetings,calcLOB2Clinician5Disc1Emp1ModifiedProd))</f>
        <v>0</v>
      </c>
      <c r="H1317" s="131" t="s">
        <v>2338</v>
      </c>
      <c r="J1317" s="131" t="s">
        <v>550</v>
      </c>
      <c r="K1317" s="453">
        <f>IF(calcR2LOB2Clinician5Disc1Emp1BaseProd=0,0,IF(calcR2LOB2Clinician5Disc1Emp1ModifiedProd=0,calcR2LOB2Clinician5Disc1Emp1BaseProd*paramR2LOB2Disc1Meetings*paramR2LOB2Meetings*paramR2LOB2Clinician5Meetings,calcR2LOB2Clinician5Disc1Emp1ModifiedProd))</f>
        <v>0</v>
      </c>
      <c r="L1317" s="453">
        <f>IF(calcR2LOB2Clinician5Disc1Emp1BaseProd=0,0,IF(calcR2LOB2Clinician5Disc1Emp1ModifiedProd=0,calcR2LOB2Clinician5Disc1Emp1BaseProd*paramR2LOB2Disc1Meetings*paramR2LOB2Meetings*paramR2LOB2Clinician5Meetings,calcR2LOB2Clinician5Disc1Emp1ModifiedProd))</f>
        <v>0</v>
      </c>
      <c r="M1317" s="453">
        <f>IF(calcR2LOB2Clinician5Disc1Emp1BaseProd=0,0,IF(calcR2LOB2Clinician5Disc1Emp1ModifiedProd=0,calcR2LOB2Clinician5Disc1Emp1BaseProd*paramR2LOB2Disc1Meetings*paramR2LOB2Meetings*paramR2LOB2Clinician5Meetings,calcR2LOB2Clinician5Disc1Emp1ModifiedProd))</f>
        <v>0</v>
      </c>
      <c r="N1317" s="131" t="s">
        <v>6823</v>
      </c>
    </row>
    <row r="1318" spans="1:14" ht="12.75" customHeight="1">
      <c r="A1318" s="478"/>
      <c r="B1318" s="459"/>
      <c r="C1318" s="170">
        <v>6</v>
      </c>
      <c r="D1318" s="131" t="s">
        <v>550</v>
      </c>
      <c r="E1318" s="453">
        <f>IF(calcLOB2Clinician6Disc1Emp1BaseProd=0,0,IF(calcLOB2Clinician6Disc1Emp1ModifiedProd=0,calcLOB2Clinician6Disc1Emp1BaseProd*paramLOB2Disc1Meetings*paramLOB2Meetings*paramLOB2Clinician6Meetings,calcLOB2Clinician6Disc1Emp1ModifiedProd))</f>
        <v>0</v>
      </c>
      <c r="F1318" s="453">
        <f>IF(calcLOB2Clinician6Disc1Emp1BaseProd=0,0,IF(calcLOB2Clinician6Disc1Emp1ModifiedProd=0,calcLOB2Clinician6Disc1Emp1BaseProd*paramLOB2Disc1Meetings*paramLOB2Meetings*paramLOB2Clinician6Meetings,calcLOB2Clinician6Disc1Emp1ModifiedProd))</f>
        <v>0</v>
      </c>
      <c r="G1318" s="453">
        <f>IF(calcLOB2Clinician6Disc1Emp1BaseProd=0,0,IF(calcLOB2Clinician6Disc1Emp1ModifiedProd=0,calcLOB2Clinician6Disc1Emp1BaseProd*paramLOB2Disc1Meetings*paramLOB2Meetings*paramLOB2Clinician6Meetings,calcLOB2Clinician6Disc1Emp1ModifiedProd))</f>
        <v>0</v>
      </c>
      <c r="H1318" s="131" t="s">
        <v>2339</v>
      </c>
      <c r="J1318" s="131" t="s">
        <v>550</v>
      </c>
      <c r="K1318" s="453">
        <f>IF(calcR2LOB2Clinician6Disc1Emp1BaseProd=0,0,IF(calcR2LOB2Clinician6Disc1Emp1ModifiedProd=0,calcR2LOB2Clinician6Disc1Emp1BaseProd*paramR2LOB2Disc1Meetings*paramR2LOB2Meetings*paramR2LOB2Clinician6Meetings,calcR2LOB2Clinician6Disc1Emp1ModifiedProd))</f>
        <v>0</v>
      </c>
      <c r="L1318" s="453">
        <f>IF(calcR2LOB2Clinician6Disc1Emp1BaseProd=0,0,IF(calcR2LOB2Clinician6Disc1Emp1ModifiedProd=0,calcR2LOB2Clinician6Disc1Emp1BaseProd*paramR2LOB2Disc1Meetings*paramR2LOB2Meetings*paramR2LOB2Clinician6Meetings,calcR2LOB2Clinician6Disc1Emp1ModifiedProd))</f>
        <v>0</v>
      </c>
      <c r="M1318" s="453">
        <f>IF(calcR2LOB2Clinician6Disc1Emp1BaseProd=0,0,IF(calcR2LOB2Clinician6Disc1Emp1ModifiedProd=0,calcR2LOB2Clinician6Disc1Emp1BaseProd*paramR2LOB2Disc1Meetings*paramR2LOB2Meetings*paramR2LOB2Clinician6Meetings,calcR2LOB2Clinician6Disc1Emp1ModifiedProd))</f>
        <v>0</v>
      </c>
      <c r="N1318" s="131" t="s">
        <v>6824</v>
      </c>
    </row>
    <row r="1319" spans="1:14" ht="12.75" customHeight="1">
      <c r="A1319" s="478"/>
      <c r="B1319" s="459"/>
      <c r="C1319" s="170">
        <v>7</v>
      </c>
      <c r="D1319" s="131" t="s">
        <v>550</v>
      </c>
      <c r="E1319" s="453">
        <f>IF(calcLOB2Clinician7Disc1Emp1BaseProd=0,0,IF(calcLOB2Clinician7Disc1Emp1ModifiedProd=0,calcLOB2Clinician7Disc1Emp1BaseProd*paramLOB2Disc1Meetings*paramLOB2Meetings*paramLOB2Clinician7Meetings,calcLOB2Clinician7Disc1Emp1ModifiedProd))</f>
        <v>0</v>
      </c>
      <c r="F1319" s="453">
        <f>IF(calcLOB2Clinician7Disc1Emp1BaseProd=0,0,IF(calcLOB2Clinician7Disc1Emp1ModifiedProd=0,calcLOB2Clinician7Disc1Emp1BaseProd*paramLOB2Disc1Meetings*paramLOB2Meetings*paramLOB2Clinician7Meetings,calcLOB2Clinician7Disc1Emp1ModifiedProd))</f>
        <v>0</v>
      </c>
      <c r="G1319" s="453">
        <f>IF(calcLOB2Clinician7Disc1Emp1BaseProd=0,0,IF(calcLOB2Clinician7Disc1Emp1ModifiedProd=0,calcLOB2Clinician7Disc1Emp1BaseProd*paramLOB2Disc1Meetings*paramLOB2Meetings*paramLOB2Clinician7Meetings,calcLOB2Clinician7Disc1Emp1ModifiedProd))</f>
        <v>0</v>
      </c>
      <c r="H1319" s="131" t="s">
        <v>2340</v>
      </c>
      <c r="J1319" s="131" t="s">
        <v>550</v>
      </c>
      <c r="K1319" s="453">
        <f>IF(calcR2LOB2Clinician7Disc1Emp1BaseProd=0,0,IF(calcR2LOB2Clinician7Disc1Emp1ModifiedProd=0,calcR2LOB2Clinician7Disc1Emp1BaseProd*paramR2LOB2Disc1Meetings*paramR2LOB2Meetings*paramR2LOB2Clinician7Meetings,calcR2LOB2Clinician7Disc1Emp1ModifiedProd))</f>
        <v>0</v>
      </c>
      <c r="L1319" s="453">
        <f>IF(calcR2LOB2Clinician7Disc1Emp1BaseProd=0,0,IF(calcR2LOB2Clinician7Disc1Emp1ModifiedProd=0,calcR2LOB2Clinician7Disc1Emp1BaseProd*paramR2LOB2Disc1Meetings*paramR2LOB2Meetings*paramR2LOB2Clinician7Meetings,calcR2LOB2Clinician7Disc1Emp1ModifiedProd))</f>
        <v>0</v>
      </c>
      <c r="M1319" s="453">
        <f>IF(calcR2LOB2Clinician7Disc1Emp1BaseProd=0,0,IF(calcR2LOB2Clinician7Disc1Emp1ModifiedProd=0,calcR2LOB2Clinician7Disc1Emp1BaseProd*paramR2LOB2Disc1Meetings*paramR2LOB2Meetings*paramR2LOB2Clinician7Meetings,calcR2LOB2Clinician7Disc1Emp1ModifiedProd))</f>
        <v>0</v>
      </c>
      <c r="N1319" s="131" t="s">
        <v>6825</v>
      </c>
    </row>
    <row r="1320" spans="1:14" ht="12.75" customHeight="1">
      <c r="A1320" s="478"/>
      <c r="B1320" s="459"/>
      <c r="C1320" s="170">
        <v>8</v>
      </c>
      <c r="D1320" s="131" t="s">
        <v>550</v>
      </c>
      <c r="E1320" s="453">
        <f>IF(calcLOB2Clinician8Disc1Emp1BaseProd=0,0,IF(calcLOB2Clinician8Disc1Emp1ModifiedProd=0,calcLOB2Clinician8Disc1Emp1BaseProd*paramLOB2Disc1Meetings*paramLOB2Meetings*paramLOB2Clinician8Meetings,calcLOB2Clinician8Disc1Emp1ModifiedProd))</f>
        <v>0</v>
      </c>
      <c r="F1320" s="453">
        <f>IF(calcLOB2Clinician8Disc1Emp1BaseProd=0,0,IF(calcLOB2Clinician8Disc1Emp1ModifiedProd=0,calcLOB2Clinician8Disc1Emp1BaseProd*paramLOB2Disc1Meetings*paramLOB2Meetings*paramLOB2Clinician8Meetings,calcLOB2Clinician8Disc1Emp1ModifiedProd))</f>
        <v>0</v>
      </c>
      <c r="G1320" s="453">
        <f>IF(calcLOB2Clinician8Disc1Emp1BaseProd=0,0,IF(calcLOB2Clinician8Disc1Emp1ModifiedProd=0,calcLOB2Clinician8Disc1Emp1BaseProd*paramLOB2Disc1Meetings*paramLOB2Meetings*paramLOB2Clinician8Meetings,calcLOB2Clinician8Disc1Emp1ModifiedProd))</f>
        <v>0</v>
      </c>
      <c r="H1320" s="131" t="s">
        <v>2341</v>
      </c>
      <c r="J1320" s="131" t="s">
        <v>550</v>
      </c>
      <c r="K1320" s="453">
        <f>IF(calcR2LOB2Clinician8Disc1Emp1BaseProd=0,0,IF(calcR2LOB2Clinician8Disc1Emp1ModifiedProd=0,calcR2LOB2Clinician8Disc1Emp1BaseProd*paramR2LOB2Disc1Meetings*paramR2LOB2Meetings*paramR2LOB2Clinician8Meetings,calcR2LOB2Clinician8Disc1Emp1ModifiedProd))</f>
        <v>0</v>
      </c>
      <c r="L1320" s="453">
        <f>IF(calcR2LOB2Clinician8Disc1Emp1BaseProd=0,0,IF(calcR2LOB2Clinician8Disc1Emp1ModifiedProd=0,calcR2LOB2Clinician8Disc1Emp1BaseProd*paramR2LOB2Disc1Meetings*paramR2LOB2Meetings*paramR2LOB2Clinician8Meetings,calcR2LOB2Clinician8Disc1Emp1ModifiedProd))</f>
        <v>0</v>
      </c>
      <c r="M1320" s="453">
        <f>IF(calcR2LOB2Clinician8Disc1Emp1BaseProd=0,0,IF(calcR2LOB2Clinician8Disc1Emp1ModifiedProd=0,calcR2LOB2Clinician8Disc1Emp1BaseProd*paramR2LOB2Disc1Meetings*paramR2LOB2Meetings*paramR2LOB2Clinician8Meetings,calcR2LOB2Clinician8Disc1Emp1ModifiedProd))</f>
        <v>0</v>
      </c>
      <c r="N1320" s="131" t="s">
        <v>6826</v>
      </c>
    </row>
    <row r="1321" spans="1:14" ht="12.75" customHeight="1">
      <c r="A1321" s="478"/>
      <c r="B1321" s="459"/>
      <c r="C1321" s="170">
        <v>9</v>
      </c>
      <c r="D1321" s="131" t="s">
        <v>550</v>
      </c>
      <c r="E1321" s="453">
        <f>IF(calcLOB2Clinician9Disc1Emp1BaseProd=0,0,IF(calcLOB2Clinician9Disc1Emp1ModifiedProd=0,calcLOB2Clinician9Disc1Emp1BaseProd*paramLOB2Disc1Meetings*paramLOB2Meetings*paramLOB2Clinician9Meetings,calcLOB2Clinician9Disc1Emp1ModifiedProd))</f>
        <v>0</v>
      </c>
      <c r="F1321" s="453">
        <f>IF(calcLOB2Clinician9Disc1Emp1BaseProd=0,0,IF(calcLOB2Clinician9Disc1Emp1ModifiedProd=0,calcLOB2Clinician9Disc1Emp1BaseProd*paramLOB2Disc1Meetings*paramLOB2Meetings*paramLOB2Clinician9Meetings,calcLOB2Clinician9Disc1Emp1ModifiedProd))</f>
        <v>0</v>
      </c>
      <c r="G1321" s="453">
        <f>IF(calcLOB2Clinician9Disc1Emp1BaseProd=0,0,IF(calcLOB2Clinician9Disc1Emp1ModifiedProd=0,calcLOB2Clinician9Disc1Emp1BaseProd*paramLOB2Disc1Meetings*paramLOB2Meetings*paramLOB2Clinician9Meetings,calcLOB2Clinician9Disc1Emp1ModifiedProd))</f>
        <v>0</v>
      </c>
      <c r="H1321" s="131" t="s">
        <v>2342</v>
      </c>
      <c r="J1321" s="131" t="s">
        <v>550</v>
      </c>
      <c r="K1321" s="453">
        <f>IF(calcR2LOB2Clinician9Disc1Emp1BaseProd=0,0,IF(calcR2LOB2Clinician9Disc1Emp1ModifiedProd=0,calcR2LOB2Clinician9Disc1Emp1BaseProd*paramR2LOB2Disc1Meetings*paramR2LOB2Meetings*paramR2LOB2Clinician9Meetings,calcR2LOB2Clinician9Disc1Emp1ModifiedProd))</f>
        <v>0</v>
      </c>
      <c r="L1321" s="453">
        <f>IF(calcR2LOB2Clinician9Disc1Emp1BaseProd=0,0,IF(calcR2LOB2Clinician9Disc1Emp1ModifiedProd=0,calcR2LOB2Clinician9Disc1Emp1BaseProd*paramR2LOB2Disc1Meetings*paramR2LOB2Meetings*paramR2LOB2Clinician9Meetings,calcR2LOB2Clinician9Disc1Emp1ModifiedProd))</f>
        <v>0</v>
      </c>
      <c r="M1321" s="453">
        <f>IF(calcR2LOB2Clinician9Disc1Emp1BaseProd=0,0,IF(calcR2LOB2Clinician9Disc1Emp1ModifiedProd=0,calcR2LOB2Clinician9Disc1Emp1BaseProd*paramR2LOB2Disc1Meetings*paramR2LOB2Meetings*paramR2LOB2Clinician9Meetings,calcR2LOB2Clinician9Disc1Emp1ModifiedProd))</f>
        <v>0</v>
      </c>
      <c r="N1321" s="131" t="s">
        <v>6827</v>
      </c>
    </row>
    <row r="1322" spans="1:14" ht="12.75" customHeight="1">
      <c r="A1322" s="478"/>
      <c r="B1322" s="459"/>
      <c r="C1322" s="170">
        <v>10</v>
      </c>
      <c r="D1322" s="131" t="s">
        <v>550</v>
      </c>
      <c r="E1322" s="453">
        <f>IF(calcLOB2Clinician10Disc1Emp1BaseProd=0,0,IF(calcLOB2Clinician10Disc1Emp1ModifiedProd=0,calcLOB2Clinician10Disc1Emp1BaseProd*paramLOB2Disc1Meetings*paramLOB2Meetings*paramLOB2Clinician10Meetings,calcLOB2Clinician10Disc1Emp1ModifiedProd))</f>
        <v>0</v>
      </c>
      <c r="F1322" s="453">
        <f>IF(calcLOB2Clinician10Disc1Emp1BaseProd=0,0,IF(calcLOB2Clinician10Disc1Emp1ModifiedProd=0,calcLOB2Clinician10Disc1Emp1BaseProd*paramLOB2Disc1Meetings*paramLOB2Meetings*paramLOB2Clinician10Meetings,calcLOB2Clinician10Disc1Emp1ModifiedProd))</f>
        <v>0</v>
      </c>
      <c r="G1322" s="453">
        <f>IF(calcLOB2Clinician10Disc1Emp1BaseProd=0,0,IF(calcLOB2Clinician10Disc1Emp1ModifiedProd=0,calcLOB2Clinician10Disc1Emp1BaseProd*paramLOB2Disc1Meetings*paramLOB2Meetings*paramLOB2Clinician10Meetings,calcLOB2Clinician10Disc1Emp1ModifiedProd))</f>
        <v>0</v>
      </c>
      <c r="H1322" s="131" t="s">
        <v>2343</v>
      </c>
      <c r="J1322" s="131" t="s">
        <v>550</v>
      </c>
      <c r="K1322" s="453">
        <f>IF(calcR2LOB2Clinician10Disc1Emp1BaseProd=0,0,IF(calcR2LOB2Clinician10Disc1Emp1ModifiedProd=0,calcR2LOB2Clinician10Disc1Emp1BaseProd*paramR2LOB2Disc1Meetings*paramR2LOB2Meetings*paramR2LOB2Clinician10Meetings,calcR2LOB2Clinician10Disc1Emp1ModifiedProd))</f>
        <v>0</v>
      </c>
      <c r="L1322" s="453">
        <f>IF(calcR2LOB2Clinician10Disc1Emp1BaseProd=0,0,IF(calcR2LOB2Clinician10Disc1Emp1ModifiedProd=0,calcR2LOB2Clinician10Disc1Emp1BaseProd*paramR2LOB2Disc1Meetings*paramR2LOB2Meetings*paramR2LOB2Clinician10Meetings,calcR2LOB2Clinician10Disc1Emp1ModifiedProd))</f>
        <v>0</v>
      </c>
      <c r="M1322" s="453">
        <f>IF(calcR2LOB2Clinician10Disc1Emp1BaseProd=0,0,IF(calcR2LOB2Clinician10Disc1Emp1ModifiedProd=0,calcR2LOB2Clinician10Disc1Emp1BaseProd*paramR2LOB2Disc1Meetings*paramR2LOB2Meetings*paramR2LOB2Clinician10Meetings,calcR2LOB2Clinician10Disc1Emp1ModifiedProd))</f>
        <v>0</v>
      </c>
      <c r="N1322" s="131" t="s">
        <v>6828</v>
      </c>
    </row>
    <row r="1323" spans="1:14" ht="12.75" customHeight="1">
      <c r="A1323" s="478"/>
      <c r="B1323" s="459"/>
      <c r="C1323" s="170">
        <v>11</v>
      </c>
      <c r="D1323" s="131" t="s">
        <v>550</v>
      </c>
      <c r="E1323" s="453">
        <f>IF(calcLOB2Clinician11Disc1Emp1BaseProd=0,0,IF(calcLOB2Clinician11Disc1Emp1ModifiedProd=0,calcLOB2Clinician11Disc1Emp1BaseProd*paramLOB2Disc1Meetings*paramLOB2Meetings*paramLOB2Clinician11Meetings,calcLOB2Clinician11Disc1Emp1ModifiedProd))</f>
        <v>0</v>
      </c>
      <c r="F1323" s="453">
        <f>IF(calcLOB2Clinician11Disc1Emp1BaseProd=0,0,IF(calcLOB2Clinician11Disc1Emp1ModifiedProd=0,calcLOB2Clinician11Disc1Emp1BaseProd*paramLOB2Disc1Meetings*paramLOB2Meetings*paramLOB2Clinician11Meetings,calcLOB2Clinician11Disc1Emp1ModifiedProd))</f>
        <v>0</v>
      </c>
      <c r="G1323" s="453">
        <f>IF(calcLOB2Clinician11Disc1Emp1BaseProd=0,0,IF(calcLOB2Clinician11Disc1Emp1ModifiedProd=0,calcLOB2Clinician11Disc1Emp1BaseProd*paramLOB2Disc1Meetings*paramLOB2Meetings*paramLOB2Clinician11Meetings,calcLOB2Clinician11Disc1Emp1ModifiedProd))</f>
        <v>0</v>
      </c>
      <c r="H1323" s="131" t="s">
        <v>2344</v>
      </c>
      <c r="J1323" s="131" t="s">
        <v>550</v>
      </c>
      <c r="K1323" s="453">
        <f>IF(calcR2LOB2Clinician11Disc1Emp1BaseProd=0,0,IF(calcR2LOB2Clinician11Disc1Emp1ModifiedProd=0,calcR2LOB2Clinician11Disc1Emp1BaseProd*paramR2LOB2Disc1Meetings*paramR2LOB2Meetings*paramR2LOB2Clinician11Meetings,calcR2LOB2Clinician11Disc1Emp1ModifiedProd))</f>
        <v>0</v>
      </c>
      <c r="L1323" s="453">
        <f>IF(calcR2LOB2Clinician11Disc1Emp1BaseProd=0,0,IF(calcR2LOB2Clinician11Disc1Emp1ModifiedProd=0,calcR2LOB2Clinician11Disc1Emp1BaseProd*paramR2LOB2Disc1Meetings*paramR2LOB2Meetings*paramR2LOB2Clinician11Meetings,calcR2LOB2Clinician11Disc1Emp1ModifiedProd))</f>
        <v>0</v>
      </c>
      <c r="M1323" s="453">
        <f>IF(calcR2LOB2Clinician11Disc1Emp1BaseProd=0,0,IF(calcR2LOB2Clinician11Disc1Emp1ModifiedProd=0,calcR2LOB2Clinician11Disc1Emp1BaseProd*paramR2LOB2Disc1Meetings*paramR2LOB2Meetings*paramR2LOB2Clinician11Meetings,calcR2LOB2Clinician11Disc1Emp1ModifiedProd))</f>
        <v>0</v>
      </c>
      <c r="N1323" s="131" t="s">
        <v>6829</v>
      </c>
    </row>
    <row r="1324" spans="1:14" ht="12.75" customHeight="1">
      <c r="A1324" s="478"/>
      <c r="B1324" s="459"/>
      <c r="C1324" s="170">
        <v>12</v>
      </c>
      <c r="D1324" s="131" t="s">
        <v>550</v>
      </c>
      <c r="E1324" s="453">
        <f>IF(calcLOB2Clinician12Disc1Emp1BaseProd=0,0,IF(calcLOB2Clinician12Disc1Emp1ModifiedProd=0,calcLOB2Clinician12Disc1Emp1BaseProd*paramLOB2Disc1Meetings*paramLOB2Meetings*paramLOB2Clinician12Meetings,calcLOB2Clinician12Disc1Emp1ModifiedProd))</f>
        <v>0</v>
      </c>
      <c r="F1324" s="453">
        <f>IF(calcLOB2Clinician12Disc1Emp1BaseProd=0,0,IF(calcLOB2Clinician12Disc1Emp1ModifiedProd=0,calcLOB2Clinician12Disc1Emp1BaseProd*paramLOB2Disc1Meetings*paramLOB2Meetings*paramLOB2Clinician12Meetings,calcLOB2Clinician12Disc1Emp1ModifiedProd))</f>
        <v>0</v>
      </c>
      <c r="G1324" s="453">
        <f>IF(calcLOB2Clinician12Disc1Emp1BaseProd=0,0,IF(calcLOB2Clinician12Disc1Emp1ModifiedProd=0,calcLOB2Clinician12Disc1Emp1BaseProd*paramLOB2Disc1Meetings*paramLOB2Meetings*paramLOB2Clinician12Meetings,calcLOB2Clinician12Disc1Emp1ModifiedProd))</f>
        <v>0</v>
      </c>
      <c r="H1324" s="131" t="s">
        <v>2345</v>
      </c>
      <c r="J1324" s="131" t="s">
        <v>550</v>
      </c>
      <c r="K1324" s="453">
        <f>IF(calcR2LOB2Clinician12Disc1Emp1BaseProd=0,0,IF(calcR2LOB2Clinician12Disc1Emp1ModifiedProd=0,calcR2LOB2Clinician12Disc1Emp1BaseProd*paramR2LOB2Disc1Meetings*paramR2LOB2Meetings*paramR2LOB2Clinician12Meetings,calcR2LOB2Clinician12Disc1Emp1ModifiedProd))</f>
        <v>0</v>
      </c>
      <c r="L1324" s="453">
        <f>IF(calcR2LOB2Clinician12Disc1Emp1BaseProd=0,0,IF(calcR2LOB2Clinician12Disc1Emp1ModifiedProd=0,calcR2LOB2Clinician12Disc1Emp1BaseProd*paramR2LOB2Disc1Meetings*paramR2LOB2Meetings*paramR2LOB2Clinician12Meetings,calcR2LOB2Clinician12Disc1Emp1ModifiedProd))</f>
        <v>0</v>
      </c>
      <c r="M1324" s="453">
        <f>IF(calcR2LOB2Clinician12Disc1Emp1BaseProd=0,0,IF(calcR2LOB2Clinician12Disc1Emp1ModifiedProd=0,calcR2LOB2Clinician12Disc1Emp1BaseProd*paramR2LOB2Disc1Meetings*paramR2LOB2Meetings*paramR2LOB2Clinician12Meetings,calcR2LOB2Clinician12Disc1Emp1ModifiedProd))</f>
        <v>0</v>
      </c>
      <c r="N1324" s="131" t="s">
        <v>6830</v>
      </c>
    </row>
    <row r="1325" spans="1:14" ht="12.75" customHeight="1">
      <c r="A1325" s="478"/>
      <c r="B1325" s="459"/>
      <c r="D1325" s="131" t="s">
        <v>550</v>
      </c>
      <c r="E1325" s="453">
        <f>cbalLOB2AvgProdClinician13</f>
        <v>119.69999999999999</v>
      </c>
      <c r="F1325" s="453">
        <f>cbalLOB2AvgProdClinician13</f>
        <v>100</v>
      </c>
      <c r="G1325" s="453">
        <f>cbalLOB2AvgProdClinician13</f>
        <v>200</v>
      </c>
      <c r="H1325" s="131" t="s">
        <v>4105</v>
      </c>
      <c r="J1325" s="131" t="s">
        <v>550</v>
      </c>
      <c r="K1325" s="453">
        <f>cbalR2LOB2AvgProdClinician13</f>
        <v>113.20624147319225</v>
      </c>
      <c r="L1325" s="453">
        <f>cbalR2LOB2AvgProdClinician13</f>
        <v>100</v>
      </c>
      <c r="M1325" s="453">
        <f>cbalR2LOB2AvgProdClinician13</f>
        <v>200</v>
      </c>
      <c r="N1325" s="131" t="s">
        <v>6831</v>
      </c>
    </row>
    <row r="1326" spans="1:14" ht="12.75" customHeight="1">
      <c r="A1326" s="478"/>
      <c r="B1326" s="459"/>
      <c r="C1326" s="170">
        <v>1</v>
      </c>
      <c r="D1326" s="131" t="s">
        <v>554</v>
      </c>
      <c r="E1326" s="453">
        <f>IF(calcLOB2Clinician1Disc2Emp1BaseProd=0,0,IF(calcLOB2Clinician1Disc2Emp1ModifiedProd=0,calcLOB2Clinician1Disc2Emp1BaseProd*paramLOB2Disc2Meetings*paramLOB2Meetings*paramLOB2Clinician1Meetings,calcLOB2Clinician1Disc2Emp1ModifiedProd))</f>
        <v>0</v>
      </c>
      <c r="F1326" s="453">
        <f>IF(calcLOB2Clinician1Disc2Emp1BaseProd=0,0,IF(calcLOB2Clinician1Disc2Emp1ModifiedProd=0,calcLOB2Clinician1Disc2Emp1BaseProd*paramLOB2Disc2Meetings*paramLOB2Meetings*paramLOB2Clinician1Meetings,calcLOB2Clinician1Disc2Emp1ModifiedProd))</f>
        <v>0</v>
      </c>
      <c r="G1326" s="453">
        <f>IF(calcLOB2Clinician1Disc2Emp1BaseProd=0,0,IF(calcLOB2Clinician1Disc2Emp1ModifiedProd=0,calcLOB2Clinician1Disc2Emp1BaseProd*paramLOB2Disc2Meetings*paramLOB2Meetings*paramLOB2Clinician1Meetings,calcLOB2Clinician1Disc2Emp1ModifiedProd))</f>
        <v>0</v>
      </c>
      <c r="H1326" s="131" t="s">
        <v>2346</v>
      </c>
      <c r="J1326" s="131" t="s">
        <v>554</v>
      </c>
      <c r="K1326" s="453">
        <f>IF(calcR2LOB2Clinician1Disc2Emp1BaseProd=0,0,IF(calcR2LOB2Clinician1Disc2Emp1ModifiedProd=0,calcR2LOB2Clinician1Disc2Emp1BaseProd*paramR2LOB2Disc2Meetings*paramR2LOB2Meetings*paramR2LOB2Clinician1Meetings,calcR2LOB2Clinician1Disc2Emp1ModifiedProd))</f>
        <v>0</v>
      </c>
      <c r="L1326" s="453">
        <f>IF(calcR2LOB2Clinician1Disc2Emp1BaseProd=0,0,IF(calcR2LOB2Clinician1Disc2Emp1ModifiedProd=0,calcR2LOB2Clinician1Disc2Emp1BaseProd*paramR2LOB2Disc2Meetings*paramR2LOB2Meetings*paramR2LOB2Clinician1Meetings,calcR2LOB2Clinician1Disc2Emp1ModifiedProd))</f>
        <v>0</v>
      </c>
      <c r="M1326" s="453">
        <f>IF(calcR2LOB2Clinician1Disc2Emp1BaseProd=0,0,IF(calcR2LOB2Clinician1Disc2Emp1ModifiedProd=0,calcR2LOB2Clinician1Disc2Emp1BaseProd*paramR2LOB2Disc2Meetings*paramR2LOB2Meetings*paramR2LOB2Clinician1Meetings,calcR2LOB2Clinician1Disc2Emp1ModifiedProd))</f>
        <v>0</v>
      </c>
      <c r="N1326" s="131" t="s">
        <v>6832</v>
      </c>
    </row>
    <row r="1327" spans="1:14" ht="12.75" customHeight="1">
      <c r="A1327" s="478"/>
      <c r="B1327" s="459"/>
      <c r="C1327" s="170">
        <v>2</v>
      </c>
      <c r="D1327" s="131" t="s">
        <v>554</v>
      </c>
      <c r="E1327" s="453">
        <f>IF(calcLOB2Clinician2Disc2Emp1BaseProd=0,0,IF(calcLOB2Clinician2Disc2Emp1ModifiedProd=0,calcLOB2Clinician2Disc2Emp1BaseProd*paramLOB2Disc2Meetings*paramLOB2Meetings*paramLOB2Clinician2Meetings,calcLOB2Clinician2Disc2Emp1ModifiedProd))</f>
        <v>0</v>
      </c>
      <c r="F1327" s="453">
        <f>IF(calcLOB2Clinician2Disc2Emp1BaseProd=0,0,IF(calcLOB2Clinician2Disc2Emp1ModifiedProd=0,calcLOB2Clinician2Disc2Emp1BaseProd*paramLOB2Disc2Meetings*paramLOB2Meetings*paramLOB2Clinician2Meetings,calcLOB2Clinician2Disc2Emp1ModifiedProd))</f>
        <v>0</v>
      </c>
      <c r="G1327" s="453">
        <f>IF(calcLOB2Clinician2Disc2Emp1BaseProd=0,0,IF(calcLOB2Clinician2Disc2Emp1ModifiedProd=0,calcLOB2Clinician2Disc2Emp1BaseProd*paramLOB2Disc2Meetings*paramLOB2Meetings*paramLOB2Clinician2Meetings,calcLOB2Clinician2Disc2Emp1ModifiedProd))</f>
        <v>0</v>
      </c>
      <c r="H1327" s="131" t="s">
        <v>2347</v>
      </c>
      <c r="J1327" s="131" t="s">
        <v>554</v>
      </c>
      <c r="K1327" s="453">
        <f>IF(calcR2LOB2Clinician2Disc2Emp1BaseProd=0,0,IF(calcR2LOB2Clinician2Disc2Emp1ModifiedProd=0,calcR2LOB2Clinician2Disc2Emp1BaseProd*paramR2LOB2Disc2Meetings*paramR2LOB2Meetings*paramR2LOB2Clinician2Meetings,calcR2LOB2Clinician2Disc2Emp1ModifiedProd))</f>
        <v>0</v>
      </c>
      <c r="L1327" s="453">
        <f>IF(calcR2LOB2Clinician2Disc2Emp1BaseProd=0,0,IF(calcR2LOB2Clinician2Disc2Emp1ModifiedProd=0,calcR2LOB2Clinician2Disc2Emp1BaseProd*paramR2LOB2Disc2Meetings*paramR2LOB2Meetings*paramR2LOB2Clinician2Meetings,calcR2LOB2Clinician2Disc2Emp1ModifiedProd))</f>
        <v>0</v>
      </c>
      <c r="M1327" s="453">
        <f>IF(calcR2LOB2Clinician2Disc2Emp1BaseProd=0,0,IF(calcR2LOB2Clinician2Disc2Emp1ModifiedProd=0,calcR2LOB2Clinician2Disc2Emp1BaseProd*paramR2LOB2Disc2Meetings*paramR2LOB2Meetings*paramR2LOB2Clinician2Meetings,calcR2LOB2Clinician2Disc2Emp1ModifiedProd))</f>
        <v>0</v>
      </c>
      <c r="N1327" s="131" t="s">
        <v>6833</v>
      </c>
    </row>
    <row r="1328" spans="1:14" ht="12.75" customHeight="1">
      <c r="A1328" s="478"/>
      <c r="B1328" s="459"/>
      <c r="C1328" s="170">
        <v>3</v>
      </c>
      <c r="D1328" s="131" t="s">
        <v>554</v>
      </c>
      <c r="E1328" s="453">
        <f>IF(calcLOB2Clinician3Disc2Emp1BaseProd=0,0,IF(calcLOB2Clinician3Disc2Emp1ModifiedProd=0,calcLOB2Clinician3Disc2Emp1BaseProd*paramLOB2Disc2Meetings*paramLOB2Meetings*paramLOB2Clinician3Meetings,calcLOB2Clinician3Disc2Emp1ModifiedProd))</f>
        <v>0</v>
      </c>
      <c r="F1328" s="453">
        <f>IF(calcLOB2Clinician3Disc2Emp1BaseProd=0,0,IF(calcLOB2Clinician3Disc2Emp1ModifiedProd=0,calcLOB2Clinician3Disc2Emp1BaseProd*paramLOB2Disc2Meetings*paramLOB2Meetings*paramLOB2Clinician3Meetings,calcLOB2Clinician3Disc2Emp1ModifiedProd))</f>
        <v>0</v>
      </c>
      <c r="G1328" s="453">
        <f>IF(calcLOB2Clinician3Disc2Emp1BaseProd=0,0,IF(calcLOB2Clinician3Disc2Emp1ModifiedProd=0,calcLOB2Clinician3Disc2Emp1BaseProd*paramLOB2Disc2Meetings*paramLOB2Meetings*paramLOB2Clinician3Meetings,calcLOB2Clinician3Disc2Emp1ModifiedProd))</f>
        <v>0</v>
      </c>
      <c r="H1328" s="131" t="s">
        <v>2348</v>
      </c>
      <c r="J1328" s="131" t="s">
        <v>554</v>
      </c>
      <c r="K1328" s="453">
        <f>IF(calcR2LOB2Clinician3Disc2Emp1BaseProd=0,0,IF(calcR2LOB2Clinician3Disc2Emp1ModifiedProd=0,calcR2LOB2Clinician3Disc2Emp1BaseProd*paramR2LOB2Disc2Meetings*paramR2LOB2Meetings*paramR2LOB2Clinician3Meetings,calcR2LOB2Clinician3Disc2Emp1ModifiedProd))</f>
        <v>0</v>
      </c>
      <c r="L1328" s="453">
        <f>IF(calcR2LOB2Clinician3Disc2Emp1BaseProd=0,0,IF(calcR2LOB2Clinician3Disc2Emp1ModifiedProd=0,calcR2LOB2Clinician3Disc2Emp1BaseProd*paramR2LOB2Disc2Meetings*paramR2LOB2Meetings*paramR2LOB2Clinician3Meetings,calcR2LOB2Clinician3Disc2Emp1ModifiedProd))</f>
        <v>0</v>
      </c>
      <c r="M1328" s="453">
        <f>IF(calcR2LOB2Clinician3Disc2Emp1BaseProd=0,0,IF(calcR2LOB2Clinician3Disc2Emp1ModifiedProd=0,calcR2LOB2Clinician3Disc2Emp1BaseProd*paramR2LOB2Disc2Meetings*paramR2LOB2Meetings*paramR2LOB2Clinician3Meetings,calcR2LOB2Clinician3Disc2Emp1ModifiedProd))</f>
        <v>0</v>
      </c>
      <c r="N1328" s="131" t="s">
        <v>6834</v>
      </c>
    </row>
    <row r="1329" spans="1:14" ht="12.75" customHeight="1">
      <c r="A1329" s="478"/>
      <c r="B1329" s="459"/>
      <c r="C1329" s="170">
        <v>4</v>
      </c>
      <c r="D1329" s="131" t="s">
        <v>554</v>
      </c>
      <c r="E1329" s="453">
        <f>IF(calcLOB2Clinician4Disc2Emp1BaseProd=0,0,IF(calcLOB2Clinician4Disc2Emp1ModifiedProd=0,calcLOB2Clinician4Disc2Emp1BaseProd*paramLOB2Disc2Meetings*paramLOB2Meetings*paramLOB2Clinician4Meetings,calcLOB2Clinician4Disc2Emp1ModifiedProd))</f>
        <v>0</v>
      </c>
      <c r="F1329" s="453">
        <f>IF(calcLOB2Clinician4Disc2Emp1BaseProd=0,0,IF(calcLOB2Clinician4Disc2Emp1ModifiedProd=0,calcLOB2Clinician4Disc2Emp1BaseProd*paramLOB2Disc2Meetings*paramLOB2Meetings*paramLOB2Clinician4Meetings,calcLOB2Clinician4Disc2Emp1ModifiedProd))</f>
        <v>0</v>
      </c>
      <c r="G1329" s="453">
        <f>IF(calcLOB2Clinician4Disc2Emp1BaseProd=0,0,IF(calcLOB2Clinician4Disc2Emp1ModifiedProd=0,calcLOB2Clinician4Disc2Emp1BaseProd*paramLOB2Disc2Meetings*paramLOB2Meetings*paramLOB2Clinician4Meetings,calcLOB2Clinician4Disc2Emp1ModifiedProd))</f>
        <v>0</v>
      </c>
      <c r="H1329" s="131" t="s">
        <v>2349</v>
      </c>
      <c r="J1329" s="131" t="s">
        <v>554</v>
      </c>
      <c r="K1329" s="453">
        <f>IF(calcR2LOB2Clinician4Disc2Emp1BaseProd=0,0,IF(calcR2LOB2Clinician4Disc2Emp1ModifiedProd=0,calcR2LOB2Clinician4Disc2Emp1BaseProd*paramR2LOB2Disc2Meetings*paramR2LOB2Meetings*paramR2LOB2Clinician4Meetings,calcR2LOB2Clinician4Disc2Emp1ModifiedProd))</f>
        <v>0</v>
      </c>
      <c r="L1329" s="453">
        <f>IF(calcR2LOB2Clinician4Disc2Emp1BaseProd=0,0,IF(calcR2LOB2Clinician4Disc2Emp1ModifiedProd=0,calcR2LOB2Clinician4Disc2Emp1BaseProd*paramR2LOB2Disc2Meetings*paramR2LOB2Meetings*paramR2LOB2Clinician4Meetings,calcR2LOB2Clinician4Disc2Emp1ModifiedProd))</f>
        <v>0</v>
      </c>
      <c r="M1329" s="453">
        <f>IF(calcR2LOB2Clinician4Disc2Emp1BaseProd=0,0,IF(calcR2LOB2Clinician4Disc2Emp1ModifiedProd=0,calcR2LOB2Clinician4Disc2Emp1BaseProd*paramR2LOB2Disc2Meetings*paramR2LOB2Meetings*paramR2LOB2Clinician4Meetings,calcR2LOB2Clinician4Disc2Emp1ModifiedProd))</f>
        <v>0</v>
      </c>
      <c r="N1329" s="131" t="s">
        <v>6835</v>
      </c>
    </row>
    <row r="1330" spans="1:14" ht="12.75" customHeight="1">
      <c r="A1330" s="478"/>
      <c r="B1330" s="459"/>
      <c r="C1330" s="170">
        <v>5</v>
      </c>
      <c r="D1330" s="131" t="s">
        <v>554</v>
      </c>
      <c r="E1330" s="453">
        <f>IF(calcLOB2Clinician5Disc2Emp1BaseProd=0,0,IF(calcLOB2Clinician5Disc2Emp1ModifiedProd=0,calcLOB2Clinician5Disc2Emp1BaseProd*paramLOB2Disc2Meetings*paramLOB2Meetings*paramLOB2Clinician5Meetings,calcLOB2Clinician5Disc2Emp1ModifiedProd))</f>
        <v>27.5</v>
      </c>
      <c r="F1330" s="453">
        <f>IF(calcLOB2Clinician5Disc2Emp1BaseProd=0,0,IF(calcLOB2Clinician5Disc2Emp1ModifiedProd=0,calcLOB2Clinician5Disc2Emp1BaseProd*paramLOB2Disc2Meetings*paramLOB2Meetings*paramLOB2Clinician5Meetings,calcLOB2Clinician5Disc2Emp1ModifiedProd))</f>
        <v>27.5</v>
      </c>
      <c r="G1330" s="453">
        <f>IF(calcLOB2Clinician5Disc2Emp1BaseProd=0,0,IF(calcLOB2Clinician5Disc2Emp1ModifiedProd=0,calcLOB2Clinician5Disc2Emp1BaseProd*paramLOB2Disc2Meetings*paramLOB2Meetings*paramLOB2Clinician5Meetings,calcLOB2Clinician5Disc2Emp1ModifiedProd))</f>
        <v>27.5</v>
      </c>
      <c r="H1330" s="131" t="s">
        <v>2350</v>
      </c>
      <c r="J1330" s="131" t="s">
        <v>554</v>
      </c>
      <c r="K1330" s="453">
        <f>IF(calcR2LOB2Clinician5Disc2Emp1BaseProd=0,0,IF(calcR2LOB2Clinician5Disc2Emp1ModifiedProd=0,calcR2LOB2Clinician5Disc2Emp1BaseProd*paramR2LOB2Disc2Meetings*paramR2LOB2Meetings*paramR2LOB2Clinician5Meetings,calcR2LOB2Clinician5Disc2Emp1ModifiedProd))</f>
        <v>27.5</v>
      </c>
      <c r="L1330" s="453">
        <f>IF(calcR2LOB2Clinician5Disc2Emp1BaseProd=0,0,IF(calcR2LOB2Clinician5Disc2Emp1ModifiedProd=0,calcR2LOB2Clinician5Disc2Emp1BaseProd*paramR2LOB2Disc2Meetings*paramR2LOB2Meetings*paramR2LOB2Clinician5Meetings,calcR2LOB2Clinician5Disc2Emp1ModifiedProd))</f>
        <v>27.5</v>
      </c>
      <c r="M1330" s="453">
        <f>IF(calcR2LOB2Clinician5Disc2Emp1BaseProd=0,0,IF(calcR2LOB2Clinician5Disc2Emp1ModifiedProd=0,calcR2LOB2Clinician5Disc2Emp1BaseProd*paramR2LOB2Disc2Meetings*paramR2LOB2Meetings*paramR2LOB2Clinician5Meetings,calcR2LOB2Clinician5Disc2Emp1ModifiedProd))</f>
        <v>27.5</v>
      </c>
      <c r="N1330" s="131" t="s">
        <v>6836</v>
      </c>
    </row>
    <row r="1331" spans="1:14" ht="12.75" customHeight="1">
      <c r="A1331" s="478"/>
      <c r="B1331" s="459"/>
      <c r="C1331" s="170">
        <v>6</v>
      </c>
      <c r="D1331" s="131" t="s">
        <v>554</v>
      </c>
      <c r="E1331" s="453">
        <f>IF(calcLOB2Clinician6Disc2Emp1BaseProd=0,0,IF(calcLOB2Clinician6Disc2Emp1ModifiedProd=0,calcLOB2Clinician6Disc2Emp1BaseProd*paramLOB2Disc2Meetings*paramLOB2Meetings*paramLOB2Clinician6Meetings,calcLOB2Clinician6Disc2Emp1ModifiedProd))</f>
        <v>28</v>
      </c>
      <c r="F1331" s="453">
        <f>IF(calcLOB2Clinician6Disc2Emp1BaseProd=0,0,IF(calcLOB2Clinician6Disc2Emp1ModifiedProd=0,calcLOB2Clinician6Disc2Emp1BaseProd*paramLOB2Disc2Meetings*paramLOB2Meetings*paramLOB2Clinician6Meetings,calcLOB2Clinician6Disc2Emp1ModifiedProd))</f>
        <v>28</v>
      </c>
      <c r="G1331" s="453">
        <f>IF(calcLOB2Clinician6Disc2Emp1BaseProd=0,0,IF(calcLOB2Clinician6Disc2Emp1ModifiedProd=0,calcLOB2Clinician6Disc2Emp1BaseProd*paramLOB2Disc2Meetings*paramLOB2Meetings*paramLOB2Clinician6Meetings,calcLOB2Clinician6Disc2Emp1ModifiedProd))</f>
        <v>28</v>
      </c>
      <c r="H1331" s="131" t="s">
        <v>2351</v>
      </c>
      <c r="J1331" s="131" t="s">
        <v>554</v>
      </c>
      <c r="K1331" s="453">
        <f>IF(calcR2LOB2Clinician6Disc2Emp1BaseProd=0,0,IF(calcR2LOB2Clinician6Disc2Emp1ModifiedProd=0,calcR2LOB2Clinician6Disc2Emp1BaseProd*paramR2LOB2Disc2Meetings*paramR2LOB2Meetings*paramR2LOB2Clinician6Meetings,calcR2LOB2Clinician6Disc2Emp1ModifiedProd))</f>
        <v>28</v>
      </c>
      <c r="L1331" s="453">
        <f>IF(calcR2LOB2Clinician6Disc2Emp1BaseProd=0,0,IF(calcR2LOB2Clinician6Disc2Emp1ModifiedProd=0,calcR2LOB2Clinician6Disc2Emp1BaseProd*paramR2LOB2Disc2Meetings*paramR2LOB2Meetings*paramR2LOB2Clinician6Meetings,calcR2LOB2Clinician6Disc2Emp1ModifiedProd))</f>
        <v>28</v>
      </c>
      <c r="M1331" s="453">
        <f>IF(calcR2LOB2Clinician6Disc2Emp1BaseProd=0,0,IF(calcR2LOB2Clinician6Disc2Emp1ModifiedProd=0,calcR2LOB2Clinician6Disc2Emp1BaseProd*paramR2LOB2Disc2Meetings*paramR2LOB2Meetings*paramR2LOB2Clinician6Meetings,calcR2LOB2Clinician6Disc2Emp1ModifiedProd))</f>
        <v>28</v>
      </c>
      <c r="N1331" s="131" t="s">
        <v>6837</v>
      </c>
    </row>
    <row r="1332" spans="1:14" ht="12.75" customHeight="1">
      <c r="A1332" s="478"/>
      <c r="B1332" s="459"/>
      <c r="C1332" s="170">
        <v>7</v>
      </c>
      <c r="D1332" s="131" t="s">
        <v>554</v>
      </c>
      <c r="E1332" s="453">
        <f>IF(calcLOB2Clinician7Disc2Emp1BaseProd=0,0,IF(calcLOB2Clinician7Disc2Emp1ModifiedProd=0,calcLOB2Clinician7Disc2Emp1BaseProd*paramLOB2Disc2Meetings*paramLOB2Meetings*paramLOB2Clinician7Meetings,calcLOB2Clinician7Disc2Emp1ModifiedProd))</f>
        <v>0</v>
      </c>
      <c r="F1332" s="453">
        <f>IF(calcLOB2Clinician7Disc2Emp1BaseProd=0,0,IF(calcLOB2Clinician7Disc2Emp1ModifiedProd=0,calcLOB2Clinician7Disc2Emp1BaseProd*paramLOB2Disc2Meetings*paramLOB2Meetings*paramLOB2Clinician7Meetings,calcLOB2Clinician7Disc2Emp1ModifiedProd))</f>
        <v>0</v>
      </c>
      <c r="G1332" s="453">
        <f>IF(calcLOB2Clinician7Disc2Emp1BaseProd=0,0,IF(calcLOB2Clinician7Disc2Emp1ModifiedProd=0,calcLOB2Clinician7Disc2Emp1BaseProd*paramLOB2Disc2Meetings*paramLOB2Meetings*paramLOB2Clinician7Meetings,calcLOB2Clinician7Disc2Emp1ModifiedProd))</f>
        <v>0</v>
      </c>
      <c r="H1332" s="131" t="s">
        <v>2352</v>
      </c>
      <c r="J1332" s="131" t="s">
        <v>554</v>
      </c>
      <c r="K1332" s="453">
        <f>IF(calcR2LOB2Clinician7Disc2Emp1BaseProd=0,0,IF(calcR2LOB2Clinician7Disc2Emp1ModifiedProd=0,calcR2LOB2Clinician7Disc2Emp1BaseProd*paramR2LOB2Disc2Meetings*paramR2LOB2Meetings*paramR2LOB2Clinician7Meetings,calcR2LOB2Clinician7Disc2Emp1ModifiedProd))</f>
        <v>0</v>
      </c>
      <c r="L1332" s="453">
        <f>IF(calcR2LOB2Clinician7Disc2Emp1BaseProd=0,0,IF(calcR2LOB2Clinician7Disc2Emp1ModifiedProd=0,calcR2LOB2Clinician7Disc2Emp1BaseProd*paramR2LOB2Disc2Meetings*paramR2LOB2Meetings*paramR2LOB2Clinician7Meetings,calcR2LOB2Clinician7Disc2Emp1ModifiedProd))</f>
        <v>0</v>
      </c>
      <c r="M1332" s="453">
        <f>IF(calcR2LOB2Clinician7Disc2Emp1BaseProd=0,0,IF(calcR2LOB2Clinician7Disc2Emp1ModifiedProd=0,calcR2LOB2Clinician7Disc2Emp1BaseProd*paramR2LOB2Disc2Meetings*paramR2LOB2Meetings*paramR2LOB2Clinician7Meetings,calcR2LOB2Clinician7Disc2Emp1ModifiedProd))</f>
        <v>0</v>
      </c>
      <c r="N1332" s="131" t="s">
        <v>6838</v>
      </c>
    </row>
    <row r="1333" spans="1:14" ht="12.75" customHeight="1">
      <c r="A1333" s="478"/>
      <c r="B1333" s="459"/>
      <c r="C1333" s="170">
        <v>8</v>
      </c>
      <c r="D1333" s="131" t="s">
        <v>554</v>
      </c>
      <c r="E1333" s="453">
        <f>IF(calcLOB2Clinician8Disc2Emp1BaseProd=0,0,IF(calcLOB2Clinician8Disc2Emp1ModifiedProd=0,calcLOB2Clinician8Disc2Emp1BaseProd*paramLOB2Disc2Meetings*paramLOB2Meetings*paramLOB2Clinician8Meetings,calcLOB2Clinician8Disc2Emp1ModifiedProd))</f>
        <v>0</v>
      </c>
      <c r="F1333" s="453">
        <f>IF(calcLOB2Clinician8Disc2Emp1BaseProd=0,0,IF(calcLOB2Clinician8Disc2Emp1ModifiedProd=0,calcLOB2Clinician8Disc2Emp1BaseProd*paramLOB2Disc2Meetings*paramLOB2Meetings*paramLOB2Clinician8Meetings,calcLOB2Clinician8Disc2Emp1ModifiedProd))</f>
        <v>0</v>
      </c>
      <c r="G1333" s="453">
        <f>IF(calcLOB2Clinician8Disc2Emp1BaseProd=0,0,IF(calcLOB2Clinician8Disc2Emp1ModifiedProd=0,calcLOB2Clinician8Disc2Emp1BaseProd*paramLOB2Disc2Meetings*paramLOB2Meetings*paramLOB2Clinician8Meetings,calcLOB2Clinician8Disc2Emp1ModifiedProd))</f>
        <v>0</v>
      </c>
      <c r="H1333" s="131" t="s">
        <v>2353</v>
      </c>
      <c r="J1333" s="131" t="s">
        <v>554</v>
      </c>
      <c r="K1333" s="453">
        <f>IF(calcR2LOB2Clinician8Disc2Emp1BaseProd=0,0,IF(calcR2LOB2Clinician8Disc2Emp1ModifiedProd=0,calcR2LOB2Clinician8Disc2Emp1BaseProd*paramR2LOB2Disc2Meetings*paramR2LOB2Meetings*paramR2LOB2Clinician8Meetings,calcR2LOB2Clinician8Disc2Emp1ModifiedProd))</f>
        <v>0</v>
      </c>
      <c r="L1333" s="453">
        <f>IF(calcR2LOB2Clinician8Disc2Emp1BaseProd=0,0,IF(calcR2LOB2Clinician8Disc2Emp1ModifiedProd=0,calcR2LOB2Clinician8Disc2Emp1BaseProd*paramR2LOB2Disc2Meetings*paramR2LOB2Meetings*paramR2LOB2Clinician8Meetings,calcR2LOB2Clinician8Disc2Emp1ModifiedProd))</f>
        <v>0</v>
      </c>
      <c r="M1333" s="453">
        <f>IF(calcR2LOB2Clinician8Disc2Emp1BaseProd=0,0,IF(calcR2LOB2Clinician8Disc2Emp1ModifiedProd=0,calcR2LOB2Clinician8Disc2Emp1BaseProd*paramR2LOB2Disc2Meetings*paramR2LOB2Meetings*paramR2LOB2Clinician8Meetings,calcR2LOB2Clinician8Disc2Emp1ModifiedProd))</f>
        <v>0</v>
      </c>
      <c r="N1333" s="131" t="s">
        <v>6839</v>
      </c>
    </row>
    <row r="1334" spans="1:14" ht="12.75" customHeight="1">
      <c r="A1334" s="478"/>
      <c r="B1334" s="459"/>
      <c r="C1334" s="170">
        <v>9</v>
      </c>
      <c r="D1334" s="131" t="s">
        <v>554</v>
      </c>
      <c r="E1334" s="453">
        <f>IF(calcLOB2Clinician9Disc2Emp1BaseProd=0,0,IF(calcLOB2Clinician9Disc2Emp1ModifiedProd=0,calcLOB2Clinician9Disc2Emp1BaseProd*paramLOB2Disc2Meetings*paramLOB2Meetings*paramLOB2Clinician9Meetings,calcLOB2Clinician9Disc2Emp1ModifiedProd))</f>
        <v>0</v>
      </c>
      <c r="F1334" s="453">
        <f>IF(calcLOB2Clinician9Disc2Emp1BaseProd=0,0,IF(calcLOB2Clinician9Disc2Emp1ModifiedProd=0,calcLOB2Clinician9Disc2Emp1BaseProd*paramLOB2Disc2Meetings*paramLOB2Meetings*paramLOB2Clinician9Meetings,calcLOB2Clinician9Disc2Emp1ModifiedProd))</f>
        <v>0</v>
      </c>
      <c r="G1334" s="453">
        <f>IF(calcLOB2Clinician9Disc2Emp1BaseProd=0,0,IF(calcLOB2Clinician9Disc2Emp1ModifiedProd=0,calcLOB2Clinician9Disc2Emp1BaseProd*paramLOB2Disc2Meetings*paramLOB2Meetings*paramLOB2Clinician9Meetings,calcLOB2Clinician9Disc2Emp1ModifiedProd))</f>
        <v>0</v>
      </c>
      <c r="H1334" s="131" t="s">
        <v>2354</v>
      </c>
      <c r="J1334" s="131" t="s">
        <v>554</v>
      </c>
      <c r="K1334" s="453">
        <f>IF(calcR2LOB2Clinician9Disc2Emp1BaseProd=0,0,IF(calcR2LOB2Clinician9Disc2Emp1ModifiedProd=0,calcR2LOB2Clinician9Disc2Emp1BaseProd*paramR2LOB2Disc2Meetings*paramR2LOB2Meetings*paramR2LOB2Clinician9Meetings,calcR2LOB2Clinician9Disc2Emp1ModifiedProd))</f>
        <v>0</v>
      </c>
      <c r="L1334" s="453">
        <f>IF(calcR2LOB2Clinician9Disc2Emp1BaseProd=0,0,IF(calcR2LOB2Clinician9Disc2Emp1ModifiedProd=0,calcR2LOB2Clinician9Disc2Emp1BaseProd*paramR2LOB2Disc2Meetings*paramR2LOB2Meetings*paramR2LOB2Clinician9Meetings,calcR2LOB2Clinician9Disc2Emp1ModifiedProd))</f>
        <v>0</v>
      </c>
      <c r="M1334" s="453">
        <f>IF(calcR2LOB2Clinician9Disc2Emp1BaseProd=0,0,IF(calcR2LOB2Clinician9Disc2Emp1ModifiedProd=0,calcR2LOB2Clinician9Disc2Emp1BaseProd*paramR2LOB2Disc2Meetings*paramR2LOB2Meetings*paramR2LOB2Clinician9Meetings,calcR2LOB2Clinician9Disc2Emp1ModifiedProd))</f>
        <v>0</v>
      </c>
      <c r="N1334" s="131" t="s">
        <v>6840</v>
      </c>
    </row>
    <row r="1335" spans="1:14" ht="12.75" customHeight="1">
      <c r="A1335" s="478"/>
      <c r="B1335" s="459"/>
      <c r="C1335" s="170">
        <v>10</v>
      </c>
      <c r="D1335" s="131" t="s">
        <v>554</v>
      </c>
      <c r="E1335" s="453">
        <f>IF(calcLOB2Clinician10Disc2Emp1BaseProd=0,0,IF(calcLOB2Clinician10Disc2Emp1ModifiedProd=0,calcLOB2Clinician10Disc2Emp1BaseProd*paramLOB2Disc2Meetings*paramLOB2Meetings*paramLOB2Clinician10Meetings,calcLOB2Clinician10Disc2Emp1ModifiedProd))</f>
        <v>0</v>
      </c>
      <c r="F1335" s="453">
        <f>IF(calcLOB2Clinician10Disc2Emp1BaseProd=0,0,IF(calcLOB2Clinician10Disc2Emp1ModifiedProd=0,calcLOB2Clinician10Disc2Emp1BaseProd*paramLOB2Disc2Meetings*paramLOB2Meetings*paramLOB2Clinician10Meetings,calcLOB2Clinician10Disc2Emp1ModifiedProd))</f>
        <v>0</v>
      </c>
      <c r="G1335" s="453">
        <f>IF(calcLOB2Clinician10Disc2Emp1BaseProd=0,0,IF(calcLOB2Clinician10Disc2Emp1ModifiedProd=0,calcLOB2Clinician10Disc2Emp1BaseProd*paramLOB2Disc2Meetings*paramLOB2Meetings*paramLOB2Clinician10Meetings,calcLOB2Clinician10Disc2Emp1ModifiedProd))</f>
        <v>0</v>
      </c>
      <c r="H1335" s="131" t="s">
        <v>2355</v>
      </c>
      <c r="J1335" s="131" t="s">
        <v>554</v>
      </c>
      <c r="K1335" s="453">
        <f>IF(calcR2LOB2Clinician10Disc2Emp1BaseProd=0,0,IF(calcR2LOB2Clinician10Disc2Emp1ModifiedProd=0,calcR2LOB2Clinician10Disc2Emp1BaseProd*paramR2LOB2Disc2Meetings*paramR2LOB2Meetings*paramR2LOB2Clinician10Meetings,calcR2LOB2Clinician10Disc2Emp1ModifiedProd))</f>
        <v>0</v>
      </c>
      <c r="L1335" s="453">
        <f>IF(calcR2LOB2Clinician10Disc2Emp1BaseProd=0,0,IF(calcR2LOB2Clinician10Disc2Emp1ModifiedProd=0,calcR2LOB2Clinician10Disc2Emp1BaseProd*paramR2LOB2Disc2Meetings*paramR2LOB2Meetings*paramR2LOB2Clinician10Meetings,calcR2LOB2Clinician10Disc2Emp1ModifiedProd))</f>
        <v>0</v>
      </c>
      <c r="M1335" s="453">
        <f>IF(calcR2LOB2Clinician10Disc2Emp1BaseProd=0,0,IF(calcR2LOB2Clinician10Disc2Emp1ModifiedProd=0,calcR2LOB2Clinician10Disc2Emp1BaseProd*paramR2LOB2Disc2Meetings*paramR2LOB2Meetings*paramR2LOB2Clinician10Meetings,calcR2LOB2Clinician10Disc2Emp1ModifiedProd))</f>
        <v>0</v>
      </c>
      <c r="N1335" s="131" t="s">
        <v>6841</v>
      </c>
    </row>
    <row r="1336" spans="1:14" ht="12.75" customHeight="1">
      <c r="A1336" s="478"/>
      <c r="B1336" s="459"/>
      <c r="C1336" s="170">
        <v>11</v>
      </c>
      <c r="D1336" s="131" t="s">
        <v>554</v>
      </c>
      <c r="E1336" s="453">
        <f>IF(calcLOB2Clinician11Disc2Emp1BaseProd=0,0,IF(calcLOB2Clinician11Disc2Emp1ModifiedProd=0,calcLOB2Clinician11Disc2Emp1BaseProd*paramLOB2Disc2Meetings*paramLOB2Meetings*paramLOB2Clinician11Meetings,calcLOB2Clinician11Disc2Emp1ModifiedProd))</f>
        <v>0</v>
      </c>
      <c r="F1336" s="453">
        <f>IF(calcLOB2Clinician11Disc2Emp1BaseProd=0,0,IF(calcLOB2Clinician11Disc2Emp1ModifiedProd=0,calcLOB2Clinician11Disc2Emp1BaseProd*paramLOB2Disc2Meetings*paramLOB2Meetings*paramLOB2Clinician11Meetings,calcLOB2Clinician11Disc2Emp1ModifiedProd))</f>
        <v>0</v>
      </c>
      <c r="G1336" s="453">
        <f>IF(calcLOB2Clinician11Disc2Emp1BaseProd=0,0,IF(calcLOB2Clinician11Disc2Emp1ModifiedProd=0,calcLOB2Clinician11Disc2Emp1BaseProd*paramLOB2Disc2Meetings*paramLOB2Meetings*paramLOB2Clinician11Meetings,calcLOB2Clinician11Disc2Emp1ModifiedProd))</f>
        <v>0</v>
      </c>
      <c r="H1336" s="131" t="s">
        <v>2356</v>
      </c>
      <c r="J1336" s="131" t="s">
        <v>554</v>
      </c>
      <c r="K1336" s="453">
        <f>IF(calcR2LOB2Clinician11Disc2Emp1BaseProd=0,0,IF(calcR2LOB2Clinician11Disc2Emp1ModifiedProd=0,calcR2LOB2Clinician11Disc2Emp1BaseProd*paramR2LOB2Disc2Meetings*paramR2LOB2Meetings*paramR2LOB2Clinician11Meetings,calcR2LOB2Clinician11Disc2Emp1ModifiedProd))</f>
        <v>0</v>
      </c>
      <c r="L1336" s="453">
        <f>IF(calcR2LOB2Clinician11Disc2Emp1BaseProd=0,0,IF(calcR2LOB2Clinician11Disc2Emp1ModifiedProd=0,calcR2LOB2Clinician11Disc2Emp1BaseProd*paramR2LOB2Disc2Meetings*paramR2LOB2Meetings*paramR2LOB2Clinician11Meetings,calcR2LOB2Clinician11Disc2Emp1ModifiedProd))</f>
        <v>0</v>
      </c>
      <c r="M1336" s="453">
        <f>IF(calcR2LOB2Clinician11Disc2Emp1BaseProd=0,0,IF(calcR2LOB2Clinician11Disc2Emp1ModifiedProd=0,calcR2LOB2Clinician11Disc2Emp1BaseProd*paramR2LOB2Disc2Meetings*paramR2LOB2Meetings*paramR2LOB2Clinician11Meetings,calcR2LOB2Clinician11Disc2Emp1ModifiedProd))</f>
        <v>0</v>
      </c>
      <c r="N1336" s="131" t="s">
        <v>6842</v>
      </c>
    </row>
    <row r="1337" spans="1:14" ht="12.75" customHeight="1">
      <c r="A1337" s="478"/>
      <c r="B1337" s="459"/>
      <c r="C1337" s="170">
        <v>12</v>
      </c>
      <c r="D1337" s="131" t="s">
        <v>554</v>
      </c>
      <c r="E1337" s="453">
        <f>IF(calcLOB2Clinician12Disc2Emp1BaseProd=0,0,IF(calcLOB2Clinician12Disc2Emp1ModifiedProd=0,calcLOB2Clinician12Disc2Emp1BaseProd*paramLOB2Disc2Meetings*paramLOB2Meetings*paramLOB2Clinician12Meetings,calcLOB2Clinician12Disc2Emp1ModifiedProd))</f>
        <v>0</v>
      </c>
      <c r="F1337" s="453">
        <f>IF(calcLOB2Clinician12Disc2Emp1BaseProd=0,0,IF(calcLOB2Clinician12Disc2Emp1ModifiedProd=0,calcLOB2Clinician12Disc2Emp1BaseProd*paramLOB2Disc2Meetings*paramLOB2Meetings*paramLOB2Clinician12Meetings,calcLOB2Clinician12Disc2Emp1ModifiedProd))</f>
        <v>0</v>
      </c>
      <c r="G1337" s="453">
        <f>IF(calcLOB2Clinician12Disc2Emp1BaseProd=0,0,IF(calcLOB2Clinician12Disc2Emp1ModifiedProd=0,calcLOB2Clinician12Disc2Emp1BaseProd*paramLOB2Disc2Meetings*paramLOB2Meetings*paramLOB2Clinician12Meetings,calcLOB2Clinician12Disc2Emp1ModifiedProd))</f>
        <v>0</v>
      </c>
      <c r="H1337" s="131" t="s">
        <v>2357</v>
      </c>
      <c r="J1337" s="131" t="s">
        <v>554</v>
      </c>
      <c r="K1337" s="453">
        <f>IF(calcR2LOB2Clinician12Disc2Emp1BaseProd=0,0,IF(calcR2LOB2Clinician12Disc2Emp1ModifiedProd=0,calcR2LOB2Clinician12Disc2Emp1BaseProd*paramR2LOB2Disc2Meetings*paramR2LOB2Meetings*paramR2LOB2Clinician12Meetings,calcR2LOB2Clinician12Disc2Emp1ModifiedProd))</f>
        <v>0</v>
      </c>
      <c r="L1337" s="453">
        <f>IF(calcR2LOB2Clinician12Disc2Emp1BaseProd=0,0,IF(calcR2LOB2Clinician12Disc2Emp1ModifiedProd=0,calcR2LOB2Clinician12Disc2Emp1BaseProd*paramR2LOB2Disc2Meetings*paramR2LOB2Meetings*paramR2LOB2Clinician12Meetings,calcR2LOB2Clinician12Disc2Emp1ModifiedProd))</f>
        <v>0</v>
      </c>
      <c r="M1337" s="453">
        <f>IF(calcR2LOB2Clinician12Disc2Emp1BaseProd=0,0,IF(calcR2LOB2Clinician12Disc2Emp1ModifiedProd=0,calcR2LOB2Clinician12Disc2Emp1BaseProd*paramR2LOB2Disc2Meetings*paramR2LOB2Meetings*paramR2LOB2Clinician12Meetings,calcR2LOB2Clinician12Disc2Emp1ModifiedProd))</f>
        <v>0</v>
      </c>
      <c r="N1337" s="131" t="s">
        <v>6843</v>
      </c>
    </row>
    <row r="1338" spans="1:14" ht="12.75" customHeight="1">
      <c r="A1338" s="478"/>
      <c r="B1338" s="459"/>
      <c r="D1338" s="131" t="s">
        <v>554</v>
      </c>
      <c r="E1338" s="453">
        <f>cbalLOB2AvgProdClinician14</f>
        <v>170.99999999999997</v>
      </c>
      <c r="F1338" s="453">
        <f>cbalLOB2AvgProdClinician14</f>
        <v>100</v>
      </c>
      <c r="G1338" s="453">
        <f>cbalLOB2AvgProdClinician14</f>
        <v>200</v>
      </c>
      <c r="H1338" s="131" t="s">
        <v>4106</v>
      </c>
      <c r="J1338" s="131" t="s">
        <v>554</v>
      </c>
      <c r="K1338" s="453">
        <f>cbalR2LOB2AvgProdClinician14</f>
        <v>161.72320210456039</v>
      </c>
      <c r="L1338" s="453">
        <f>cbalR2LOB2AvgProdClinician14</f>
        <v>100</v>
      </c>
      <c r="M1338" s="453">
        <f>cbalR2LOB2AvgProdClinician14</f>
        <v>200</v>
      </c>
      <c r="N1338" s="131" t="s">
        <v>6844</v>
      </c>
    </row>
    <row r="1339" spans="1:14" ht="1.5" customHeight="1">
      <c r="A1339" s="461"/>
      <c r="B1339" s="459"/>
      <c r="D1339" s="449"/>
      <c r="E1339" s="450"/>
      <c r="F1339" s="450"/>
      <c r="G1339" s="450"/>
      <c r="H1339" s="131"/>
      <c r="J1339" s="449"/>
      <c r="K1339" s="450"/>
      <c r="L1339" s="450"/>
      <c r="M1339" s="450"/>
      <c r="N1339" s="131"/>
    </row>
    <row r="1340" spans="1:14" ht="12.75" customHeight="1">
      <c r="A1340" s="461"/>
      <c r="B1340" s="459"/>
      <c r="D1340" s="131" t="s">
        <v>1587</v>
      </c>
      <c r="E1340" s="448">
        <f>SUM(E1313:E1339)</f>
        <v>434.88794326241134</v>
      </c>
      <c r="F1340" s="448">
        <f t="shared" ref="F1340:G1340" si="194">SUM(F1313:F1339)</f>
        <v>344.18794326241135</v>
      </c>
      <c r="G1340" s="448">
        <f t="shared" si="194"/>
        <v>544.18794326241141</v>
      </c>
      <c r="H1340" s="131" t="s">
        <v>8353</v>
      </c>
      <c r="J1340" s="131" t="s">
        <v>1587</v>
      </c>
      <c r="K1340" s="448">
        <f>SUM(K1313:K1339)</f>
        <v>419.11738684016404</v>
      </c>
      <c r="L1340" s="448">
        <f t="shared" ref="L1340:M1340" si="195">SUM(L1313:L1339)</f>
        <v>344.18794326241135</v>
      </c>
      <c r="M1340" s="448">
        <f t="shared" si="195"/>
        <v>544.18794326241141</v>
      </c>
      <c r="N1340" s="131" t="s">
        <v>8354</v>
      </c>
    </row>
    <row r="1341" spans="1:14" ht="12.75" customHeight="1">
      <c r="A1341" s="478"/>
      <c r="B1341" s="459"/>
    </row>
    <row r="1342" spans="1:14" ht="12.75" customHeight="1">
      <c r="A1342" s="478"/>
      <c r="B1342" s="635"/>
      <c r="C1342" s="131" t="s">
        <v>1615</v>
      </c>
    </row>
    <row r="1343" spans="1:14" ht="12.75" customHeight="1">
      <c r="A1343" s="478"/>
      <c r="B1343" s="635"/>
      <c r="C1343" s="170">
        <v>1</v>
      </c>
      <c r="D1343" s="131" t="s">
        <v>550</v>
      </c>
      <c r="E1343" s="539">
        <f>IF(calcLOB2Clinician1Disc1Emp1BaseProd=0,0,cbalLOB2AvgMissPercClinician1*paramLOB2Disc1Missed*paramLOB2Clinician1Missed)</f>
        <v>0.17500000000000002</v>
      </c>
      <c r="F1343" s="539">
        <f>IF(calcLOB2Clinician1Disc1Emp1BaseProd=0,0,cbalLOB2AvgMissPercClinician1*paramLOB2Disc1Missed*paramLOB2Clinician1Missed)</f>
        <v>0.17500000000000002</v>
      </c>
      <c r="G1343" s="539">
        <f>IF(calcLOB2Clinician1Disc1Emp1BaseProd=0,0,cbalLOB2AvgMissPercClinician1*paramLOB2Disc1Missed*paramLOB2Clinician1Missed)</f>
        <v>0.17500000000000002</v>
      </c>
      <c r="H1343" s="131" t="s">
        <v>5162</v>
      </c>
      <c r="J1343" s="131" t="s">
        <v>550</v>
      </c>
      <c r="K1343" s="539">
        <f>IF(calcR2LOB2Clinician1Disc1Emp1BaseProd=0,0,cbalR2LOB2AvgMissPercClinician1*paramR2LOB2Disc1Missed*paramR2LOB2Clinician1Missed)</f>
        <v>0.17500000000000002</v>
      </c>
      <c r="L1343" s="539">
        <f>IF(calcR2LOB2Clinician1Disc1Emp1BaseProd=0,0,cbalR2LOB2AvgMissPercClinician1*paramR2LOB2Disc1Missed*paramR2LOB2Clinician1Missed)</f>
        <v>0.17500000000000002</v>
      </c>
      <c r="M1343" s="539">
        <f>IF(calcR2LOB2Clinician1Disc1Emp1BaseProd=0,0,cbalR2LOB2AvgMissPercClinician1*paramR2LOB2Disc1Missed*paramR2LOB2Clinician1Missed)</f>
        <v>0.17500000000000002</v>
      </c>
      <c r="N1343" s="131" t="s">
        <v>6845</v>
      </c>
    </row>
    <row r="1344" spans="1:14" ht="12.75" customHeight="1">
      <c r="A1344" s="478"/>
      <c r="B1344" s="635"/>
      <c r="C1344" s="170">
        <v>2</v>
      </c>
      <c r="D1344" s="131" t="s">
        <v>550</v>
      </c>
      <c r="E1344" s="539">
        <f>IF(calcLOB2Clinician2Disc1Emp1BaseProd=0,0,cbalLOB2AvgMissPercClinician2*paramLOB2Disc1Missed*paramLOB2Clinician2Missed)</f>
        <v>0.15</v>
      </c>
      <c r="F1344" s="539">
        <f>IF(calcLOB2Clinician2Disc1Emp1BaseProd=0,0,cbalLOB2AvgMissPercClinician2*paramLOB2Disc1Missed*paramLOB2Clinician2Missed)</f>
        <v>0.15</v>
      </c>
      <c r="G1344" s="539">
        <f>IF(calcLOB2Clinician2Disc1Emp1BaseProd=0,0,cbalLOB2AvgMissPercClinician2*paramLOB2Disc1Missed*paramLOB2Clinician2Missed)</f>
        <v>0.15</v>
      </c>
      <c r="H1344" s="131" t="s">
        <v>5163</v>
      </c>
      <c r="J1344" s="131" t="s">
        <v>550</v>
      </c>
      <c r="K1344" s="539">
        <f>IF(calcR2LOB2Clinician2Disc1Emp1BaseProd=0,0,cbalR2LOB2AvgMissPercClinician2*paramR2LOB2Disc1Missed*paramR2LOB2Clinician2Missed)</f>
        <v>0.15</v>
      </c>
      <c r="L1344" s="539">
        <f>IF(calcR2LOB2Clinician2Disc1Emp1BaseProd=0,0,cbalR2LOB2AvgMissPercClinician2*paramR2LOB2Disc1Missed*paramR2LOB2Clinician2Missed)</f>
        <v>0.15</v>
      </c>
      <c r="M1344" s="539">
        <f>IF(calcR2LOB2Clinician2Disc1Emp1BaseProd=0,0,cbalR2LOB2AvgMissPercClinician2*paramR2LOB2Disc1Missed*paramR2LOB2Clinician2Missed)</f>
        <v>0.15</v>
      </c>
      <c r="N1344" s="131" t="s">
        <v>6846</v>
      </c>
    </row>
    <row r="1345" spans="1:14" ht="12.75" customHeight="1">
      <c r="A1345" s="478"/>
      <c r="B1345" s="635"/>
      <c r="C1345" s="170">
        <v>3</v>
      </c>
      <c r="D1345" s="131" t="s">
        <v>550</v>
      </c>
      <c r="E1345" s="539">
        <f>IF(calcLOB2Clinician3Disc1Emp1BaseProd=0,0,cbalLOB2AvgMissPercClinician3*paramLOB2Disc1Missed*paramLOB2Clinician3Missed)</f>
        <v>7.4999999999999997E-2</v>
      </c>
      <c r="F1345" s="539">
        <f>IF(calcLOB2Clinician3Disc1Emp1BaseProd=0,0,cbalLOB2AvgMissPercClinician3*paramLOB2Disc1Missed*paramLOB2Clinician3Missed)</f>
        <v>7.4999999999999997E-2</v>
      </c>
      <c r="G1345" s="539">
        <f>IF(calcLOB2Clinician3Disc1Emp1BaseProd=0,0,cbalLOB2AvgMissPercClinician3*paramLOB2Disc1Missed*paramLOB2Clinician3Missed)</f>
        <v>7.4999999999999997E-2</v>
      </c>
      <c r="H1345" s="131" t="s">
        <v>5164</v>
      </c>
      <c r="J1345" s="131" t="s">
        <v>550</v>
      </c>
      <c r="K1345" s="539">
        <f>IF(calcR2LOB2Clinician3Disc1Emp1BaseProd=0,0,cbalR2LOB2AvgMissPercClinician3*paramR2LOB2Disc1Missed*paramR2LOB2Clinician3Missed)</f>
        <v>7.4999999999999997E-2</v>
      </c>
      <c r="L1345" s="539">
        <f>IF(calcR2LOB2Clinician3Disc1Emp1BaseProd=0,0,cbalR2LOB2AvgMissPercClinician3*paramR2LOB2Disc1Missed*paramR2LOB2Clinician3Missed)</f>
        <v>7.4999999999999997E-2</v>
      </c>
      <c r="M1345" s="539">
        <f>IF(calcR2LOB2Clinician3Disc1Emp1BaseProd=0,0,cbalR2LOB2AvgMissPercClinician3*paramR2LOB2Disc1Missed*paramR2LOB2Clinician3Missed)</f>
        <v>7.4999999999999997E-2</v>
      </c>
      <c r="N1345" s="131" t="s">
        <v>6847</v>
      </c>
    </row>
    <row r="1346" spans="1:14" ht="12.75" customHeight="1">
      <c r="A1346" s="478"/>
      <c r="B1346" s="635"/>
      <c r="C1346" s="170">
        <v>4</v>
      </c>
      <c r="D1346" s="131" t="s">
        <v>550</v>
      </c>
      <c r="E1346" s="539">
        <f>IF(calcLOB2Clinician4Disc1Emp1BaseProd=0,0,cbalLOB2AvgMissPercClinician4*paramLOB2Disc1Missed*paramLOB2Clinician4Missed)</f>
        <v>0.05</v>
      </c>
      <c r="F1346" s="539">
        <f>IF(calcLOB2Clinician4Disc1Emp1BaseProd=0,0,cbalLOB2AvgMissPercClinician4*paramLOB2Disc1Missed*paramLOB2Clinician4Missed)</f>
        <v>0.05</v>
      </c>
      <c r="G1346" s="539">
        <f>IF(calcLOB2Clinician4Disc1Emp1BaseProd=0,0,cbalLOB2AvgMissPercClinician4*paramLOB2Disc1Missed*paramLOB2Clinician4Missed)</f>
        <v>0.05</v>
      </c>
      <c r="H1346" s="131" t="s">
        <v>5165</v>
      </c>
      <c r="J1346" s="131" t="s">
        <v>550</v>
      </c>
      <c r="K1346" s="539">
        <f>IF(calcR2LOB2Clinician4Disc1Emp1BaseProd=0,0,cbalR2LOB2AvgMissPercClinician4*paramR2LOB2Disc1Missed*paramR2LOB2Clinician4Missed)</f>
        <v>0.05</v>
      </c>
      <c r="L1346" s="539">
        <f>IF(calcR2LOB2Clinician4Disc1Emp1BaseProd=0,0,cbalR2LOB2AvgMissPercClinician4*paramR2LOB2Disc1Missed*paramR2LOB2Clinician4Missed)</f>
        <v>0.05</v>
      </c>
      <c r="M1346" s="539">
        <f>IF(calcR2LOB2Clinician4Disc1Emp1BaseProd=0,0,cbalR2LOB2AvgMissPercClinician4*paramR2LOB2Disc1Missed*paramR2LOB2Clinician4Missed)</f>
        <v>0.05</v>
      </c>
      <c r="N1346" s="131" t="s">
        <v>6848</v>
      </c>
    </row>
    <row r="1347" spans="1:14" ht="12.75" customHeight="1">
      <c r="A1347" s="478"/>
      <c r="B1347" s="635"/>
      <c r="C1347" s="170">
        <v>5</v>
      </c>
      <c r="D1347" s="131" t="s">
        <v>550</v>
      </c>
      <c r="E1347" s="539">
        <f>IF(calcLOB2Clinician5Disc1Emp1BaseProd=0,0,cbalLOB2AvgMissPercClinician5*paramLOB2Disc1Missed*paramLOB2Clinician5Missed)</f>
        <v>0</v>
      </c>
      <c r="F1347" s="539">
        <f>IF(calcLOB2Clinician5Disc1Emp1BaseProd=0,0,cbalLOB2AvgMissPercClinician5*paramLOB2Disc1Missed*paramLOB2Clinician5Missed)</f>
        <v>0</v>
      </c>
      <c r="G1347" s="539">
        <f>IF(calcLOB2Clinician5Disc1Emp1BaseProd=0,0,cbalLOB2AvgMissPercClinician5*paramLOB2Disc1Missed*paramLOB2Clinician5Missed)</f>
        <v>0</v>
      </c>
      <c r="H1347" s="131" t="s">
        <v>5166</v>
      </c>
      <c r="J1347" s="131" t="s">
        <v>550</v>
      </c>
      <c r="K1347" s="539">
        <f>IF(calcR2LOB2Clinician5Disc1Emp1BaseProd=0,0,cbalR2LOB2AvgMissPercClinician5*paramR2LOB2Disc1Missed*paramR2LOB2Clinician5Missed)</f>
        <v>0</v>
      </c>
      <c r="L1347" s="539">
        <f>IF(calcR2LOB2Clinician5Disc1Emp1BaseProd=0,0,cbalR2LOB2AvgMissPercClinician5*paramR2LOB2Disc1Missed*paramR2LOB2Clinician5Missed)</f>
        <v>0</v>
      </c>
      <c r="M1347" s="539">
        <f>IF(calcR2LOB2Clinician5Disc1Emp1BaseProd=0,0,cbalR2LOB2AvgMissPercClinician5*paramR2LOB2Disc1Missed*paramR2LOB2Clinician5Missed)</f>
        <v>0</v>
      </c>
      <c r="N1347" s="131" t="s">
        <v>6849</v>
      </c>
    </row>
    <row r="1348" spans="1:14" ht="12.75" customHeight="1">
      <c r="A1348" s="478"/>
      <c r="B1348" s="635"/>
      <c r="C1348" s="170">
        <v>6</v>
      </c>
      <c r="D1348" s="131" t="s">
        <v>550</v>
      </c>
      <c r="E1348" s="539">
        <f>IF(calcLOB2Clinician6Disc1Emp1BaseProd=0,0,cbalLOB2AvgMissPercClinician6*paramLOB2Disc1Missed*paramLOB2Clinician6Missed)</f>
        <v>0</v>
      </c>
      <c r="F1348" s="539">
        <f>IF(calcLOB2Clinician6Disc1Emp1BaseProd=0,0,cbalLOB2AvgMissPercClinician6*paramLOB2Disc1Missed*paramLOB2Clinician6Missed)</f>
        <v>0</v>
      </c>
      <c r="G1348" s="539">
        <f>IF(calcLOB2Clinician6Disc1Emp1BaseProd=0,0,cbalLOB2AvgMissPercClinician6*paramLOB2Disc1Missed*paramLOB2Clinician6Missed)</f>
        <v>0</v>
      </c>
      <c r="H1348" s="131" t="s">
        <v>5167</v>
      </c>
      <c r="J1348" s="131" t="s">
        <v>550</v>
      </c>
      <c r="K1348" s="539">
        <f>IF(calcR2LOB2Clinician6Disc1Emp1BaseProd=0,0,cbalR2LOB2AvgMissPercClinician6*paramR2LOB2Disc1Missed*paramR2LOB2Clinician6Missed)</f>
        <v>0</v>
      </c>
      <c r="L1348" s="539">
        <f>IF(calcR2LOB2Clinician6Disc1Emp1BaseProd=0,0,cbalR2LOB2AvgMissPercClinician6*paramR2LOB2Disc1Missed*paramR2LOB2Clinician6Missed)</f>
        <v>0</v>
      </c>
      <c r="M1348" s="539">
        <f>IF(calcR2LOB2Clinician6Disc1Emp1BaseProd=0,0,cbalR2LOB2AvgMissPercClinician6*paramR2LOB2Disc1Missed*paramR2LOB2Clinician6Missed)</f>
        <v>0</v>
      </c>
      <c r="N1348" s="131" t="s">
        <v>6850</v>
      </c>
    </row>
    <row r="1349" spans="1:14" ht="12.75" customHeight="1">
      <c r="A1349" s="478"/>
      <c r="B1349" s="635"/>
      <c r="C1349" s="170">
        <v>7</v>
      </c>
      <c r="D1349" s="131" t="s">
        <v>550</v>
      </c>
      <c r="E1349" s="539">
        <f>IF(calcLOB2Clinician7Disc1Emp1BaseProd=0,0,cbalLOB2AvgMissPercClinician7*paramLOB2Disc1Missed*paramLOB2Clinician7Missed)</f>
        <v>0</v>
      </c>
      <c r="F1349" s="539">
        <f>IF(calcLOB2Clinician7Disc1Emp1BaseProd=0,0,cbalLOB2AvgMissPercClinician7*paramLOB2Disc1Missed*paramLOB2Clinician7Missed)</f>
        <v>0</v>
      </c>
      <c r="G1349" s="539">
        <f>IF(calcLOB2Clinician7Disc1Emp1BaseProd=0,0,cbalLOB2AvgMissPercClinician7*paramLOB2Disc1Missed*paramLOB2Clinician7Missed)</f>
        <v>0</v>
      </c>
      <c r="H1349" s="131" t="s">
        <v>5168</v>
      </c>
      <c r="J1349" s="131" t="s">
        <v>550</v>
      </c>
      <c r="K1349" s="539">
        <f>IF(calcR2LOB2Clinician7Disc1Emp1BaseProd=0,0,cbalR2LOB2AvgMissPercClinician7*paramR2LOB2Disc1Missed*paramR2LOB2Clinician7Missed)</f>
        <v>0</v>
      </c>
      <c r="L1349" s="539">
        <f>IF(calcR2LOB2Clinician7Disc1Emp1BaseProd=0,0,cbalR2LOB2AvgMissPercClinician7*paramR2LOB2Disc1Missed*paramR2LOB2Clinician7Missed)</f>
        <v>0</v>
      </c>
      <c r="M1349" s="539">
        <f>IF(calcR2LOB2Clinician7Disc1Emp1BaseProd=0,0,cbalR2LOB2AvgMissPercClinician7*paramR2LOB2Disc1Missed*paramR2LOB2Clinician7Missed)</f>
        <v>0</v>
      </c>
      <c r="N1349" s="131" t="s">
        <v>6851</v>
      </c>
    </row>
    <row r="1350" spans="1:14" ht="12.75" customHeight="1">
      <c r="A1350" s="478"/>
      <c r="B1350" s="635"/>
      <c r="C1350" s="170">
        <v>8</v>
      </c>
      <c r="D1350" s="131" t="s">
        <v>550</v>
      </c>
      <c r="E1350" s="539">
        <f>IF(calcLOB2Clinician8Disc1Emp1BaseProd=0,0,cbalLOB2AvgMissPercClinician8*paramLOB2Disc1Missed*paramLOB2Clinician8Missed)</f>
        <v>0</v>
      </c>
      <c r="F1350" s="539">
        <f>IF(calcLOB2Clinician8Disc1Emp1BaseProd=0,0,cbalLOB2AvgMissPercClinician8*paramLOB2Disc1Missed*paramLOB2Clinician8Missed)</f>
        <v>0</v>
      </c>
      <c r="G1350" s="539">
        <f>IF(calcLOB2Clinician8Disc1Emp1BaseProd=0,0,cbalLOB2AvgMissPercClinician8*paramLOB2Disc1Missed*paramLOB2Clinician8Missed)</f>
        <v>0</v>
      </c>
      <c r="H1350" s="131" t="s">
        <v>5169</v>
      </c>
      <c r="J1350" s="131" t="s">
        <v>550</v>
      </c>
      <c r="K1350" s="539">
        <f>IF(calcR2LOB2Clinician8Disc1Emp1BaseProd=0,0,cbalR2LOB2AvgMissPercClinician8*paramR2LOB2Disc1Missed*paramR2LOB2Clinician8Missed)</f>
        <v>0</v>
      </c>
      <c r="L1350" s="539">
        <f>IF(calcR2LOB2Clinician8Disc1Emp1BaseProd=0,0,cbalR2LOB2AvgMissPercClinician8*paramR2LOB2Disc1Missed*paramR2LOB2Clinician8Missed)</f>
        <v>0</v>
      </c>
      <c r="M1350" s="539">
        <f>IF(calcR2LOB2Clinician8Disc1Emp1BaseProd=0,0,cbalR2LOB2AvgMissPercClinician8*paramR2LOB2Disc1Missed*paramR2LOB2Clinician8Missed)</f>
        <v>0</v>
      </c>
      <c r="N1350" s="131" t="s">
        <v>6852</v>
      </c>
    </row>
    <row r="1351" spans="1:14" ht="12.75" customHeight="1">
      <c r="A1351" s="478"/>
      <c r="B1351" s="635"/>
      <c r="C1351" s="170">
        <v>9</v>
      </c>
      <c r="D1351" s="131" t="s">
        <v>550</v>
      </c>
      <c r="E1351" s="539">
        <f>IF(calcLOB2Clinician9Disc1Emp1BaseProd=0,0,cbalLOB2AvgMissPercClinician9*paramLOB2Disc1Missed*paramLOB2Clinician9Missed)</f>
        <v>0</v>
      </c>
      <c r="F1351" s="539">
        <f>IF(calcLOB2Clinician9Disc1Emp1BaseProd=0,0,cbalLOB2AvgMissPercClinician9*paramLOB2Disc1Missed*paramLOB2Clinician9Missed)</f>
        <v>0</v>
      </c>
      <c r="G1351" s="539">
        <f>IF(calcLOB2Clinician9Disc1Emp1BaseProd=0,0,cbalLOB2AvgMissPercClinician9*paramLOB2Disc1Missed*paramLOB2Clinician9Missed)</f>
        <v>0</v>
      </c>
      <c r="H1351" s="131" t="s">
        <v>5170</v>
      </c>
      <c r="J1351" s="131" t="s">
        <v>550</v>
      </c>
      <c r="K1351" s="539">
        <f>IF(calcR2LOB2Clinician9Disc1Emp1BaseProd=0,0,cbalR2LOB2AvgMissPercClinician9*paramR2LOB2Disc1Missed*paramR2LOB2Clinician9Missed)</f>
        <v>0</v>
      </c>
      <c r="L1351" s="539">
        <f>IF(calcR2LOB2Clinician9Disc1Emp1BaseProd=0,0,cbalR2LOB2AvgMissPercClinician9*paramR2LOB2Disc1Missed*paramR2LOB2Clinician9Missed)</f>
        <v>0</v>
      </c>
      <c r="M1351" s="539">
        <f>IF(calcR2LOB2Clinician9Disc1Emp1BaseProd=0,0,cbalR2LOB2AvgMissPercClinician9*paramR2LOB2Disc1Missed*paramR2LOB2Clinician9Missed)</f>
        <v>0</v>
      </c>
      <c r="N1351" s="131" t="s">
        <v>6853</v>
      </c>
    </row>
    <row r="1352" spans="1:14" ht="12.75" customHeight="1">
      <c r="A1352" s="478"/>
      <c r="B1352" s="635"/>
      <c r="C1352" s="170">
        <v>10</v>
      </c>
      <c r="D1352" s="131" t="s">
        <v>550</v>
      </c>
      <c r="E1352" s="539">
        <f>IF(calcLOB2Clinician10Disc1Emp1BaseProd=0,0,cbalLOB2AvgMissPercClinician10*paramLOB2Disc1Missed*paramLOB2Clinician10Missed)</f>
        <v>0</v>
      </c>
      <c r="F1352" s="539">
        <f>IF(calcLOB2Clinician10Disc1Emp1BaseProd=0,0,cbalLOB2AvgMissPercClinician10*paramLOB2Disc1Missed*paramLOB2Clinician10Missed)</f>
        <v>0</v>
      </c>
      <c r="G1352" s="539">
        <f>IF(calcLOB2Clinician10Disc1Emp1BaseProd=0,0,cbalLOB2AvgMissPercClinician10*paramLOB2Disc1Missed*paramLOB2Clinician10Missed)</f>
        <v>0</v>
      </c>
      <c r="H1352" s="131" t="s">
        <v>5171</v>
      </c>
      <c r="J1352" s="131" t="s">
        <v>550</v>
      </c>
      <c r="K1352" s="539">
        <f>IF(calcR2LOB2Clinician10Disc1Emp1BaseProd=0,0,cbalR2LOB2AvgMissPercClinician10*paramR2LOB2Disc1Missed*paramR2LOB2Clinician10Missed)</f>
        <v>0</v>
      </c>
      <c r="L1352" s="539">
        <f>IF(calcR2LOB2Clinician10Disc1Emp1BaseProd=0,0,cbalR2LOB2AvgMissPercClinician10*paramR2LOB2Disc1Missed*paramR2LOB2Clinician10Missed)</f>
        <v>0</v>
      </c>
      <c r="M1352" s="539">
        <f>IF(calcR2LOB2Clinician10Disc1Emp1BaseProd=0,0,cbalR2LOB2AvgMissPercClinician10*paramR2LOB2Disc1Missed*paramR2LOB2Clinician10Missed)</f>
        <v>0</v>
      </c>
      <c r="N1352" s="131" t="s">
        <v>6854</v>
      </c>
    </row>
    <row r="1353" spans="1:14" ht="12.75" customHeight="1">
      <c r="A1353" s="478"/>
      <c r="B1353" s="635"/>
      <c r="C1353" s="170">
        <v>11</v>
      </c>
      <c r="D1353" s="131" t="s">
        <v>550</v>
      </c>
      <c r="E1353" s="539">
        <f>IF(calcLOB2Clinician11Disc1Emp1BaseProd=0,0,cbalLOB2AvgMissPercClinician11*paramLOB2Disc1Missed*paramLOB2Clinician11Missed)</f>
        <v>0</v>
      </c>
      <c r="F1353" s="539">
        <f>IF(calcLOB2Clinician11Disc1Emp1BaseProd=0,0,cbalLOB2AvgMissPercClinician11*paramLOB2Disc1Missed*paramLOB2Clinician11Missed)</f>
        <v>0</v>
      </c>
      <c r="G1353" s="539">
        <f>IF(calcLOB2Clinician11Disc1Emp1BaseProd=0,0,cbalLOB2AvgMissPercClinician11*paramLOB2Disc1Missed*paramLOB2Clinician11Missed)</f>
        <v>0</v>
      </c>
      <c r="H1353" s="131" t="s">
        <v>5172</v>
      </c>
      <c r="J1353" s="131" t="s">
        <v>550</v>
      </c>
      <c r="K1353" s="539">
        <f>IF(calcR2LOB2Clinician11Disc1Emp1BaseProd=0,0,cbalR2LOB2AvgMissPercClinician11*paramR2LOB2Disc1Missed*paramR2LOB2Clinician11Missed)</f>
        <v>0</v>
      </c>
      <c r="L1353" s="539">
        <f>IF(calcR2LOB2Clinician11Disc1Emp1BaseProd=0,0,cbalR2LOB2AvgMissPercClinician11*paramR2LOB2Disc1Missed*paramR2LOB2Clinician11Missed)</f>
        <v>0</v>
      </c>
      <c r="M1353" s="539">
        <f>IF(calcR2LOB2Clinician11Disc1Emp1BaseProd=0,0,cbalR2LOB2AvgMissPercClinician11*paramR2LOB2Disc1Missed*paramR2LOB2Clinician11Missed)</f>
        <v>0</v>
      </c>
      <c r="N1353" s="131" t="s">
        <v>6855</v>
      </c>
    </row>
    <row r="1354" spans="1:14" ht="12.75" customHeight="1">
      <c r="A1354" s="478"/>
      <c r="B1354" s="635"/>
      <c r="C1354" s="170">
        <v>12</v>
      </c>
      <c r="D1354" s="131" t="s">
        <v>550</v>
      </c>
      <c r="E1354" s="539">
        <f>IF(calcLOB2Clinician12Disc1Emp1BaseProd=0,0,cbalLOB2AvgMissPercClinician12*paramLOB2Disc1Missed*paramLOB2Clinician12Missed)</f>
        <v>0</v>
      </c>
      <c r="F1354" s="539">
        <f>IF(calcLOB2Clinician12Disc1Emp1BaseProd=0,0,cbalLOB2AvgMissPercClinician12*paramLOB2Disc1Missed*paramLOB2Clinician12Missed)</f>
        <v>0</v>
      </c>
      <c r="G1354" s="539">
        <f>IF(calcLOB2Clinician12Disc1Emp1BaseProd=0,0,cbalLOB2AvgMissPercClinician12*paramLOB2Disc1Missed*paramLOB2Clinician12Missed)</f>
        <v>0</v>
      </c>
      <c r="H1354" s="131" t="s">
        <v>5173</v>
      </c>
      <c r="J1354" s="131" t="s">
        <v>550</v>
      </c>
      <c r="K1354" s="539">
        <f>IF(calcR2LOB2Clinician12Disc1Emp1BaseProd=0,0,cbalR2LOB2AvgMissPercClinician12*paramR2LOB2Disc1Missed*paramR2LOB2Clinician12Missed)</f>
        <v>0</v>
      </c>
      <c r="L1354" s="539">
        <f>IF(calcR2LOB2Clinician12Disc1Emp1BaseProd=0,0,cbalR2LOB2AvgMissPercClinician12*paramR2LOB2Disc1Missed*paramR2LOB2Clinician12Missed)</f>
        <v>0</v>
      </c>
      <c r="M1354" s="539">
        <f>IF(calcR2LOB2Clinician12Disc1Emp1BaseProd=0,0,cbalR2LOB2AvgMissPercClinician12*paramR2LOB2Disc1Missed*paramR2LOB2Clinician12Missed)</f>
        <v>0</v>
      </c>
      <c r="N1354" s="131" t="s">
        <v>6856</v>
      </c>
    </row>
    <row r="1355" spans="1:14" ht="12.75" customHeight="1">
      <c r="A1355" s="478"/>
      <c r="B1355" s="635"/>
      <c r="D1355" s="131" t="s">
        <v>550</v>
      </c>
      <c r="E1355" s="643">
        <f>IF(calcLOB2Clinician13Disc1Emp1BaseProd=0,0,cbalLOB2AvgMissPercClinician13*paramLOB2Disc1Missed)</f>
        <v>6.25E-2</v>
      </c>
      <c r="F1355" s="643">
        <f>IF(calcLOB2Clinician13Disc1Emp1BaseProd=0,0,cbalLOB2AvgMissPercClinician13*paramLOB2Disc1Missed)</f>
        <v>6.25E-2</v>
      </c>
      <c r="G1355" s="643">
        <f>IF(calcLOB2Clinician13Disc1Emp1BaseProd=0,0,cbalLOB2AvgMissPercClinician13*paramLOB2Disc1Missed)</f>
        <v>6.25E-2</v>
      </c>
      <c r="H1355" s="131" t="s">
        <v>5174</v>
      </c>
      <c r="J1355" s="131" t="s">
        <v>550</v>
      </c>
      <c r="K1355" s="643">
        <f>IF(calcR2LOB2Clinician13Disc1Emp1BaseProd=0,0,cbalR2LOB2AvgMissPercClinician13*paramR2LOB2Disc1Missed)</f>
        <v>6.25E-2</v>
      </c>
      <c r="L1355" s="643">
        <f>IF(calcR2LOB2Clinician13Disc1Emp1BaseProd=0,0,cbalR2LOB2AvgMissPercClinician13*paramR2LOB2Disc1Missed)</f>
        <v>6.25E-2</v>
      </c>
      <c r="M1355" s="643">
        <f>IF(calcR2LOB2Clinician13Disc1Emp1BaseProd=0,0,cbalR2LOB2AvgMissPercClinician13*paramR2LOB2Disc1Missed)</f>
        <v>6.25E-2</v>
      </c>
      <c r="N1355" s="131" t="s">
        <v>6857</v>
      </c>
    </row>
    <row r="1356" spans="1:14" ht="12.75" customHeight="1">
      <c r="A1356" s="478"/>
      <c r="B1356" s="635"/>
      <c r="C1356" s="170">
        <v>1</v>
      </c>
      <c r="D1356" s="131" t="s">
        <v>554</v>
      </c>
      <c r="E1356" s="539">
        <f>IF(calcLOB2Clinician1Disc2Emp1BaseProd=0,0,cbalLOB2AvgMissPercClinician1*paramLOB2Disc2Missed*paramLOB2Clinician1Missed)</f>
        <v>0</v>
      </c>
      <c r="F1356" s="539">
        <f>IF(calcLOB2Clinician1Disc2Emp1BaseProd=0,0,cbalLOB2AvgMissPercClinician1*paramLOB2Disc2Missed*paramLOB2Clinician1Missed)</f>
        <v>0</v>
      </c>
      <c r="G1356" s="539">
        <f>IF(calcLOB2Clinician1Disc2Emp1BaseProd=0,0,cbalLOB2AvgMissPercClinician1*paramLOB2Disc2Missed*paramLOB2Clinician1Missed)</f>
        <v>0</v>
      </c>
      <c r="H1356" s="131" t="s">
        <v>5175</v>
      </c>
      <c r="J1356" s="131" t="s">
        <v>554</v>
      </c>
      <c r="K1356" s="539">
        <f>IF(calcR2LOB2Clinician1Disc2Emp1BaseProd=0,0,cbalR2LOB2AvgMissPercClinician1*paramR2LOB2Disc2Missed*paramR2LOB2Clinician1Missed)</f>
        <v>0</v>
      </c>
      <c r="L1356" s="539">
        <f>IF(calcR2LOB2Clinician1Disc2Emp1BaseProd=0,0,cbalR2LOB2AvgMissPercClinician1*paramR2LOB2Disc2Missed*paramR2LOB2Clinician1Missed)</f>
        <v>0</v>
      </c>
      <c r="M1356" s="539">
        <f>IF(calcR2LOB2Clinician1Disc2Emp1BaseProd=0,0,cbalR2LOB2AvgMissPercClinician1*paramR2LOB2Disc2Missed*paramR2LOB2Clinician1Missed)</f>
        <v>0</v>
      </c>
      <c r="N1356" s="131" t="s">
        <v>6858</v>
      </c>
    </row>
    <row r="1357" spans="1:14" ht="12.75" customHeight="1">
      <c r="A1357" s="478"/>
      <c r="B1357" s="635"/>
      <c r="C1357" s="170">
        <v>2</v>
      </c>
      <c r="D1357" s="131" t="s">
        <v>554</v>
      </c>
      <c r="E1357" s="539">
        <f>IF(calcLOB2Clinician2Disc2Emp1BaseProd=0,0,cbalLOB2AvgMissPercClinician2*paramLOB2Disc2Missed*paramLOB2Clinician2Missed)</f>
        <v>0</v>
      </c>
      <c r="F1357" s="539">
        <f>IF(calcLOB2Clinician2Disc2Emp1BaseProd=0,0,cbalLOB2AvgMissPercClinician2*paramLOB2Disc2Missed*paramLOB2Clinician2Missed)</f>
        <v>0</v>
      </c>
      <c r="G1357" s="539">
        <f>IF(calcLOB2Clinician2Disc2Emp1BaseProd=0,0,cbalLOB2AvgMissPercClinician2*paramLOB2Disc2Missed*paramLOB2Clinician2Missed)</f>
        <v>0</v>
      </c>
      <c r="H1357" s="131" t="s">
        <v>5176</v>
      </c>
      <c r="J1357" s="131" t="s">
        <v>554</v>
      </c>
      <c r="K1357" s="539">
        <f>IF(calcR2LOB2Clinician2Disc2Emp1BaseProd=0,0,cbalR2LOB2AvgMissPercClinician2*paramR2LOB2Disc2Missed*paramR2LOB2Clinician2Missed)</f>
        <v>0</v>
      </c>
      <c r="L1357" s="539">
        <f>IF(calcR2LOB2Clinician2Disc2Emp1BaseProd=0,0,cbalR2LOB2AvgMissPercClinician2*paramR2LOB2Disc2Missed*paramR2LOB2Clinician2Missed)</f>
        <v>0</v>
      </c>
      <c r="M1357" s="539">
        <f>IF(calcR2LOB2Clinician2Disc2Emp1BaseProd=0,0,cbalR2LOB2AvgMissPercClinician2*paramR2LOB2Disc2Missed*paramR2LOB2Clinician2Missed)</f>
        <v>0</v>
      </c>
      <c r="N1357" s="131" t="s">
        <v>6859</v>
      </c>
    </row>
    <row r="1358" spans="1:14" ht="12.75" customHeight="1">
      <c r="A1358" s="478"/>
      <c r="B1358" s="635"/>
      <c r="C1358" s="170">
        <v>3</v>
      </c>
      <c r="D1358" s="131" t="s">
        <v>554</v>
      </c>
      <c r="E1358" s="539">
        <f>IF(calcLOB2Clinician3Disc2Emp1BaseProd=0,0,cbalLOB2AvgMissPercClinician3*paramLOB2Disc2Missed*paramLOB2Clinician3Missed)</f>
        <v>0</v>
      </c>
      <c r="F1358" s="539">
        <f>IF(calcLOB2Clinician3Disc2Emp1BaseProd=0,0,cbalLOB2AvgMissPercClinician3*paramLOB2Disc2Missed*paramLOB2Clinician3Missed)</f>
        <v>0</v>
      </c>
      <c r="G1358" s="539">
        <f>IF(calcLOB2Clinician3Disc2Emp1BaseProd=0,0,cbalLOB2AvgMissPercClinician3*paramLOB2Disc2Missed*paramLOB2Clinician3Missed)</f>
        <v>0</v>
      </c>
      <c r="H1358" s="131" t="s">
        <v>5177</v>
      </c>
      <c r="J1358" s="131" t="s">
        <v>554</v>
      </c>
      <c r="K1358" s="539">
        <f>IF(calcR2LOB2Clinician3Disc2Emp1BaseProd=0,0,cbalR2LOB2AvgMissPercClinician3*paramR2LOB2Disc2Missed*paramR2LOB2Clinician3Missed)</f>
        <v>0</v>
      </c>
      <c r="L1358" s="539">
        <f>IF(calcR2LOB2Clinician3Disc2Emp1BaseProd=0,0,cbalR2LOB2AvgMissPercClinician3*paramR2LOB2Disc2Missed*paramR2LOB2Clinician3Missed)</f>
        <v>0</v>
      </c>
      <c r="M1358" s="539">
        <f>IF(calcR2LOB2Clinician3Disc2Emp1BaseProd=0,0,cbalR2LOB2AvgMissPercClinician3*paramR2LOB2Disc2Missed*paramR2LOB2Clinician3Missed)</f>
        <v>0</v>
      </c>
      <c r="N1358" s="131" t="s">
        <v>6860</v>
      </c>
    </row>
    <row r="1359" spans="1:14" ht="12.75" customHeight="1">
      <c r="A1359" s="478"/>
      <c r="B1359" s="635"/>
      <c r="C1359" s="170">
        <v>4</v>
      </c>
      <c r="D1359" s="131" t="s">
        <v>554</v>
      </c>
      <c r="E1359" s="539">
        <f>IF(calcLOB2Clinician4Disc2Emp1BaseProd=0,0,cbalLOB2AvgMissPercClinician4*paramLOB2Disc2Missed*paramLOB2Clinician4Missed)</f>
        <v>0</v>
      </c>
      <c r="F1359" s="539">
        <f>IF(calcLOB2Clinician4Disc2Emp1BaseProd=0,0,cbalLOB2AvgMissPercClinician4*paramLOB2Disc2Missed*paramLOB2Clinician4Missed)</f>
        <v>0</v>
      </c>
      <c r="G1359" s="539">
        <f>IF(calcLOB2Clinician4Disc2Emp1BaseProd=0,0,cbalLOB2AvgMissPercClinician4*paramLOB2Disc2Missed*paramLOB2Clinician4Missed)</f>
        <v>0</v>
      </c>
      <c r="H1359" s="131" t="s">
        <v>5178</v>
      </c>
      <c r="J1359" s="131" t="s">
        <v>554</v>
      </c>
      <c r="K1359" s="539">
        <f>IF(calcR2LOB2Clinician4Disc2Emp1BaseProd=0,0,cbalR2LOB2AvgMissPercClinician4*paramR2LOB2Disc2Missed*paramR2LOB2Clinician4Missed)</f>
        <v>0</v>
      </c>
      <c r="L1359" s="539">
        <f>IF(calcR2LOB2Clinician4Disc2Emp1BaseProd=0,0,cbalR2LOB2AvgMissPercClinician4*paramR2LOB2Disc2Missed*paramR2LOB2Clinician4Missed)</f>
        <v>0</v>
      </c>
      <c r="M1359" s="539">
        <f>IF(calcR2LOB2Clinician4Disc2Emp1BaseProd=0,0,cbalR2LOB2AvgMissPercClinician4*paramR2LOB2Disc2Missed*paramR2LOB2Clinician4Missed)</f>
        <v>0</v>
      </c>
      <c r="N1359" s="131" t="s">
        <v>6861</v>
      </c>
    </row>
    <row r="1360" spans="1:14" ht="12.75" customHeight="1">
      <c r="A1360" s="478"/>
      <c r="B1360" s="635"/>
      <c r="C1360" s="170">
        <v>5</v>
      </c>
      <c r="D1360" s="131" t="s">
        <v>554</v>
      </c>
      <c r="E1360" s="539">
        <f>IF(calcLOB2Clinician5Disc2Emp1BaseProd=0,0,cbalLOB2AvgMissPercClinician5*paramLOB2Disc2Missed*paramLOB2Clinician5Missed)</f>
        <v>0.125</v>
      </c>
      <c r="F1360" s="539">
        <f>IF(calcLOB2Clinician5Disc2Emp1BaseProd=0,0,cbalLOB2AvgMissPercClinician5*paramLOB2Disc2Missed*paramLOB2Clinician5Missed)</f>
        <v>0.125</v>
      </c>
      <c r="G1360" s="539">
        <f>IF(calcLOB2Clinician5Disc2Emp1BaseProd=0,0,cbalLOB2AvgMissPercClinician5*paramLOB2Disc2Missed*paramLOB2Clinician5Missed)</f>
        <v>0.125</v>
      </c>
      <c r="H1360" s="131" t="s">
        <v>5179</v>
      </c>
      <c r="J1360" s="131" t="s">
        <v>554</v>
      </c>
      <c r="K1360" s="539">
        <f>IF(calcR2LOB2Clinician5Disc2Emp1BaseProd=0,0,cbalR2LOB2AvgMissPercClinician5*paramR2LOB2Disc2Missed*paramR2LOB2Clinician5Missed)</f>
        <v>0.125</v>
      </c>
      <c r="L1360" s="539">
        <f>IF(calcR2LOB2Clinician5Disc2Emp1BaseProd=0,0,cbalR2LOB2AvgMissPercClinician5*paramR2LOB2Disc2Missed*paramR2LOB2Clinician5Missed)</f>
        <v>0.125</v>
      </c>
      <c r="M1360" s="539">
        <f>IF(calcR2LOB2Clinician5Disc2Emp1BaseProd=0,0,cbalR2LOB2AvgMissPercClinician5*paramR2LOB2Disc2Missed*paramR2LOB2Clinician5Missed)</f>
        <v>0.125</v>
      </c>
      <c r="N1360" s="131" t="s">
        <v>6862</v>
      </c>
    </row>
    <row r="1361" spans="1:14" ht="12.75" customHeight="1">
      <c r="A1361" s="478"/>
      <c r="B1361" s="635"/>
      <c r="C1361" s="170">
        <v>6</v>
      </c>
      <c r="D1361" s="131" t="s">
        <v>554</v>
      </c>
      <c r="E1361" s="539">
        <f>IF(calcLOB2Clinician6Disc2Emp1BaseProd=0,0,cbalLOB2AvgMissPercClinician6*paramLOB2Disc2Missed*paramLOB2Clinician6Missed)</f>
        <v>0.1875</v>
      </c>
      <c r="F1361" s="539">
        <f>IF(calcLOB2Clinician6Disc2Emp1BaseProd=0,0,cbalLOB2AvgMissPercClinician6*paramLOB2Disc2Missed*paramLOB2Clinician6Missed)</f>
        <v>0.1875</v>
      </c>
      <c r="G1361" s="539">
        <f>IF(calcLOB2Clinician6Disc2Emp1BaseProd=0,0,cbalLOB2AvgMissPercClinician6*paramLOB2Disc2Missed*paramLOB2Clinician6Missed)</f>
        <v>0.1875</v>
      </c>
      <c r="H1361" s="131" t="s">
        <v>5180</v>
      </c>
      <c r="J1361" s="131" t="s">
        <v>554</v>
      </c>
      <c r="K1361" s="539">
        <f>IF(calcR2LOB2Clinician6Disc2Emp1BaseProd=0,0,cbalR2LOB2AvgMissPercClinician6*paramR2LOB2Disc2Missed*paramR2LOB2Clinician6Missed)</f>
        <v>0.1875</v>
      </c>
      <c r="L1361" s="539">
        <f>IF(calcR2LOB2Clinician6Disc2Emp1BaseProd=0,0,cbalR2LOB2AvgMissPercClinician6*paramR2LOB2Disc2Missed*paramR2LOB2Clinician6Missed)</f>
        <v>0.1875</v>
      </c>
      <c r="M1361" s="539">
        <f>IF(calcR2LOB2Clinician6Disc2Emp1BaseProd=0,0,cbalR2LOB2AvgMissPercClinician6*paramR2LOB2Disc2Missed*paramR2LOB2Clinician6Missed)</f>
        <v>0.1875</v>
      </c>
      <c r="N1361" s="131" t="s">
        <v>6863</v>
      </c>
    </row>
    <row r="1362" spans="1:14" ht="12.75" customHeight="1">
      <c r="A1362" s="478"/>
      <c r="B1362" s="635"/>
      <c r="C1362" s="170">
        <v>7</v>
      </c>
      <c r="D1362" s="131" t="s">
        <v>554</v>
      </c>
      <c r="E1362" s="539">
        <f>IF(calcLOB2Clinician7Disc2Emp1BaseProd=0,0,cbalLOB2AvgMissPercClinician7*paramLOB2Disc2Missed*paramLOB2Clinician7Missed)</f>
        <v>0</v>
      </c>
      <c r="F1362" s="539">
        <f>IF(calcLOB2Clinician7Disc2Emp1BaseProd=0,0,cbalLOB2AvgMissPercClinician7*paramLOB2Disc2Missed*paramLOB2Clinician7Missed)</f>
        <v>0</v>
      </c>
      <c r="G1362" s="539">
        <f>IF(calcLOB2Clinician7Disc2Emp1BaseProd=0,0,cbalLOB2AvgMissPercClinician7*paramLOB2Disc2Missed*paramLOB2Clinician7Missed)</f>
        <v>0</v>
      </c>
      <c r="H1362" s="131" t="s">
        <v>5181</v>
      </c>
      <c r="J1362" s="131" t="s">
        <v>554</v>
      </c>
      <c r="K1362" s="539">
        <f>IF(calcR2LOB2Clinician7Disc2Emp1BaseProd=0,0,cbalR2LOB2AvgMissPercClinician7*paramR2LOB2Disc2Missed*paramR2LOB2Clinician7Missed)</f>
        <v>0</v>
      </c>
      <c r="L1362" s="539">
        <f>IF(calcR2LOB2Clinician7Disc2Emp1BaseProd=0,0,cbalR2LOB2AvgMissPercClinician7*paramR2LOB2Disc2Missed*paramR2LOB2Clinician7Missed)</f>
        <v>0</v>
      </c>
      <c r="M1362" s="539">
        <f>IF(calcR2LOB2Clinician7Disc2Emp1BaseProd=0,0,cbalR2LOB2AvgMissPercClinician7*paramR2LOB2Disc2Missed*paramR2LOB2Clinician7Missed)</f>
        <v>0</v>
      </c>
      <c r="N1362" s="131" t="s">
        <v>6864</v>
      </c>
    </row>
    <row r="1363" spans="1:14" ht="12.75" customHeight="1">
      <c r="A1363" s="478"/>
      <c r="B1363" s="635"/>
      <c r="C1363" s="170">
        <v>8</v>
      </c>
      <c r="D1363" s="131" t="s">
        <v>554</v>
      </c>
      <c r="E1363" s="539">
        <f>IF(calcLOB2Clinician8Disc2Emp1BaseProd=0,0,cbalLOB2AvgMissPercClinician8*paramLOB2Disc2Missed*paramLOB2Clinician8Missed)</f>
        <v>0</v>
      </c>
      <c r="F1363" s="539">
        <f>IF(calcLOB2Clinician8Disc2Emp1BaseProd=0,0,cbalLOB2AvgMissPercClinician8*paramLOB2Disc2Missed*paramLOB2Clinician8Missed)</f>
        <v>0</v>
      </c>
      <c r="G1363" s="539">
        <f>IF(calcLOB2Clinician8Disc2Emp1BaseProd=0,0,cbalLOB2AvgMissPercClinician8*paramLOB2Disc2Missed*paramLOB2Clinician8Missed)</f>
        <v>0</v>
      </c>
      <c r="H1363" s="131" t="s">
        <v>5182</v>
      </c>
      <c r="J1363" s="131" t="s">
        <v>554</v>
      </c>
      <c r="K1363" s="539">
        <f>IF(calcR2LOB2Clinician8Disc2Emp1BaseProd=0,0,cbalR2LOB2AvgMissPercClinician8*paramR2LOB2Disc2Missed*paramR2LOB2Clinician8Missed)</f>
        <v>0</v>
      </c>
      <c r="L1363" s="539">
        <f>IF(calcR2LOB2Clinician8Disc2Emp1BaseProd=0,0,cbalR2LOB2AvgMissPercClinician8*paramR2LOB2Disc2Missed*paramR2LOB2Clinician8Missed)</f>
        <v>0</v>
      </c>
      <c r="M1363" s="539">
        <f>IF(calcR2LOB2Clinician8Disc2Emp1BaseProd=0,0,cbalR2LOB2AvgMissPercClinician8*paramR2LOB2Disc2Missed*paramR2LOB2Clinician8Missed)</f>
        <v>0</v>
      </c>
      <c r="N1363" s="131" t="s">
        <v>6865</v>
      </c>
    </row>
    <row r="1364" spans="1:14" ht="12.75" customHeight="1">
      <c r="A1364" s="478"/>
      <c r="B1364" s="635"/>
      <c r="C1364" s="170">
        <v>9</v>
      </c>
      <c r="D1364" s="131" t="s">
        <v>554</v>
      </c>
      <c r="E1364" s="539">
        <f>IF(calcLOB2Clinician9Disc2Emp1BaseProd=0,0,cbalLOB2AvgMissPercClinician9*paramLOB2Disc2Missed*paramLOB2Clinician9Missed)</f>
        <v>0</v>
      </c>
      <c r="F1364" s="539">
        <f>IF(calcLOB2Clinician9Disc2Emp1BaseProd=0,0,cbalLOB2AvgMissPercClinician9*paramLOB2Disc2Missed*paramLOB2Clinician9Missed)</f>
        <v>0</v>
      </c>
      <c r="G1364" s="539">
        <f>IF(calcLOB2Clinician9Disc2Emp1BaseProd=0,0,cbalLOB2AvgMissPercClinician9*paramLOB2Disc2Missed*paramLOB2Clinician9Missed)</f>
        <v>0</v>
      </c>
      <c r="H1364" s="131" t="s">
        <v>5183</v>
      </c>
      <c r="J1364" s="131" t="s">
        <v>554</v>
      </c>
      <c r="K1364" s="539">
        <f>IF(calcR2LOB2Clinician9Disc2Emp1BaseProd=0,0,cbalR2LOB2AvgMissPercClinician9*paramR2LOB2Disc2Missed*paramR2LOB2Clinician9Missed)</f>
        <v>0</v>
      </c>
      <c r="L1364" s="539">
        <f>IF(calcR2LOB2Clinician9Disc2Emp1BaseProd=0,0,cbalR2LOB2AvgMissPercClinician9*paramR2LOB2Disc2Missed*paramR2LOB2Clinician9Missed)</f>
        <v>0</v>
      </c>
      <c r="M1364" s="539">
        <f>IF(calcR2LOB2Clinician9Disc2Emp1BaseProd=0,0,cbalR2LOB2AvgMissPercClinician9*paramR2LOB2Disc2Missed*paramR2LOB2Clinician9Missed)</f>
        <v>0</v>
      </c>
      <c r="N1364" s="131" t="s">
        <v>6866</v>
      </c>
    </row>
    <row r="1365" spans="1:14" ht="12.75" customHeight="1">
      <c r="A1365" s="478"/>
      <c r="B1365" s="635"/>
      <c r="C1365" s="170">
        <v>10</v>
      </c>
      <c r="D1365" s="131" t="s">
        <v>554</v>
      </c>
      <c r="E1365" s="539">
        <f>IF(calcLOB2Clinician10Disc2Emp1BaseProd=0,0,cbalLOB2AvgMissPercClinician10*paramLOB2Disc2Missed*paramLOB2Clinician10Missed)</f>
        <v>0</v>
      </c>
      <c r="F1365" s="539">
        <f>IF(calcLOB2Clinician10Disc2Emp1BaseProd=0,0,cbalLOB2AvgMissPercClinician10*paramLOB2Disc2Missed*paramLOB2Clinician10Missed)</f>
        <v>0</v>
      </c>
      <c r="G1365" s="539">
        <f>IF(calcLOB2Clinician10Disc2Emp1BaseProd=0,0,cbalLOB2AvgMissPercClinician10*paramLOB2Disc2Missed*paramLOB2Clinician10Missed)</f>
        <v>0</v>
      </c>
      <c r="H1365" s="131" t="s">
        <v>5184</v>
      </c>
      <c r="J1365" s="131" t="s">
        <v>554</v>
      </c>
      <c r="K1365" s="539">
        <f>IF(calcR2LOB2Clinician10Disc2Emp1BaseProd=0,0,cbalR2LOB2AvgMissPercClinician10*paramR2LOB2Disc2Missed*paramR2LOB2Clinician10Missed)</f>
        <v>0</v>
      </c>
      <c r="L1365" s="539">
        <f>IF(calcR2LOB2Clinician10Disc2Emp1BaseProd=0,0,cbalR2LOB2AvgMissPercClinician10*paramR2LOB2Disc2Missed*paramR2LOB2Clinician10Missed)</f>
        <v>0</v>
      </c>
      <c r="M1365" s="539">
        <f>IF(calcR2LOB2Clinician10Disc2Emp1BaseProd=0,0,cbalR2LOB2AvgMissPercClinician10*paramR2LOB2Disc2Missed*paramR2LOB2Clinician10Missed)</f>
        <v>0</v>
      </c>
      <c r="N1365" s="131" t="s">
        <v>6867</v>
      </c>
    </row>
    <row r="1366" spans="1:14" ht="12.75" customHeight="1">
      <c r="A1366" s="478"/>
      <c r="B1366" s="635"/>
      <c r="C1366" s="170">
        <v>11</v>
      </c>
      <c r="D1366" s="131" t="s">
        <v>554</v>
      </c>
      <c r="E1366" s="539">
        <f>IF(calcLOB2Clinician11Disc2Emp1BaseProd=0,0,cbalLOB2AvgMissPercClinician11*paramLOB2Disc2Missed*paramLOB2Clinician11Missed)</f>
        <v>0</v>
      </c>
      <c r="F1366" s="539">
        <f>IF(calcLOB2Clinician11Disc2Emp1BaseProd=0,0,cbalLOB2AvgMissPercClinician11*paramLOB2Disc2Missed*paramLOB2Clinician11Missed)</f>
        <v>0</v>
      </c>
      <c r="G1366" s="539">
        <f>IF(calcLOB2Clinician11Disc2Emp1BaseProd=0,0,cbalLOB2AvgMissPercClinician11*paramLOB2Disc2Missed*paramLOB2Clinician11Missed)</f>
        <v>0</v>
      </c>
      <c r="H1366" s="131" t="s">
        <v>5185</v>
      </c>
      <c r="J1366" s="131" t="s">
        <v>554</v>
      </c>
      <c r="K1366" s="539">
        <f>IF(calcR2LOB2Clinician11Disc2Emp1BaseProd=0,0,cbalR2LOB2AvgMissPercClinician11*paramR2LOB2Disc2Missed*paramR2LOB2Clinician11Missed)</f>
        <v>0</v>
      </c>
      <c r="L1366" s="539">
        <f>IF(calcR2LOB2Clinician11Disc2Emp1BaseProd=0,0,cbalR2LOB2AvgMissPercClinician11*paramR2LOB2Disc2Missed*paramR2LOB2Clinician11Missed)</f>
        <v>0</v>
      </c>
      <c r="M1366" s="539">
        <f>IF(calcR2LOB2Clinician11Disc2Emp1BaseProd=0,0,cbalR2LOB2AvgMissPercClinician11*paramR2LOB2Disc2Missed*paramR2LOB2Clinician11Missed)</f>
        <v>0</v>
      </c>
      <c r="N1366" s="131" t="s">
        <v>6868</v>
      </c>
    </row>
    <row r="1367" spans="1:14" ht="12.75" customHeight="1">
      <c r="A1367" s="478"/>
      <c r="B1367" s="635"/>
      <c r="C1367" s="170">
        <v>12</v>
      </c>
      <c r="D1367" s="131" t="s">
        <v>554</v>
      </c>
      <c r="E1367" s="539">
        <f>IF(calcLOB2Clinician12Disc2Emp1BaseProd=0,0,cbalLOB2AvgMissPercClinician12*paramLOB2Disc2Missed*paramLOB2Clinician12Missed)</f>
        <v>0</v>
      </c>
      <c r="F1367" s="539">
        <f>IF(calcLOB2Clinician12Disc2Emp1BaseProd=0,0,cbalLOB2AvgMissPercClinician12*paramLOB2Disc2Missed*paramLOB2Clinician12Missed)</f>
        <v>0</v>
      </c>
      <c r="G1367" s="539">
        <f>IF(calcLOB2Clinician12Disc2Emp1BaseProd=0,0,cbalLOB2AvgMissPercClinician12*paramLOB2Disc2Missed*paramLOB2Clinician12Missed)</f>
        <v>0</v>
      </c>
      <c r="H1367" s="131" t="s">
        <v>5186</v>
      </c>
      <c r="J1367" s="131" t="s">
        <v>554</v>
      </c>
      <c r="K1367" s="539">
        <f>IF(calcR2LOB2Clinician12Disc2Emp1BaseProd=0,0,cbalR2LOB2AvgMissPercClinician12*paramR2LOB2Disc2Missed*paramR2LOB2Clinician12Missed)</f>
        <v>0</v>
      </c>
      <c r="L1367" s="539">
        <f>IF(calcR2LOB2Clinician12Disc2Emp1BaseProd=0,0,cbalR2LOB2AvgMissPercClinician12*paramR2LOB2Disc2Missed*paramR2LOB2Clinician12Missed)</f>
        <v>0</v>
      </c>
      <c r="M1367" s="539">
        <f>IF(calcR2LOB2Clinician12Disc2Emp1BaseProd=0,0,cbalR2LOB2AvgMissPercClinician12*paramR2LOB2Disc2Missed*paramR2LOB2Clinician12Missed)</f>
        <v>0</v>
      </c>
      <c r="N1367" s="131" t="s">
        <v>6869</v>
      </c>
    </row>
    <row r="1368" spans="1:14" ht="12.75" customHeight="1">
      <c r="A1368" s="478"/>
      <c r="B1368" s="635"/>
      <c r="D1368" s="131" t="s">
        <v>554</v>
      </c>
      <c r="E1368" s="539">
        <f>IF(calcLOB2Clinician14Disc2Emp1BaseProd=0,0,cbalLOB2AvgMissPercClinician14*paramLOB2Disc2Missed)</f>
        <v>6.25E-2</v>
      </c>
      <c r="F1368" s="539">
        <f>IF(calcLOB2Clinician14Disc2Emp1BaseProd=0,0,cbalLOB2AvgMissPercClinician14*paramLOB2Disc2Missed)</f>
        <v>6.25E-2</v>
      </c>
      <c r="G1368" s="539">
        <f>IF(calcLOB2Clinician14Disc2Emp1BaseProd=0,0,cbalLOB2AvgMissPercClinician14*paramLOB2Disc2Missed)</f>
        <v>6.25E-2</v>
      </c>
      <c r="H1368" s="131" t="s">
        <v>5187</v>
      </c>
      <c r="J1368" s="131" t="s">
        <v>554</v>
      </c>
      <c r="K1368" s="539">
        <f>IF(calcR2LOB2Clinician14Disc2Emp1BaseProd=0,0,cbalR2LOB2AvgMissPercClinician14*paramR2LOB2Disc2Missed)</f>
        <v>6.25E-2</v>
      </c>
      <c r="L1368" s="539">
        <f>IF(calcR2LOB2Clinician14Disc2Emp1BaseProd=0,0,cbalR2LOB2AvgMissPercClinician14*paramR2LOB2Disc2Missed)</f>
        <v>6.25E-2</v>
      </c>
      <c r="M1368" s="539">
        <f>IF(calcR2LOB2Clinician14Disc2Emp1BaseProd=0,0,cbalR2LOB2AvgMissPercClinician14*paramR2LOB2Disc2Missed)</f>
        <v>6.25E-2</v>
      </c>
      <c r="N1368" s="131" t="s">
        <v>6870</v>
      </c>
    </row>
    <row r="1369" spans="1:14" ht="12.75" customHeight="1">
      <c r="A1369" s="478"/>
      <c r="B1369" s="459"/>
      <c r="D1369" s="131"/>
      <c r="E1369" s="539"/>
      <c r="F1369" s="539"/>
      <c r="G1369" s="539"/>
      <c r="H1369" s="131"/>
      <c r="J1369" s="131"/>
      <c r="K1369" s="539"/>
      <c r="L1369" s="539"/>
      <c r="M1369" s="539"/>
      <c r="N1369" s="131"/>
    </row>
    <row r="1370" spans="1:14" ht="12.75" customHeight="1">
      <c r="A1370" s="478"/>
      <c r="B1370" s="459"/>
      <c r="C1370" s="131" t="s">
        <v>1615</v>
      </c>
    </row>
    <row r="1371" spans="1:14" ht="12.75" customHeight="1">
      <c r="A1371" s="478"/>
      <c r="B1371" s="459"/>
      <c r="C1371" s="170">
        <v>1</v>
      </c>
      <c r="D1371" s="131" t="s">
        <v>550</v>
      </c>
      <c r="E1371" s="539">
        <f>IF(calcLOB2Clinician1Disc1Emp1BaseProd=0,0,cbalLOB2AvgMissPercClinician1+(calcLOB2Clinician1Disc1Emp1GrossProd/calcLOB2Clinician1Disc1Emp1BaseProd-1)/paramTimeConversion)</f>
        <v>0.17500000000000002</v>
      </c>
      <c r="F1371" s="539">
        <f>IF(calcLOB2Clinician1Disc1Emp1BaseProd=0,0,cbalLOB2AvgMissPercClinician1+(calcLOB2Clinician1Disc1Emp1GrossProd/calcLOB2Clinician1Disc1Emp1BaseProd-1)/paramTimeConversion)</f>
        <v>0.17500000000000002</v>
      </c>
      <c r="G1371" s="539">
        <f>IF(calcLOB2Clinician1Disc1Emp1BaseProd=0,0,cbalLOB2AvgMissPercClinician1+(calcLOB2Clinician1Disc1Emp1GrossProd/calcLOB2Clinician1Disc1Emp1BaseProd-1)/paramTimeConversion)</f>
        <v>0.17500000000000002</v>
      </c>
      <c r="H1371" s="131" t="s">
        <v>3891</v>
      </c>
      <c r="J1371" s="131" t="s">
        <v>550</v>
      </c>
      <c r="K1371" s="539">
        <f>IF(calcR2LOB2Clinician1Disc1Emp1BaseProd=0,0,cbalR2LOB2AvgMissPercClinician1+(calcR2LOB2Clinician1Disc1Emp1GrossProd/calcR2LOB2Clinician1Disc1Emp1BaseProd-1)/paramR2TimeConversion)</f>
        <v>0.17500000000000002</v>
      </c>
      <c r="L1371" s="539">
        <f>IF(calcR2LOB2Clinician1Disc1Emp1BaseProd=0,0,cbalR2LOB2AvgMissPercClinician1+(calcR2LOB2Clinician1Disc1Emp1GrossProd/calcR2LOB2Clinician1Disc1Emp1BaseProd-1)/paramR2TimeConversion)</f>
        <v>0.17500000000000002</v>
      </c>
      <c r="M1371" s="539">
        <f>IF(calcR2LOB2Clinician1Disc1Emp1BaseProd=0,0,cbalR2LOB2AvgMissPercClinician1+(calcR2LOB2Clinician1Disc1Emp1GrossProd/calcR2LOB2Clinician1Disc1Emp1BaseProd-1)/paramR2TimeConversion)</f>
        <v>0.17500000000000002</v>
      </c>
      <c r="N1371" s="131" t="s">
        <v>6871</v>
      </c>
    </row>
    <row r="1372" spans="1:14" ht="12.75" customHeight="1">
      <c r="A1372" s="478"/>
      <c r="B1372" s="459"/>
      <c r="C1372" s="170">
        <v>2</v>
      </c>
      <c r="D1372" s="131" t="s">
        <v>550</v>
      </c>
      <c r="E1372" s="539">
        <f>IF(calcLOB2Clinician2Disc1Emp1BaseProd=0,0,cbalLOB2AvgMissPercClinician2+(calcLOB2Clinician2Disc1Emp1GrossProd/calcLOB2Clinician2Disc1Emp1BaseProd-1)/paramTimeConversion)</f>
        <v>0.15</v>
      </c>
      <c r="F1372" s="539">
        <f>IF(calcLOB2Clinician2Disc1Emp1BaseProd=0,0,cbalLOB2AvgMissPercClinician2+(calcLOB2Clinician2Disc1Emp1GrossProd/calcLOB2Clinician2Disc1Emp1BaseProd-1)/paramTimeConversion)</f>
        <v>0.15</v>
      </c>
      <c r="G1372" s="539">
        <f>IF(calcLOB2Clinician2Disc1Emp1BaseProd=0,0,cbalLOB2AvgMissPercClinician2+(calcLOB2Clinician2Disc1Emp1GrossProd/calcLOB2Clinician2Disc1Emp1BaseProd-1)/paramTimeConversion)</f>
        <v>0.15</v>
      </c>
      <c r="H1372" s="131" t="s">
        <v>3892</v>
      </c>
      <c r="J1372" s="131" t="s">
        <v>550</v>
      </c>
      <c r="K1372" s="539">
        <f>IF(calcR2LOB2Clinician2Disc1Emp1BaseProd=0,0,cbalR2LOB2AvgMissPercClinician2+(calcR2LOB2Clinician2Disc1Emp1GrossProd/calcR2LOB2Clinician2Disc1Emp1BaseProd-1)/paramR2TimeConversion)</f>
        <v>0.15</v>
      </c>
      <c r="L1372" s="539">
        <f>IF(calcR2LOB2Clinician2Disc1Emp1BaseProd=0,0,cbalR2LOB2AvgMissPercClinician2+(calcR2LOB2Clinician2Disc1Emp1GrossProd/calcR2LOB2Clinician2Disc1Emp1BaseProd-1)/paramR2TimeConversion)</f>
        <v>0.15</v>
      </c>
      <c r="M1372" s="539">
        <f>IF(calcR2LOB2Clinician2Disc1Emp1BaseProd=0,0,cbalR2LOB2AvgMissPercClinician2+(calcR2LOB2Clinician2Disc1Emp1GrossProd/calcR2LOB2Clinician2Disc1Emp1BaseProd-1)/paramR2TimeConversion)</f>
        <v>0.15</v>
      </c>
      <c r="N1372" s="131" t="s">
        <v>6872</v>
      </c>
    </row>
    <row r="1373" spans="1:14" ht="12.75" customHeight="1">
      <c r="A1373" s="478"/>
      <c r="B1373" s="459"/>
      <c r="C1373" s="170">
        <v>3</v>
      </c>
      <c r="D1373" s="131" t="s">
        <v>550</v>
      </c>
      <c r="E1373" s="539">
        <f>IF(calcLOB2Clinician3Disc1Emp1BaseProd=0,0,cbalLOB2AvgMissPercClinician3+(calcLOB2Clinician3Disc1Emp1GrossProd/calcLOB2Clinician3Disc1Emp1BaseProd-1)/paramTimeConversion)</f>
        <v>7.4999999999999997E-2</v>
      </c>
      <c r="F1373" s="539">
        <f>IF(calcLOB2Clinician3Disc1Emp1BaseProd=0,0,cbalLOB2AvgMissPercClinician3+(calcLOB2Clinician3Disc1Emp1GrossProd/calcLOB2Clinician3Disc1Emp1BaseProd-1)/paramTimeConversion)</f>
        <v>7.4999999999999997E-2</v>
      </c>
      <c r="G1373" s="539">
        <f>IF(calcLOB2Clinician3Disc1Emp1BaseProd=0,0,cbalLOB2AvgMissPercClinician3+(calcLOB2Clinician3Disc1Emp1GrossProd/calcLOB2Clinician3Disc1Emp1BaseProd-1)/paramTimeConversion)</f>
        <v>7.4999999999999997E-2</v>
      </c>
      <c r="H1373" s="131" t="s">
        <v>3893</v>
      </c>
      <c r="J1373" s="131" t="s">
        <v>550</v>
      </c>
      <c r="K1373" s="539">
        <f>IF(calcR2LOB2Clinician3Disc1Emp1BaseProd=0,0,cbalR2LOB2AvgMissPercClinician3+(calcR2LOB2Clinician3Disc1Emp1GrossProd/calcR2LOB2Clinician3Disc1Emp1BaseProd-1)/paramR2TimeConversion)</f>
        <v>7.4999999999999997E-2</v>
      </c>
      <c r="L1373" s="539">
        <f>IF(calcR2LOB2Clinician3Disc1Emp1BaseProd=0,0,cbalR2LOB2AvgMissPercClinician3+(calcR2LOB2Clinician3Disc1Emp1GrossProd/calcR2LOB2Clinician3Disc1Emp1BaseProd-1)/paramR2TimeConversion)</f>
        <v>7.4999999999999997E-2</v>
      </c>
      <c r="M1373" s="539">
        <f>IF(calcR2LOB2Clinician3Disc1Emp1BaseProd=0,0,cbalR2LOB2AvgMissPercClinician3+(calcR2LOB2Clinician3Disc1Emp1GrossProd/calcR2LOB2Clinician3Disc1Emp1BaseProd-1)/paramR2TimeConversion)</f>
        <v>7.4999999999999997E-2</v>
      </c>
      <c r="N1373" s="131" t="s">
        <v>6873</v>
      </c>
    </row>
    <row r="1374" spans="1:14" ht="12.75" customHeight="1">
      <c r="A1374" s="478"/>
      <c r="B1374" s="459"/>
      <c r="C1374" s="170">
        <v>4</v>
      </c>
      <c r="D1374" s="131" t="s">
        <v>550</v>
      </c>
      <c r="E1374" s="539">
        <f>IF(calcLOB2Clinician4Disc1Emp1BaseProd=0,0,cbalLOB2AvgMissPercClinician4+(calcLOB2Clinician4Disc1Emp1GrossProd/calcLOB2Clinician4Disc1Emp1BaseProd-1)/paramTimeConversion)</f>
        <v>0.05</v>
      </c>
      <c r="F1374" s="539">
        <f>IF(calcLOB2Clinician4Disc1Emp1BaseProd=0,0,cbalLOB2AvgMissPercClinician4+(calcLOB2Clinician4Disc1Emp1GrossProd/calcLOB2Clinician4Disc1Emp1BaseProd-1)/paramTimeConversion)</f>
        <v>0.05</v>
      </c>
      <c r="G1374" s="539">
        <f>IF(calcLOB2Clinician4Disc1Emp1BaseProd=0,0,cbalLOB2AvgMissPercClinician4+(calcLOB2Clinician4Disc1Emp1GrossProd/calcLOB2Clinician4Disc1Emp1BaseProd-1)/paramTimeConversion)</f>
        <v>0.05</v>
      </c>
      <c r="H1374" s="131" t="s">
        <v>3894</v>
      </c>
      <c r="J1374" s="131" t="s">
        <v>550</v>
      </c>
      <c r="K1374" s="539">
        <f>IF(calcR2LOB2Clinician4Disc1Emp1BaseProd=0,0,cbalR2LOB2AvgMissPercClinician4+(calcR2LOB2Clinician4Disc1Emp1GrossProd/calcR2LOB2Clinician4Disc1Emp1BaseProd-1)/paramR2TimeConversion)</f>
        <v>0.05</v>
      </c>
      <c r="L1374" s="539">
        <f>IF(calcR2LOB2Clinician4Disc1Emp1BaseProd=0,0,cbalR2LOB2AvgMissPercClinician4+(calcR2LOB2Clinician4Disc1Emp1GrossProd/calcR2LOB2Clinician4Disc1Emp1BaseProd-1)/paramR2TimeConversion)</f>
        <v>0.05</v>
      </c>
      <c r="M1374" s="539">
        <f>IF(calcR2LOB2Clinician4Disc1Emp1BaseProd=0,0,cbalR2LOB2AvgMissPercClinician4+(calcR2LOB2Clinician4Disc1Emp1GrossProd/calcR2LOB2Clinician4Disc1Emp1BaseProd-1)/paramR2TimeConversion)</f>
        <v>0.05</v>
      </c>
      <c r="N1374" s="131" t="s">
        <v>6874</v>
      </c>
    </row>
    <row r="1375" spans="1:14" ht="12.75" customHeight="1">
      <c r="A1375" s="478"/>
      <c r="B1375" s="459"/>
      <c r="C1375" s="170">
        <v>5</v>
      </c>
      <c r="D1375" s="131" t="s">
        <v>550</v>
      </c>
      <c r="E1375" s="539">
        <f>IF(calcLOB2Clinician5Disc1Emp1BaseProd=0,0,cbalLOB2AvgMissPercClinician5+(calcLOB2Clinician5Disc1Emp1GrossProd/calcLOB2Clinician5Disc1Emp1BaseProd-1)/paramTimeConversion)</f>
        <v>0</v>
      </c>
      <c r="F1375" s="539">
        <f>IF(calcLOB2Clinician5Disc1Emp1BaseProd=0,0,cbalLOB2AvgMissPercClinician5+(calcLOB2Clinician5Disc1Emp1GrossProd/calcLOB2Clinician5Disc1Emp1BaseProd-1)/paramTimeConversion)</f>
        <v>0</v>
      </c>
      <c r="G1375" s="539">
        <f>IF(calcLOB2Clinician5Disc1Emp1BaseProd=0,0,cbalLOB2AvgMissPercClinician5+(calcLOB2Clinician5Disc1Emp1GrossProd/calcLOB2Clinician5Disc1Emp1BaseProd-1)/paramTimeConversion)</f>
        <v>0</v>
      </c>
      <c r="H1375" s="131" t="s">
        <v>3895</v>
      </c>
      <c r="J1375" s="131" t="s">
        <v>550</v>
      </c>
      <c r="K1375" s="539">
        <f>IF(calcR2LOB2Clinician5Disc1Emp1BaseProd=0,0,cbalR2LOB2AvgMissPercClinician5+(calcR2LOB2Clinician5Disc1Emp1GrossProd/calcR2LOB2Clinician5Disc1Emp1BaseProd-1)/paramR2TimeConversion)</f>
        <v>0</v>
      </c>
      <c r="L1375" s="539">
        <f>IF(calcR2LOB2Clinician5Disc1Emp1BaseProd=0,0,cbalR2LOB2AvgMissPercClinician5+(calcR2LOB2Clinician5Disc1Emp1GrossProd/calcR2LOB2Clinician5Disc1Emp1BaseProd-1)/paramR2TimeConversion)</f>
        <v>0</v>
      </c>
      <c r="M1375" s="539">
        <f>IF(calcR2LOB2Clinician5Disc1Emp1BaseProd=0,0,cbalR2LOB2AvgMissPercClinician5+(calcR2LOB2Clinician5Disc1Emp1GrossProd/calcR2LOB2Clinician5Disc1Emp1BaseProd-1)/paramR2TimeConversion)</f>
        <v>0</v>
      </c>
      <c r="N1375" s="131" t="s">
        <v>6875</v>
      </c>
    </row>
    <row r="1376" spans="1:14" ht="12.75" customHeight="1">
      <c r="A1376" s="478"/>
      <c r="B1376" s="459"/>
      <c r="C1376" s="170">
        <v>6</v>
      </c>
      <c r="D1376" s="131" t="s">
        <v>550</v>
      </c>
      <c r="E1376" s="539">
        <f>IF(calcLOB2Clinician6Disc1Emp1BaseProd=0,0,cbalLOB2AvgMissPercClinician6+(calcLOB2Clinician6Disc1Emp1GrossProd/calcLOB2Clinician6Disc1Emp1BaseProd-1)/paramTimeConversion)</f>
        <v>0</v>
      </c>
      <c r="F1376" s="539">
        <f>IF(calcLOB2Clinician6Disc1Emp1BaseProd=0,0,cbalLOB2AvgMissPercClinician6+(calcLOB2Clinician6Disc1Emp1GrossProd/calcLOB2Clinician6Disc1Emp1BaseProd-1)/paramTimeConversion)</f>
        <v>0</v>
      </c>
      <c r="G1376" s="539">
        <f>IF(calcLOB2Clinician6Disc1Emp1BaseProd=0,0,cbalLOB2AvgMissPercClinician6+(calcLOB2Clinician6Disc1Emp1GrossProd/calcLOB2Clinician6Disc1Emp1BaseProd-1)/paramTimeConversion)</f>
        <v>0</v>
      </c>
      <c r="H1376" s="131" t="s">
        <v>3896</v>
      </c>
      <c r="J1376" s="131" t="s">
        <v>550</v>
      </c>
      <c r="K1376" s="539">
        <f>IF(calcR2LOB2Clinician6Disc1Emp1BaseProd=0,0,cbalR2LOB2AvgMissPercClinician6+(calcR2LOB2Clinician6Disc1Emp1GrossProd/calcR2LOB2Clinician6Disc1Emp1BaseProd-1)/paramR2TimeConversion)</f>
        <v>0</v>
      </c>
      <c r="L1376" s="539">
        <f>IF(calcR2LOB2Clinician6Disc1Emp1BaseProd=0,0,cbalR2LOB2AvgMissPercClinician6+(calcR2LOB2Clinician6Disc1Emp1GrossProd/calcR2LOB2Clinician6Disc1Emp1BaseProd-1)/paramR2TimeConversion)</f>
        <v>0</v>
      </c>
      <c r="M1376" s="539">
        <f>IF(calcR2LOB2Clinician6Disc1Emp1BaseProd=0,0,cbalR2LOB2AvgMissPercClinician6+(calcR2LOB2Clinician6Disc1Emp1GrossProd/calcR2LOB2Clinician6Disc1Emp1BaseProd-1)/paramR2TimeConversion)</f>
        <v>0</v>
      </c>
      <c r="N1376" s="131" t="s">
        <v>6876</v>
      </c>
    </row>
    <row r="1377" spans="1:14" ht="12.75" customHeight="1">
      <c r="A1377" s="478"/>
      <c r="B1377" s="459"/>
      <c r="C1377" s="170">
        <v>7</v>
      </c>
      <c r="D1377" s="131" t="s">
        <v>550</v>
      </c>
      <c r="E1377" s="539">
        <f>IF(calcLOB2Clinician7Disc1Emp1BaseProd=0,0,cbalLOB2AvgMissPercClinician7+(calcLOB2Clinician7Disc1Emp1GrossProd/calcLOB2Clinician7Disc1Emp1BaseProd-1)/paramTimeConversion)</f>
        <v>0</v>
      </c>
      <c r="F1377" s="539">
        <f>IF(calcLOB2Clinician7Disc1Emp1BaseProd=0,0,cbalLOB2AvgMissPercClinician7+(calcLOB2Clinician7Disc1Emp1GrossProd/calcLOB2Clinician7Disc1Emp1BaseProd-1)/paramTimeConversion)</f>
        <v>0</v>
      </c>
      <c r="G1377" s="539">
        <f>IF(calcLOB2Clinician7Disc1Emp1BaseProd=0,0,cbalLOB2AvgMissPercClinician7+(calcLOB2Clinician7Disc1Emp1GrossProd/calcLOB2Clinician7Disc1Emp1BaseProd-1)/paramTimeConversion)</f>
        <v>0</v>
      </c>
      <c r="H1377" s="131" t="s">
        <v>3897</v>
      </c>
      <c r="J1377" s="131" t="s">
        <v>550</v>
      </c>
      <c r="K1377" s="539">
        <f>IF(calcR2LOB2Clinician7Disc1Emp1BaseProd=0,0,cbalR2LOB2AvgMissPercClinician7+(calcR2LOB2Clinician7Disc1Emp1GrossProd/calcR2LOB2Clinician7Disc1Emp1BaseProd-1)/paramR2TimeConversion)</f>
        <v>0</v>
      </c>
      <c r="L1377" s="539">
        <f>IF(calcR2LOB2Clinician7Disc1Emp1BaseProd=0,0,cbalR2LOB2AvgMissPercClinician7+(calcR2LOB2Clinician7Disc1Emp1GrossProd/calcR2LOB2Clinician7Disc1Emp1BaseProd-1)/paramR2TimeConversion)</f>
        <v>0</v>
      </c>
      <c r="M1377" s="539">
        <f>IF(calcR2LOB2Clinician7Disc1Emp1BaseProd=0,0,cbalR2LOB2AvgMissPercClinician7+(calcR2LOB2Clinician7Disc1Emp1GrossProd/calcR2LOB2Clinician7Disc1Emp1BaseProd-1)/paramR2TimeConversion)</f>
        <v>0</v>
      </c>
      <c r="N1377" s="131" t="s">
        <v>6877</v>
      </c>
    </row>
    <row r="1378" spans="1:14" ht="12.75" customHeight="1">
      <c r="A1378" s="478"/>
      <c r="B1378" s="459"/>
      <c r="C1378" s="170">
        <v>8</v>
      </c>
      <c r="D1378" s="131" t="s">
        <v>550</v>
      </c>
      <c r="E1378" s="539">
        <f>IF(calcLOB2Clinician8Disc1Emp1BaseProd=0,0,cbalLOB2AvgMissPercClinician8+(calcLOB2Clinician8Disc1Emp1GrossProd/calcLOB2Clinician8Disc1Emp1BaseProd-1)/paramTimeConversion)</f>
        <v>0</v>
      </c>
      <c r="F1378" s="539">
        <f>IF(calcLOB2Clinician8Disc1Emp1BaseProd=0,0,cbalLOB2AvgMissPercClinician8+(calcLOB2Clinician8Disc1Emp1GrossProd/calcLOB2Clinician8Disc1Emp1BaseProd-1)/paramTimeConversion)</f>
        <v>0</v>
      </c>
      <c r="G1378" s="539">
        <f>IF(calcLOB2Clinician8Disc1Emp1BaseProd=0,0,cbalLOB2AvgMissPercClinician8+(calcLOB2Clinician8Disc1Emp1GrossProd/calcLOB2Clinician8Disc1Emp1BaseProd-1)/paramTimeConversion)</f>
        <v>0</v>
      </c>
      <c r="H1378" s="131" t="s">
        <v>3898</v>
      </c>
      <c r="J1378" s="131" t="s">
        <v>550</v>
      </c>
      <c r="K1378" s="539">
        <f>IF(calcR2LOB2Clinician8Disc1Emp1BaseProd=0,0,cbalR2LOB2AvgMissPercClinician8+(calcR2LOB2Clinician8Disc1Emp1GrossProd/calcR2LOB2Clinician8Disc1Emp1BaseProd-1)/paramR2TimeConversion)</f>
        <v>0</v>
      </c>
      <c r="L1378" s="539">
        <f>IF(calcR2LOB2Clinician8Disc1Emp1BaseProd=0,0,cbalR2LOB2AvgMissPercClinician8+(calcR2LOB2Clinician8Disc1Emp1GrossProd/calcR2LOB2Clinician8Disc1Emp1BaseProd-1)/paramR2TimeConversion)</f>
        <v>0</v>
      </c>
      <c r="M1378" s="539">
        <f>IF(calcR2LOB2Clinician8Disc1Emp1BaseProd=0,0,cbalR2LOB2AvgMissPercClinician8+(calcR2LOB2Clinician8Disc1Emp1GrossProd/calcR2LOB2Clinician8Disc1Emp1BaseProd-1)/paramR2TimeConversion)</f>
        <v>0</v>
      </c>
      <c r="N1378" s="131" t="s">
        <v>6878</v>
      </c>
    </row>
    <row r="1379" spans="1:14" ht="12.75" customHeight="1">
      <c r="A1379" s="478"/>
      <c r="B1379" s="459"/>
      <c r="C1379" s="170">
        <v>9</v>
      </c>
      <c r="D1379" s="131" t="s">
        <v>550</v>
      </c>
      <c r="E1379" s="539">
        <f>IF(calcLOB2Clinician9Disc1Emp1BaseProd=0,0,cbalLOB2AvgMissPercClinician9+(calcLOB2Clinician9Disc1Emp1GrossProd/calcLOB2Clinician9Disc1Emp1BaseProd-1)/paramTimeConversion)</f>
        <v>0</v>
      </c>
      <c r="F1379" s="539">
        <f>IF(calcLOB2Clinician9Disc1Emp1BaseProd=0,0,cbalLOB2AvgMissPercClinician9+(calcLOB2Clinician9Disc1Emp1GrossProd/calcLOB2Clinician9Disc1Emp1BaseProd-1)/paramTimeConversion)</f>
        <v>0</v>
      </c>
      <c r="G1379" s="539">
        <f>IF(calcLOB2Clinician9Disc1Emp1BaseProd=0,0,cbalLOB2AvgMissPercClinician9+(calcLOB2Clinician9Disc1Emp1GrossProd/calcLOB2Clinician9Disc1Emp1BaseProd-1)/paramTimeConversion)</f>
        <v>0</v>
      </c>
      <c r="H1379" s="131" t="s">
        <v>3899</v>
      </c>
      <c r="J1379" s="131" t="s">
        <v>550</v>
      </c>
      <c r="K1379" s="539">
        <f>IF(calcR2LOB2Clinician9Disc1Emp1BaseProd=0,0,cbalR2LOB2AvgMissPercClinician9+(calcR2LOB2Clinician9Disc1Emp1GrossProd/calcR2LOB2Clinician9Disc1Emp1BaseProd-1)/paramR2TimeConversion)</f>
        <v>0</v>
      </c>
      <c r="L1379" s="539">
        <f>IF(calcR2LOB2Clinician9Disc1Emp1BaseProd=0,0,cbalR2LOB2AvgMissPercClinician9+(calcR2LOB2Clinician9Disc1Emp1GrossProd/calcR2LOB2Clinician9Disc1Emp1BaseProd-1)/paramR2TimeConversion)</f>
        <v>0</v>
      </c>
      <c r="M1379" s="539">
        <f>IF(calcR2LOB2Clinician9Disc1Emp1BaseProd=0,0,cbalR2LOB2AvgMissPercClinician9+(calcR2LOB2Clinician9Disc1Emp1GrossProd/calcR2LOB2Clinician9Disc1Emp1BaseProd-1)/paramR2TimeConversion)</f>
        <v>0</v>
      </c>
      <c r="N1379" s="131" t="s">
        <v>6879</v>
      </c>
    </row>
    <row r="1380" spans="1:14" ht="12.75" customHeight="1">
      <c r="A1380" s="478"/>
      <c r="B1380" s="459"/>
      <c r="C1380" s="170">
        <v>10</v>
      </c>
      <c r="D1380" s="131" t="s">
        <v>550</v>
      </c>
      <c r="E1380" s="539">
        <f>IF(calcLOB2Clinician10Disc1Emp1BaseProd=0,0,cbalLOB2AvgMissPercClinician10+(calcLOB2Clinician10Disc1Emp1GrossProd/calcLOB2Clinician10Disc1Emp1BaseProd-1)/paramTimeConversion)</f>
        <v>0</v>
      </c>
      <c r="F1380" s="539">
        <f>IF(calcLOB2Clinician10Disc1Emp1BaseProd=0,0,cbalLOB2AvgMissPercClinician10+(calcLOB2Clinician10Disc1Emp1GrossProd/calcLOB2Clinician10Disc1Emp1BaseProd-1)/paramTimeConversion)</f>
        <v>0</v>
      </c>
      <c r="G1380" s="539">
        <f>IF(calcLOB2Clinician10Disc1Emp1BaseProd=0,0,cbalLOB2AvgMissPercClinician10+(calcLOB2Clinician10Disc1Emp1GrossProd/calcLOB2Clinician10Disc1Emp1BaseProd-1)/paramTimeConversion)</f>
        <v>0</v>
      </c>
      <c r="H1380" s="131" t="s">
        <v>3900</v>
      </c>
      <c r="J1380" s="131" t="s">
        <v>550</v>
      </c>
      <c r="K1380" s="539">
        <f>IF(calcR2LOB2Clinician10Disc1Emp1BaseProd=0,0,cbalR2LOB2AvgMissPercClinician10+(calcR2LOB2Clinician10Disc1Emp1GrossProd/calcR2LOB2Clinician10Disc1Emp1BaseProd-1)/paramR2TimeConversion)</f>
        <v>0</v>
      </c>
      <c r="L1380" s="539">
        <f>IF(calcR2LOB2Clinician10Disc1Emp1BaseProd=0,0,cbalR2LOB2AvgMissPercClinician10+(calcR2LOB2Clinician10Disc1Emp1GrossProd/calcR2LOB2Clinician10Disc1Emp1BaseProd-1)/paramR2TimeConversion)</f>
        <v>0</v>
      </c>
      <c r="M1380" s="539">
        <f>IF(calcR2LOB2Clinician10Disc1Emp1BaseProd=0,0,cbalR2LOB2AvgMissPercClinician10+(calcR2LOB2Clinician10Disc1Emp1GrossProd/calcR2LOB2Clinician10Disc1Emp1BaseProd-1)/paramR2TimeConversion)</f>
        <v>0</v>
      </c>
      <c r="N1380" s="131" t="s">
        <v>6880</v>
      </c>
    </row>
    <row r="1381" spans="1:14" ht="12.75" customHeight="1">
      <c r="A1381" s="478"/>
      <c r="B1381" s="459"/>
      <c r="C1381" s="170">
        <v>11</v>
      </c>
      <c r="D1381" s="131" t="s">
        <v>550</v>
      </c>
      <c r="E1381" s="539">
        <f>IF(calcLOB2Clinician11Disc1Emp1BaseProd=0,0,cbalLOB2AvgMissPercClinician11+(calcLOB2Clinician11Disc1Emp1GrossProd/calcLOB2Clinician11Disc1Emp1BaseProd-1)/paramTimeConversion)</f>
        <v>0</v>
      </c>
      <c r="F1381" s="539">
        <f>IF(calcLOB2Clinician11Disc1Emp1BaseProd=0,0,cbalLOB2AvgMissPercClinician11+(calcLOB2Clinician11Disc1Emp1GrossProd/calcLOB2Clinician11Disc1Emp1BaseProd-1)/paramTimeConversion)</f>
        <v>0</v>
      </c>
      <c r="G1381" s="539">
        <f>IF(calcLOB2Clinician11Disc1Emp1BaseProd=0,0,cbalLOB2AvgMissPercClinician11+(calcLOB2Clinician11Disc1Emp1GrossProd/calcLOB2Clinician11Disc1Emp1BaseProd-1)/paramTimeConversion)</f>
        <v>0</v>
      </c>
      <c r="H1381" s="131" t="s">
        <v>3901</v>
      </c>
      <c r="J1381" s="131" t="s">
        <v>550</v>
      </c>
      <c r="K1381" s="539">
        <f>IF(calcR2LOB2Clinician11Disc1Emp1BaseProd=0,0,cbalR2LOB2AvgMissPercClinician11+(calcR2LOB2Clinician11Disc1Emp1GrossProd/calcR2LOB2Clinician11Disc1Emp1BaseProd-1)/paramR2TimeConversion)</f>
        <v>0</v>
      </c>
      <c r="L1381" s="539">
        <f>IF(calcR2LOB2Clinician11Disc1Emp1BaseProd=0,0,cbalR2LOB2AvgMissPercClinician11+(calcR2LOB2Clinician11Disc1Emp1GrossProd/calcR2LOB2Clinician11Disc1Emp1BaseProd-1)/paramR2TimeConversion)</f>
        <v>0</v>
      </c>
      <c r="M1381" s="539">
        <f>IF(calcR2LOB2Clinician11Disc1Emp1BaseProd=0,0,cbalR2LOB2AvgMissPercClinician11+(calcR2LOB2Clinician11Disc1Emp1GrossProd/calcR2LOB2Clinician11Disc1Emp1BaseProd-1)/paramR2TimeConversion)</f>
        <v>0</v>
      </c>
      <c r="N1381" s="131" t="s">
        <v>6881</v>
      </c>
    </row>
    <row r="1382" spans="1:14" ht="12.75" customHeight="1">
      <c r="A1382" s="478"/>
      <c r="B1382" s="459"/>
      <c r="C1382" s="170">
        <v>12</v>
      </c>
      <c r="D1382" s="131" t="s">
        <v>550</v>
      </c>
      <c r="E1382" s="539">
        <f>IF(calcLOB2Clinician12Disc1Emp1BaseProd=0,0,cbalLOB2AvgMissPercClinician12+(calcLOB2Clinician12Disc1Emp1GrossProd/calcLOB2Clinician12Disc1Emp1BaseProd-1)/paramTimeConversion)</f>
        <v>0</v>
      </c>
      <c r="F1382" s="539">
        <f>IF(calcLOB2Clinician12Disc1Emp1BaseProd=0,0,cbalLOB2AvgMissPercClinician12+(calcLOB2Clinician12Disc1Emp1GrossProd/calcLOB2Clinician12Disc1Emp1BaseProd-1)/paramTimeConversion)</f>
        <v>0</v>
      </c>
      <c r="G1382" s="539">
        <f>IF(calcLOB2Clinician12Disc1Emp1BaseProd=0,0,cbalLOB2AvgMissPercClinician12+(calcLOB2Clinician12Disc1Emp1GrossProd/calcLOB2Clinician12Disc1Emp1BaseProd-1)/paramTimeConversion)</f>
        <v>0</v>
      </c>
      <c r="H1382" s="131" t="s">
        <v>3902</v>
      </c>
      <c r="J1382" s="131" t="s">
        <v>550</v>
      </c>
      <c r="K1382" s="539">
        <f>IF(calcR2LOB2Clinician12Disc1Emp1BaseProd=0,0,cbalR2LOB2AvgMissPercClinician12+(calcR2LOB2Clinician12Disc1Emp1GrossProd/calcR2LOB2Clinician12Disc1Emp1BaseProd-1)/paramR2TimeConversion)</f>
        <v>0</v>
      </c>
      <c r="L1382" s="539">
        <f>IF(calcR2LOB2Clinician12Disc1Emp1BaseProd=0,0,cbalR2LOB2AvgMissPercClinician12+(calcR2LOB2Clinician12Disc1Emp1GrossProd/calcR2LOB2Clinician12Disc1Emp1BaseProd-1)/paramR2TimeConversion)</f>
        <v>0</v>
      </c>
      <c r="M1382" s="539">
        <f>IF(calcR2LOB2Clinician12Disc1Emp1BaseProd=0,0,cbalR2LOB2AvgMissPercClinician12+(calcR2LOB2Clinician12Disc1Emp1GrossProd/calcR2LOB2Clinician12Disc1Emp1BaseProd-1)/paramR2TimeConversion)</f>
        <v>0</v>
      </c>
      <c r="N1382" s="131" t="s">
        <v>6882</v>
      </c>
    </row>
    <row r="1383" spans="1:14" ht="12.75" customHeight="1">
      <c r="A1383" s="478"/>
      <c r="B1383" s="459"/>
      <c r="D1383" s="131" t="s">
        <v>550</v>
      </c>
      <c r="E1383" s="539">
        <f>IF(calcLOB2Clinician13Disc1Emp1BaseProd=0,0,cbalLOB2AvgMissPercClinician13+(calcLOB2Clinician13Disc1Emp1GrossProd/calcLOB2Clinician13Disc1Emp1BaseProd-1)/paramTimeConversion)</f>
        <v>5.8333333333333327E-2</v>
      </c>
      <c r="F1383" s="539">
        <f>IF(calcLOB2Clinician13Disc1Emp1BaseProd=0,0,cbalLOB2AvgMissPercClinician13+(calcLOB2Clinician13Disc1Emp1GrossProd/calcLOB2Clinician13Disc1Emp1BaseProd-1)/paramTimeConversion)</f>
        <v>6.25E-2</v>
      </c>
      <c r="G1383" s="539">
        <f>IF(calcLOB2Clinician13Disc1Emp1BaseProd=0,0,cbalLOB2AvgMissPercClinician13+(calcLOB2Clinician13Disc1Emp1GrossProd/calcLOB2Clinician13Disc1Emp1BaseProd-1)/paramTimeConversion)</f>
        <v>6.25E-2</v>
      </c>
      <c r="H1383" s="131" t="s">
        <v>4107</v>
      </c>
      <c r="J1383" s="131" t="s">
        <v>550</v>
      </c>
      <c r="K1383" s="539">
        <f>IF(calcR2LOB2Clinician13Disc1Emp1BaseProd=0,0,cbalR2LOB2AvgMissPercClinician13+(calcR2LOB2Clinician13Disc1Emp1GrossProd/calcR2LOB2Clinician13Disc1Emp1BaseProd-1)/paramR2TimeConversion)</f>
        <v>5.7979143325809147E-2</v>
      </c>
      <c r="L1383" s="539">
        <f>IF(calcR2LOB2Clinician13Disc1Emp1BaseProd=0,0,cbalR2LOB2AvgMissPercClinician13+(calcR2LOB2Clinician13Disc1Emp1GrossProd/calcR2LOB2Clinician13Disc1Emp1BaseProd-1)/paramR2TimeConversion)</f>
        <v>6.25E-2</v>
      </c>
      <c r="M1383" s="539">
        <f>IF(calcR2LOB2Clinician13Disc1Emp1BaseProd=0,0,cbalR2LOB2AvgMissPercClinician13+(calcR2LOB2Clinician13Disc1Emp1GrossProd/calcR2LOB2Clinician13Disc1Emp1BaseProd-1)/paramR2TimeConversion)</f>
        <v>6.25E-2</v>
      </c>
      <c r="N1383" s="131" t="s">
        <v>6883</v>
      </c>
    </row>
    <row r="1384" spans="1:14" ht="12.75" customHeight="1">
      <c r="A1384" s="478"/>
      <c r="B1384" s="459"/>
      <c r="C1384" s="170">
        <v>1</v>
      </c>
      <c r="D1384" s="131" t="s">
        <v>554</v>
      </c>
      <c r="E1384" s="539">
        <f>IF(calcLOB2Clinician1Disc2Emp1BaseProd=0,0,cbalLOB2AvgMissPercClinician1+(calcLOB2Clinician1Disc2Emp1GrossProd/calcLOB2Clinician1Disc2Emp1BaseProd-1)/paramTimeConversion)</f>
        <v>0</v>
      </c>
      <c r="F1384" s="539">
        <f>IF(calcLOB2Clinician1Disc2Emp1BaseProd=0,0,cbalLOB2AvgMissPercClinician1+(calcLOB2Clinician1Disc2Emp1GrossProd/calcLOB2Clinician1Disc2Emp1BaseProd-1)/paramTimeConversion)</f>
        <v>0</v>
      </c>
      <c r="G1384" s="539">
        <f>IF(calcLOB2Clinician1Disc2Emp1BaseProd=0,0,cbalLOB2AvgMissPercClinician1+(calcLOB2Clinician1Disc2Emp1GrossProd/calcLOB2Clinician1Disc2Emp1BaseProd-1)/paramTimeConversion)</f>
        <v>0</v>
      </c>
      <c r="H1384" s="131" t="s">
        <v>3903</v>
      </c>
      <c r="J1384" s="131" t="s">
        <v>554</v>
      </c>
      <c r="K1384" s="539">
        <f>IF(calcR2LOB2Clinician1Disc2Emp1BaseProd=0,0,cbalR2LOB2AvgMissPercClinician1+(calcR2LOB2Clinician1Disc2Emp1GrossProd/calcR2LOB2Clinician1Disc2Emp1BaseProd-1)/paramR2TimeConversion)</f>
        <v>0</v>
      </c>
      <c r="L1384" s="539">
        <f>IF(calcR2LOB2Clinician1Disc2Emp1BaseProd=0,0,cbalR2LOB2AvgMissPercClinician1+(calcR2LOB2Clinician1Disc2Emp1GrossProd/calcR2LOB2Clinician1Disc2Emp1BaseProd-1)/paramR2TimeConversion)</f>
        <v>0</v>
      </c>
      <c r="M1384" s="539">
        <f>IF(calcR2LOB2Clinician1Disc2Emp1BaseProd=0,0,cbalR2LOB2AvgMissPercClinician1+(calcR2LOB2Clinician1Disc2Emp1GrossProd/calcR2LOB2Clinician1Disc2Emp1BaseProd-1)/paramR2TimeConversion)</f>
        <v>0</v>
      </c>
      <c r="N1384" s="131" t="s">
        <v>6884</v>
      </c>
    </row>
    <row r="1385" spans="1:14" ht="12.75" customHeight="1">
      <c r="A1385" s="478"/>
      <c r="B1385" s="459"/>
      <c r="C1385" s="170">
        <v>2</v>
      </c>
      <c r="D1385" s="131" t="s">
        <v>554</v>
      </c>
      <c r="E1385" s="539">
        <f>IF(calcLOB2Clinician2Disc2Emp1BaseProd=0,0,cbalLOB2AvgMissPercClinician2+(calcLOB2Clinician2Disc2Emp1GrossProd/calcLOB2Clinician2Disc2Emp1BaseProd-1)/paramTimeConversion)</f>
        <v>0</v>
      </c>
      <c r="F1385" s="539">
        <f>IF(calcLOB2Clinician2Disc2Emp1BaseProd=0,0,cbalLOB2AvgMissPercClinician2+(calcLOB2Clinician2Disc2Emp1GrossProd/calcLOB2Clinician2Disc2Emp1BaseProd-1)/paramTimeConversion)</f>
        <v>0</v>
      </c>
      <c r="G1385" s="539">
        <f>IF(calcLOB2Clinician2Disc2Emp1BaseProd=0,0,cbalLOB2AvgMissPercClinician2+(calcLOB2Clinician2Disc2Emp1GrossProd/calcLOB2Clinician2Disc2Emp1BaseProd-1)/paramTimeConversion)</f>
        <v>0</v>
      </c>
      <c r="H1385" s="131" t="s">
        <v>3904</v>
      </c>
      <c r="J1385" s="131" t="s">
        <v>554</v>
      </c>
      <c r="K1385" s="539">
        <f>IF(calcR2LOB2Clinician2Disc2Emp1BaseProd=0,0,cbalR2LOB2AvgMissPercClinician2+(calcR2LOB2Clinician2Disc2Emp1GrossProd/calcR2LOB2Clinician2Disc2Emp1BaseProd-1)/paramR2TimeConversion)</f>
        <v>0</v>
      </c>
      <c r="L1385" s="539">
        <f>IF(calcR2LOB2Clinician2Disc2Emp1BaseProd=0,0,cbalR2LOB2AvgMissPercClinician2+(calcR2LOB2Clinician2Disc2Emp1GrossProd/calcR2LOB2Clinician2Disc2Emp1BaseProd-1)/paramR2TimeConversion)</f>
        <v>0</v>
      </c>
      <c r="M1385" s="539">
        <f>IF(calcR2LOB2Clinician2Disc2Emp1BaseProd=0,0,cbalR2LOB2AvgMissPercClinician2+(calcR2LOB2Clinician2Disc2Emp1GrossProd/calcR2LOB2Clinician2Disc2Emp1BaseProd-1)/paramR2TimeConversion)</f>
        <v>0</v>
      </c>
      <c r="N1385" s="131" t="s">
        <v>6885</v>
      </c>
    </row>
    <row r="1386" spans="1:14" ht="12.75" customHeight="1">
      <c r="A1386" s="478"/>
      <c r="B1386" s="459"/>
      <c r="C1386" s="170">
        <v>3</v>
      </c>
      <c r="D1386" s="131" t="s">
        <v>554</v>
      </c>
      <c r="E1386" s="539">
        <f>IF(calcLOB2Clinician3Disc2Emp1BaseProd=0,0,cbalLOB2AvgMissPercClinician3+(calcLOB2Clinician3Disc2Emp1GrossProd/calcLOB2Clinician3Disc2Emp1BaseProd-1)/paramTimeConversion)</f>
        <v>0</v>
      </c>
      <c r="F1386" s="539">
        <f>IF(calcLOB2Clinician3Disc2Emp1BaseProd=0,0,cbalLOB2AvgMissPercClinician3+(calcLOB2Clinician3Disc2Emp1GrossProd/calcLOB2Clinician3Disc2Emp1BaseProd-1)/paramTimeConversion)</f>
        <v>0</v>
      </c>
      <c r="G1386" s="539">
        <f>IF(calcLOB2Clinician3Disc2Emp1BaseProd=0,0,cbalLOB2AvgMissPercClinician3+(calcLOB2Clinician3Disc2Emp1GrossProd/calcLOB2Clinician3Disc2Emp1BaseProd-1)/paramTimeConversion)</f>
        <v>0</v>
      </c>
      <c r="H1386" s="131" t="s">
        <v>3905</v>
      </c>
      <c r="J1386" s="131" t="s">
        <v>554</v>
      </c>
      <c r="K1386" s="539">
        <f>IF(calcR2LOB2Clinician3Disc2Emp1BaseProd=0,0,cbalR2LOB2AvgMissPercClinician3+(calcR2LOB2Clinician3Disc2Emp1GrossProd/calcR2LOB2Clinician3Disc2Emp1BaseProd-1)/paramR2TimeConversion)</f>
        <v>0</v>
      </c>
      <c r="L1386" s="539">
        <f>IF(calcR2LOB2Clinician3Disc2Emp1BaseProd=0,0,cbalR2LOB2AvgMissPercClinician3+(calcR2LOB2Clinician3Disc2Emp1GrossProd/calcR2LOB2Clinician3Disc2Emp1BaseProd-1)/paramR2TimeConversion)</f>
        <v>0</v>
      </c>
      <c r="M1386" s="539">
        <f>IF(calcR2LOB2Clinician3Disc2Emp1BaseProd=0,0,cbalR2LOB2AvgMissPercClinician3+(calcR2LOB2Clinician3Disc2Emp1GrossProd/calcR2LOB2Clinician3Disc2Emp1BaseProd-1)/paramR2TimeConversion)</f>
        <v>0</v>
      </c>
      <c r="N1386" s="131" t="s">
        <v>6886</v>
      </c>
    </row>
    <row r="1387" spans="1:14" ht="12.75" customHeight="1">
      <c r="A1387" s="478"/>
      <c r="B1387" s="459"/>
      <c r="C1387" s="170">
        <v>4</v>
      </c>
      <c r="D1387" s="131" t="s">
        <v>554</v>
      </c>
      <c r="E1387" s="539">
        <f>IF(calcLOB2Clinician4Disc2Emp1BaseProd=0,0,cbalLOB2AvgMissPercClinician4+(calcLOB2Clinician4Disc2Emp1GrossProd/calcLOB2Clinician4Disc2Emp1BaseProd-1)/paramTimeConversion)</f>
        <v>0</v>
      </c>
      <c r="F1387" s="539">
        <f>IF(calcLOB2Clinician4Disc2Emp1BaseProd=0,0,cbalLOB2AvgMissPercClinician4+(calcLOB2Clinician4Disc2Emp1GrossProd/calcLOB2Clinician4Disc2Emp1BaseProd-1)/paramTimeConversion)</f>
        <v>0</v>
      </c>
      <c r="G1387" s="539">
        <f>IF(calcLOB2Clinician4Disc2Emp1BaseProd=0,0,cbalLOB2AvgMissPercClinician4+(calcLOB2Clinician4Disc2Emp1GrossProd/calcLOB2Clinician4Disc2Emp1BaseProd-1)/paramTimeConversion)</f>
        <v>0</v>
      </c>
      <c r="H1387" s="131" t="s">
        <v>3906</v>
      </c>
      <c r="J1387" s="131" t="s">
        <v>554</v>
      </c>
      <c r="K1387" s="539">
        <f>IF(calcR2LOB2Clinician4Disc2Emp1BaseProd=0,0,cbalR2LOB2AvgMissPercClinician4+(calcR2LOB2Clinician4Disc2Emp1GrossProd/calcR2LOB2Clinician4Disc2Emp1BaseProd-1)/paramR2TimeConversion)</f>
        <v>0</v>
      </c>
      <c r="L1387" s="539">
        <f>IF(calcR2LOB2Clinician4Disc2Emp1BaseProd=0,0,cbalR2LOB2AvgMissPercClinician4+(calcR2LOB2Clinician4Disc2Emp1GrossProd/calcR2LOB2Clinician4Disc2Emp1BaseProd-1)/paramR2TimeConversion)</f>
        <v>0</v>
      </c>
      <c r="M1387" s="539">
        <f>IF(calcR2LOB2Clinician4Disc2Emp1BaseProd=0,0,cbalR2LOB2AvgMissPercClinician4+(calcR2LOB2Clinician4Disc2Emp1GrossProd/calcR2LOB2Clinician4Disc2Emp1BaseProd-1)/paramR2TimeConversion)</f>
        <v>0</v>
      </c>
      <c r="N1387" s="131" t="s">
        <v>6887</v>
      </c>
    </row>
    <row r="1388" spans="1:14" ht="12.75" customHeight="1">
      <c r="A1388" s="478"/>
      <c r="B1388" s="459"/>
      <c r="C1388" s="170">
        <v>5</v>
      </c>
      <c r="D1388" s="131" t="s">
        <v>554</v>
      </c>
      <c r="E1388" s="539">
        <f>IF(calcLOB2Clinician5Disc2Emp1BaseProd=0,0,cbalLOB2AvgMissPercClinician5+(calcLOB2Clinician5Disc2Emp1GrossProd/calcLOB2Clinician5Disc2Emp1BaseProd-1)/paramTimeConversion)</f>
        <v>0.125</v>
      </c>
      <c r="F1388" s="539">
        <f>IF(calcLOB2Clinician5Disc2Emp1BaseProd=0,0,cbalLOB2AvgMissPercClinician5+(calcLOB2Clinician5Disc2Emp1GrossProd/calcLOB2Clinician5Disc2Emp1BaseProd-1)/paramTimeConversion)</f>
        <v>0.125</v>
      </c>
      <c r="G1388" s="539">
        <f>IF(calcLOB2Clinician5Disc2Emp1BaseProd=0,0,cbalLOB2AvgMissPercClinician5+(calcLOB2Clinician5Disc2Emp1GrossProd/calcLOB2Clinician5Disc2Emp1BaseProd-1)/paramTimeConversion)</f>
        <v>0.125</v>
      </c>
      <c r="H1388" s="131" t="s">
        <v>3907</v>
      </c>
      <c r="J1388" s="131" t="s">
        <v>554</v>
      </c>
      <c r="K1388" s="539">
        <f>IF(calcR2LOB2Clinician5Disc2Emp1BaseProd=0,0,cbalR2LOB2AvgMissPercClinician5+(calcR2LOB2Clinician5Disc2Emp1GrossProd/calcR2LOB2Clinician5Disc2Emp1BaseProd-1)/paramR2TimeConversion)</f>
        <v>0.125</v>
      </c>
      <c r="L1388" s="539">
        <f>IF(calcR2LOB2Clinician5Disc2Emp1BaseProd=0,0,cbalR2LOB2AvgMissPercClinician5+(calcR2LOB2Clinician5Disc2Emp1GrossProd/calcR2LOB2Clinician5Disc2Emp1BaseProd-1)/paramR2TimeConversion)</f>
        <v>0.125</v>
      </c>
      <c r="M1388" s="539">
        <f>IF(calcR2LOB2Clinician5Disc2Emp1BaseProd=0,0,cbalR2LOB2AvgMissPercClinician5+(calcR2LOB2Clinician5Disc2Emp1GrossProd/calcR2LOB2Clinician5Disc2Emp1BaseProd-1)/paramR2TimeConversion)</f>
        <v>0.125</v>
      </c>
      <c r="N1388" s="131" t="s">
        <v>6888</v>
      </c>
    </row>
    <row r="1389" spans="1:14" ht="12.75" customHeight="1">
      <c r="A1389" s="478"/>
      <c r="B1389" s="459"/>
      <c r="C1389" s="170">
        <v>6</v>
      </c>
      <c r="D1389" s="131" t="s">
        <v>554</v>
      </c>
      <c r="E1389" s="539">
        <f>IF(calcLOB2Clinician6Disc2Emp1BaseProd=0,0,cbalLOB2AvgMissPercClinician6+(calcLOB2Clinician6Disc2Emp1GrossProd/calcLOB2Clinician6Disc2Emp1BaseProd-1)/paramTimeConversion)</f>
        <v>0.1875</v>
      </c>
      <c r="F1389" s="539">
        <f>IF(calcLOB2Clinician6Disc2Emp1BaseProd=0,0,cbalLOB2AvgMissPercClinician6+(calcLOB2Clinician6Disc2Emp1GrossProd/calcLOB2Clinician6Disc2Emp1BaseProd-1)/paramTimeConversion)</f>
        <v>0.1875</v>
      </c>
      <c r="G1389" s="539">
        <f>IF(calcLOB2Clinician6Disc2Emp1BaseProd=0,0,cbalLOB2AvgMissPercClinician6+(calcLOB2Clinician6Disc2Emp1GrossProd/calcLOB2Clinician6Disc2Emp1BaseProd-1)/paramTimeConversion)</f>
        <v>0.1875</v>
      </c>
      <c r="H1389" s="131" t="s">
        <v>3908</v>
      </c>
      <c r="J1389" s="131" t="s">
        <v>554</v>
      </c>
      <c r="K1389" s="539">
        <f>IF(calcR2LOB2Clinician6Disc2Emp1BaseProd=0,0,cbalR2LOB2AvgMissPercClinician6+(calcR2LOB2Clinician6Disc2Emp1GrossProd/calcR2LOB2Clinician6Disc2Emp1BaseProd-1)/paramR2TimeConversion)</f>
        <v>0.1875</v>
      </c>
      <c r="L1389" s="539">
        <f>IF(calcR2LOB2Clinician6Disc2Emp1BaseProd=0,0,cbalR2LOB2AvgMissPercClinician6+(calcR2LOB2Clinician6Disc2Emp1GrossProd/calcR2LOB2Clinician6Disc2Emp1BaseProd-1)/paramR2TimeConversion)</f>
        <v>0.1875</v>
      </c>
      <c r="M1389" s="539">
        <f>IF(calcR2LOB2Clinician6Disc2Emp1BaseProd=0,0,cbalR2LOB2AvgMissPercClinician6+(calcR2LOB2Clinician6Disc2Emp1GrossProd/calcR2LOB2Clinician6Disc2Emp1BaseProd-1)/paramR2TimeConversion)</f>
        <v>0.1875</v>
      </c>
      <c r="N1389" s="131" t="s">
        <v>6889</v>
      </c>
    </row>
    <row r="1390" spans="1:14" ht="12.75" customHeight="1">
      <c r="A1390" s="478"/>
      <c r="B1390" s="459"/>
      <c r="C1390" s="170">
        <v>7</v>
      </c>
      <c r="D1390" s="131" t="s">
        <v>554</v>
      </c>
      <c r="E1390" s="539">
        <f>IF(calcLOB2Clinician7Disc2Emp1BaseProd=0,0,cbalLOB2AvgMissPercClinician7+(calcLOB2Clinician7Disc2Emp1GrossProd/calcLOB2Clinician7Disc2Emp1BaseProd-1)/paramTimeConversion)</f>
        <v>0</v>
      </c>
      <c r="F1390" s="539">
        <f>IF(calcLOB2Clinician7Disc2Emp1BaseProd=0,0,cbalLOB2AvgMissPercClinician7+(calcLOB2Clinician7Disc2Emp1GrossProd/calcLOB2Clinician7Disc2Emp1BaseProd-1)/paramTimeConversion)</f>
        <v>0</v>
      </c>
      <c r="G1390" s="539">
        <f>IF(calcLOB2Clinician7Disc2Emp1BaseProd=0,0,cbalLOB2AvgMissPercClinician7+(calcLOB2Clinician7Disc2Emp1GrossProd/calcLOB2Clinician7Disc2Emp1BaseProd-1)/paramTimeConversion)</f>
        <v>0</v>
      </c>
      <c r="H1390" s="131" t="s">
        <v>3909</v>
      </c>
      <c r="J1390" s="131" t="s">
        <v>554</v>
      </c>
      <c r="K1390" s="539">
        <f>IF(calcR2LOB2Clinician7Disc2Emp1BaseProd=0,0,cbalR2LOB2AvgMissPercClinician7+(calcR2LOB2Clinician7Disc2Emp1GrossProd/calcR2LOB2Clinician7Disc2Emp1BaseProd-1)/paramR2TimeConversion)</f>
        <v>0</v>
      </c>
      <c r="L1390" s="539">
        <f>IF(calcR2LOB2Clinician7Disc2Emp1BaseProd=0,0,cbalR2LOB2AvgMissPercClinician7+(calcR2LOB2Clinician7Disc2Emp1GrossProd/calcR2LOB2Clinician7Disc2Emp1BaseProd-1)/paramR2TimeConversion)</f>
        <v>0</v>
      </c>
      <c r="M1390" s="539">
        <f>IF(calcR2LOB2Clinician7Disc2Emp1BaseProd=0,0,cbalR2LOB2AvgMissPercClinician7+(calcR2LOB2Clinician7Disc2Emp1GrossProd/calcR2LOB2Clinician7Disc2Emp1BaseProd-1)/paramR2TimeConversion)</f>
        <v>0</v>
      </c>
      <c r="N1390" s="131" t="s">
        <v>6890</v>
      </c>
    </row>
    <row r="1391" spans="1:14" ht="12.75" customHeight="1">
      <c r="A1391" s="478"/>
      <c r="B1391" s="459"/>
      <c r="C1391" s="170">
        <v>8</v>
      </c>
      <c r="D1391" s="131" t="s">
        <v>554</v>
      </c>
      <c r="E1391" s="539">
        <f>IF(calcLOB2Clinician8Disc2Emp1BaseProd=0,0,cbalLOB2AvgMissPercClinician8+(calcLOB2Clinician8Disc2Emp1GrossProd/calcLOB2Clinician8Disc2Emp1BaseProd-1)/paramTimeConversion)</f>
        <v>0</v>
      </c>
      <c r="F1391" s="539">
        <f>IF(calcLOB2Clinician8Disc2Emp1BaseProd=0,0,cbalLOB2AvgMissPercClinician8+(calcLOB2Clinician8Disc2Emp1GrossProd/calcLOB2Clinician8Disc2Emp1BaseProd-1)/paramTimeConversion)</f>
        <v>0</v>
      </c>
      <c r="G1391" s="539">
        <f>IF(calcLOB2Clinician8Disc2Emp1BaseProd=0,0,cbalLOB2AvgMissPercClinician8+(calcLOB2Clinician8Disc2Emp1GrossProd/calcLOB2Clinician8Disc2Emp1BaseProd-1)/paramTimeConversion)</f>
        <v>0</v>
      </c>
      <c r="H1391" s="131" t="s">
        <v>3910</v>
      </c>
      <c r="J1391" s="131" t="s">
        <v>554</v>
      </c>
      <c r="K1391" s="539">
        <f>IF(calcR2LOB2Clinician8Disc2Emp1BaseProd=0,0,cbalR2LOB2AvgMissPercClinician8+(calcR2LOB2Clinician8Disc2Emp1GrossProd/calcR2LOB2Clinician8Disc2Emp1BaseProd-1)/paramR2TimeConversion)</f>
        <v>0</v>
      </c>
      <c r="L1391" s="539">
        <f>IF(calcR2LOB2Clinician8Disc2Emp1BaseProd=0,0,cbalR2LOB2AvgMissPercClinician8+(calcR2LOB2Clinician8Disc2Emp1GrossProd/calcR2LOB2Clinician8Disc2Emp1BaseProd-1)/paramR2TimeConversion)</f>
        <v>0</v>
      </c>
      <c r="M1391" s="539">
        <f>IF(calcR2LOB2Clinician8Disc2Emp1BaseProd=0,0,cbalR2LOB2AvgMissPercClinician8+(calcR2LOB2Clinician8Disc2Emp1GrossProd/calcR2LOB2Clinician8Disc2Emp1BaseProd-1)/paramR2TimeConversion)</f>
        <v>0</v>
      </c>
      <c r="N1391" s="131" t="s">
        <v>6891</v>
      </c>
    </row>
    <row r="1392" spans="1:14" ht="12.75" customHeight="1">
      <c r="A1392" s="478"/>
      <c r="B1392" s="459"/>
      <c r="C1392" s="170">
        <v>9</v>
      </c>
      <c r="D1392" s="131" t="s">
        <v>554</v>
      </c>
      <c r="E1392" s="539">
        <f>IF(calcLOB2Clinician9Disc2Emp1BaseProd=0,0,cbalLOB2AvgMissPercClinician9+(calcLOB2Clinician9Disc2Emp1GrossProd/calcLOB2Clinician9Disc2Emp1BaseProd-1)/paramTimeConversion)</f>
        <v>0</v>
      </c>
      <c r="F1392" s="539">
        <f>IF(calcLOB2Clinician9Disc2Emp1BaseProd=0,0,cbalLOB2AvgMissPercClinician9+(calcLOB2Clinician9Disc2Emp1GrossProd/calcLOB2Clinician9Disc2Emp1BaseProd-1)/paramTimeConversion)</f>
        <v>0</v>
      </c>
      <c r="G1392" s="539">
        <f>IF(calcLOB2Clinician9Disc2Emp1BaseProd=0,0,cbalLOB2AvgMissPercClinician9+(calcLOB2Clinician9Disc2Emp1GrossProd/calcLOB2Clinician9Disc2Emp1BaseProd-1)/paramTimeConversion)</f>
        <v>0</v>
      </c>
      <c r="H1392" s="131" t="s">
        <v>3911</v>
      </c>
      <c r="J1392" s="131" t="s">
        <v>554</v>
      </c>
      <c r="K1392" s="539">
        <f>IF(calcR2LOB2Clinician9Disc2Emp1BaseProd=0,0,cbalR2LOB2AvgMissPercClinician9+(calcR2LOB2Clinician9Disc2Emp1GrossProd/calcR2LOB2Clinician9Disc2Emp1BaseProd-1)/paramR2TimeConversion)</f>
        <v>0</v>
      </c>
      <c r="L1392" s="539">
        <f>IF(calcR2LOB2Clinician9Disc2Emp1BaseProd=0,0,cbalR2LOB2AvgMissPercClinician9+(calcR2LOB2Clinician9Disc2Emp1GrossProd/calcR2LOB2Clinician9Disc2Emp1BaseProd-1)/paramR2TimeConversion)</f>
        <v>0</v>
      </c>
      <c r="M1392" s="539">
        <f>IF(calcR2LOB2Clinician9Disc2Emp1BaseProd=0,0,cbalR2LOB2AvgMissPercClinician9+(calcR2LOB2Clinician9Disc2Emp1GrossProd/calcR2LOB2Clinician9Disc2Emp1BaseProd-1)/paramR2TimeConversion)</f>
        <v>0</v>
      </c>
      <c r="N1392" s="131" t="s">
        <v>6892</v>
      </c>
    </row>
    <row r="1393" spans="1:14" ht="12.75" customHeight="1">
      <c r="A1393" s="478"/>
      <c r="B1393" s="459"/>
      <c r="C1393" s="170">
        <v>10</v>
      </c>
      <c r="D1393" s="131" t="s">
        <v>554</v>
      </c>
      <c r="E1393" s="539">
        <f>IF(calcLOB2Clinician10Disc2Emp1BaseProd=0,0,cbalLOB2AvgMissPercClinician10+(calcLOB2Clinician10Disc2Emp1GrossProd/calcLOB2Clinician10Disc2Emp1BaseProd-1)/paramTimeConversion)</f>
        <v>0</v>
      </c>
      <c r="F1393" s="539">
        <f>IF(calcLOB2Clinician10Disc2Emp1BaseProd=0,0,cbalLOB2AvgMissPercClinician10+(calcLOB2Clinician10Disc2Emp1GrossProd/calcLOB2Clinician10Disc2Emp1BaseProd-1)/paramTimeConversion)</f>
        <v>0</v>
      </c>
      <c r="G1393" s="539">
        <f>IF(calcLOB2Clinician10Disc2Emp1BaseProd=0,0,cbalLOB2AvgMissPercClinician10+(calcLOB2Clinician10Disc2Emp1GrossProd/calcLOB2Clinician10Disc2Emp1BaseProd-1)/paramTimeConversion)</f>
        <v>0</v>
      </c>
      <c r="H1393" s="131" t="s">
        <v>3912</v>
      </c>
      <c r="J1393" s="131" t="s">
        <v>554</v>
      </c>
      <c r="K1393" s="539">
        <f>IF(calcR2LOB2Clinician10Disc2Emp1BaseProd=0,0,cbalR2LOB2AvgMissPercClinician10+(calcR2LOB2Clinician10Disc2Emp1GrossProd/calcR2LOB2Clinician10Disc2Emp1BaseProd-1)/paramR2TimeConversion)</f>
        <v>0</v>
      </c>
      <c r="L1393" s="539">
        <f>IF(calcR2LOB2Clinician10Disc2Emp1BaseProd=0,0,cbalR2LOB2AvgMissPercClinician10+(calcR2LOB2Clinician10Disc2Emp1GrossProd/calcR2LOB2Clinician10Disc2Emp1BaseProd-1)/paramR2TimeConversion)</f>
        <v>0</v>
      </c>
      <c r="M1393" s="539">
        <f>IF(calcR2LOB2Clinician10Disc2Emp1BaseProd=0,0,cbalR2LOB2AvgMissPercClinician10+(calcR2LOB2Clinician10Disc2Emp1GrossProd/calcR2LOB2Clinician10Disc2Emp1BaseProd-1)/paramR2TimeConversion)</f>
        <v>0</v>
      </c>
      <c r="N1393" s="131" t="s">
        <v>6893</v>
      </c>
    </row>
    <row r="1394" spans="1:14" ht="12.75" customHeight="1">
      <c r="A1394" s="478"/>
      <c r="B1394" s="459"/>
      <c r="C1394" s="170">
        <v>11</v>
      </c>
      <c r="D1394" s="131" t="s">
        <v>554</v>
      </c>
      <c r="E1394" s="539">
        <f>IF(calcLOB2Clinician11Disc2Emp1BaseProd=0,0,cbalLOB2AvgMissPercClinician11+(calcLOB2Clinician11Disc2Emp1GrossProd/calcLOB2Clinician11Disc2Emp1BaseProd-1)/paramTimeConversion)</f>
        <v>0</v>
      </c>
      <c r="F1394" s="539">
        <f>IF(calcLOB2Clinician11Disc2Emp1BaseProd=0,0,cbalLOB2AvgMissPercClinician11+(calcLOB2Clinician11Disc2Emp1GrossProd/calcLOB2Clinician11Disc2Emp1BaseProd-1)/paramTimeConversion)</f>
        <v>0</v>
      </c>
      <c r="G1394" s="539">
        <f>IF(calcLOB2Clinician11Disc2Emp1BaseProd=0,0,cbalLOB2AvgMissPercClinician11+(calcLOB2Clinician11Disc2Emp1GrossProd/calcLOB2Clinician11Disc2Emp1BaseProd-1)/paramTimeConversion)</f>
        <v>0</v>
      </c>
      <c r="H1394" s="131" t="s">
        <v>3913</v>
      </c>
      <c r="J1394" s="131" t="s">
        <v>554</v>
      </c>
      <c r="K1394" s="539">
        <f>IF(calcR2LOB2Clinician11Disc2Emp1BaseProd=0,0,cbalR2LOB2AvgMissPercClinician11+(calcR2LOB2Clinician11Disc2Emp1GrossProd/calcR2LOB2Clinician11Disc2Emp1BaseProd-1)/paramR2TimeConversion)</f>
        <v>0</v>
      </c>
      <c r="L1394" s="539">
        <f>IF(calcR2LOB2Clinician11Disc2Emp1BaseProd=0,0,cbalR2LOB2AvgMissPercClinician11+(calcR2LOB2Clinician11Disc2Emp1GrossProd/calcR2LOB2Clinician11Disc2Emp1BaseProd-1)/paramR2TimeConversion)</f>
        <v>0</v>
      </c>
      <c r="M1394" s="539">
        <f>IF(calcR2LOB2Clinician11Disc2Emp1BaseProd=0,0,cbalR2LOB2AvgMissPercClinician11+(calcR2LOB2Clinician11Disc2Emp1GrossProd/calcR2LOB2Clinician11Disc2Emp1BaseProd-1)/paramR2TimeConversion)</f>
        <v>0</v>
      </c>
      <c r="N1394" s="131" t="s">
        <v>6894</v>
      </c>
    </row>
    <row r="1395" spans="1:14" ht="12.75" customHeight="1">
      <c r="A1395" s="478"/>
      <c r="B1395" s="459"/>
      <c r="C1395" s="170">
        <v>12</v>
      </c>
      <c r="D1395" s="131" t="s">
        <v>554</v>
      </c>
      <c r="E1395" s="539">
        <f>IF(calcLOB2Clinician12Disc2Emp1BaseProd=0,0,cbalLOB2AvgMissPercClinician12+(calcLOB2Clinician12Disc2Emp1GrossProd/calcLOB2Clinician12Disc2Emp1BaseProd-1)/paramTimeConversion)</f>
        <v>0</v>
      </c>
      <c r="F1395" s="539">
        <f>IF(calcLOB2Clinician12Disc2Emp1BaseProd=0,0,cbalLOB2AvgMissPercClinician12+(calcLOB2Clinician12Disc2Emp1GrossProd/calcLOB2Clinician12Disc2Emp1BaseProd-1)/paramTimeConversion)</f>
        <v>0</v>
      </c>
      <c r="G1395" s="539">
        <f>IF(calcLOB2Clinician12Disc2Emp1BaseProd=0,0,cbalLOB2AvgMissPercClinician12+(calcLOB2Clinician12Disc2Emp1GrossProd/calcLOB2Clinician12Disc2Emp1BaseProd-1)/paramTimeConversion)</f>
        <v>0</v>
      </c>
      <c r="H1395" s="131" t="s">
        <v>3914</v>
      </c>
      <c r="J1395" s="131" t="s">
        <v>554</v>
      </c>
      <c r="K1395" s="539">
        <f>IF(calcR2LOB2Clinician12Disc2Emp1BaseProd=0,0,cbalR2LOB2AvgMissPercClinician12+(calcR2LOB2Clinician12Disc2Emp1GrossProd/calcR2LOB2Clinician12Disc2Emp1BaseProd-1)/paramR2TimeConversion)</f>
        <v>0</v>
      </c>
      <c r="L1395" s="539">
        <f>IF(calcR2LOB2Clinician12Disc2Emp1BaseProd=0,0,cbalR2LOB2AvgMissPercClinician12+(calcR2LOB2Clinician12Disc2Emp1GrossProd/calcR2LOB2Clinician12Disc2Emp1BaseProd-1)/paramR2TimeConversion)</f>
        <v>0</v>
      </c>
      <c r="M1395" s="539">
        <f>IF(calcR2LOB2Clinician12Disc2Emp1BaseProd=0,0,cbalR2LOB2AvgMissPercClinician12+(calcR2LOB2Clinician12Disc2Emp1GrossProd/calcR2LOB2Clinician12Disc2Emp1BaseProd-1)/paramR2TimeConversion)</f>
        <v>0</v>
      </c>
      <c r="N1395" s="131" t="s">
        <v>6895</v>
      </c>
    </row>
    <row r="1396" spans="1:14" ht="12.75" customHeight="1">
      <c r="A1396" s="478"/>
      <c r="B1396" s="459"/>
      <c r="D1396" s="131" t="s">
        <v>554</v>
      </c>
      <c r="E1396" s="539">
        <f>IF(calcLOB2Clinician14Disc2Emp1BaseProd=0,0,cbalLOB2AvgMissPercClinician14+(calcLOB2Clinician14Disc2Emp1GrossProd/calcLOB2Clinician14Disc2Emp1BaseProd-1)/paramTimeConversion)</f>
        <v>5.833333333333332E-2</v>
      </c>
      <c r="F1396" s="539">
        <f>IF(calcLOB2Clinician14Disc2Emp1BaseProd=0,0,cbalLOB2AvgMissPercClinician14+(calcLOB2Clinician14Disc2Emp1GrossProd/calcLOB2Clinician14Disc2Emp1BaseProd-1)/paramTimeConversion)</f>
        <v>6.25E-2</v>
      </c>
      <c r="G1396" s="539">
        <f>IF(calcLOB2Clinician14Disc2Emp1BaseProd=0,0,cbalLOB2AvgMissPercClinician14+(calcLOB2Clinician14Disc2Emp1GrossProd/calcLOB2Clinician14Disc2Emp1BaseProd-1)/paramTimeConversion)</f>
        <v>6.25E-2</v>
      </c>
      <c r="H1396" s="131" t="s">
        <v>4109</v>
      </c>
      <c r="J1396" s="131" t="s">
        <v>554</v>
      </c>
      <c r="K1396" s="539">
        <f>IF(calcR2LOB2Clinician14Disc2Emp1BaseProd=0,0,cbalR2LOB2AvgMissPercClinician14+(calcR2LOB2Clinician14Disc2Emp1GrossProd/calcR2LOB2Clinician14Disc2Emp1BaseProd-1)/paramR2TimeConversion)</f>
        <v>5.7979143325809168E-2</v>
      </c>
      <c r="L1396" s="539">
        <f>IF(calcR2LOB2Clinician14Disc2Emp1BaseProd=0,0,cbalR2LOB2AvgMissPercClinician14+(calcR2LOB2Clinician14Disc2Emp1GrossProd/calcR2LOB2Clinician14Disc2Emp1BaseProd-1)/paramR2TimeConversion)</f>
        <v>6.25E-2</v>
      </c>
      <c r="M1396" s="539">
        <f>IF(calcR2LOB2Clinician14Disc2Emp1BaseProd=0,0,cbalR2LOB2AvgMissPercClinician14+(calcR2LOB2Clinician14Disc2Emp1GrossProd/calcR2LOB2Clinician14Disc2Emp1BaseProd-1)/paramR2TimeConversion)</f>
        <v>6.25E-2</v>
      </c>
      <c r="N1396" s="131" t="s">
        <v>6896</v>
      </c>
    </row>
    <row r="1397" spans="1:14" ht="12.75" customHeight="1">
      <c r="A1397" s="478"/>
      <c r="B1397" s="459"/>
      <c r="E1397" s="476"/>
      <c r="F1397" s="476"/>
      <c r="G1397" s="476"/>
      <c r="K1397" s="476"/>
      <c r="L1397" s="476"/>
      <c r="M1397" s="476"/>
    </row>
    <row r="1398" spans="1:14" ht="12.75" customHeight="1">
      <c r="A1398" s="478"/>
      <c r="B1398" s="459"/>
      <c r="C1398" s="131" t="s">
        <v>1615</v>
      </c>
    </row>
    <row r="1399" spans="1:14" ht="12.75" customHeight="1">
      <c r="A1399" s="478"/>
      <c r="B1399" s="459"/>
      <c r="C1399" s="170">
        <v>1</v>
      </c>
      <c r="D1399" s="131" t="s">
        <v>550</v>
      </c>
      <c r="E1399" s="540">
        <f>calcLOB2Clinician1Disc1AvgMissPerc*calcLOB2Clinician1Disc1Emp1GrossProd*paramLOB2Disc1Missed*paramLOB2Clinician1Missed</f>
        <v>4.7250000000000005</v>
      </c>
      <c r="F1399" s="540">
        <f>calcLOB2Clinician1Disc1AvgMissPerc*calcLOB2Clinician1Disc1Emp1GrossProd*paramLOB2Disc1Missed*paramLOB2Clinician1Missed</f>
        <v>4.7250000000000005</v>
      </c>
      <c r="G1399" s="540">
        <f>calcLOB2Clinician1Disc1AvgMissPerc*calcLOB2Clinician1Disc1Emp1GrossProd*paramLOB2Disc1Missed*paramLOB2Clinician1Missed</f>
        <v>4.7250000000000005</v>
      </c>
      <c r="H1399" s="131" t="s">
        <v>2358</v>
      </c>
      <c r="J1399" s="131" t="s">
        <v>550</v>
      </c>
      <c r="K1399" s="540">
        <f>calcR2LOB2Clinician1Disc1AvgMissPerc*calcR2LOB2Clinician1Disc1Emp1GrossProd*paramR2LOB2Disc1Missed*paramR2LOB2Clinician1Missed</f>
        <v>4.7250000000000005</v>
      </c>
      <c r="L1399" s="540">
        <f>calcR2LOB2Clinician1Disc1AvgMissPerc*calcR2LOB2Clinician1Disc1Emp1GrossProd*paramR2LOB2Disc1Missed*paramR2LOB2Clinician1Missed</f>
        <v>4.7250000000000005</v>
      </c>
      <c r="M1399" s="540">
        <f>calcR2LOB2Clinician1Disc1AvgMissPerc*calcR2LOB2Clinician1Disc1Emp1GrossProd*paramR2LOB2Disc1Missed*paramR2LOB2Clinician1Missed</f>
        <v>4.7250000000000005</v>
      </c>
      <c r="N1399" s="131" t="s">
        <v>6897</v>
      </c>
    </row>
    <row r="1400" spans="1:14" ht="12.75" customHeight="1">
      <c r="A1400" s="478"/>
      <c r="B1400" s="459"/>
      <c r="C1400" s="170">
        <v>2</v>
      </c>
      <c r="D1400" s="131" t="s">
        <v>550</v>
      </c>
      <c r="E1400" s="540">
        <f>calcLOB2Clinician2Disc1AvgMissPerc*calcLOB2Clinician2Disc1Emp1GrossProd*paramLOB2Disc1Missed*paramLOB2Clinician2Missed</f>
        <v>4.2</v>
      </c>
      <c r="F1400" s="540">
        <f>calcLOB2Clinician2Disc1AvgMissPerc*calcLOB2Clinician2Disc1Emp1GrossProd*paramLOB2Disc1Missed*paramLOB2Clinician2Missed</f>
        <v>4.2</v>
      </c>
      <c r="G1400" s="540">
        <f>calcLOB2Clinician2Disc1AvgMissPerc*calcLOB2Clinician2Disc1Emp1GrossProd*paramLOB2Disc1Missed*paramLOB2Clinician2Missed</f>
        <v>4.2</v>
      </c>
      <c r="H1400" s="131" t="s">
        <v>2359</v>
      </c>
      <c r="J1400" s="131" t="s">
        <v>550</v>
      </c>
      <c r="K1400" s="540">
        <f>calcR2LOB2Clinician2Disc1AvgMissPerc*calcR2LOB2Clinician2Disc1Emp1GrossProd*paramR2LOB2Disc1Missed*paramR2LOB2Clinician2Missed</f>
        <v>4.2</v>
      </c>
      <c r="L1400" s="540">
        <f>calcR2LOB2Clinician2Disc1AvgMissPerc*calcR2LOB2Clinician2Disc1Emp1GrossProd*paramR2LOB2Disc1Missed*paramR2LOB2Clinician2Missed</f>
        <v>4.2</v>
      </c>
      <c r="M1400" s="540">
        <f>calcR2LOB2Clinician2Disc1AvgMissPerc*calcR2LOB2Clinician2Disc1Emp1GrossProd*paramR2LOB2Disc1Missed*paramR2LOB2Clinician2Missed</f>
        <v>4.2</v>
      </c>
      <c r="N1400" s="131" t="s">
        <v>6898</v>
      </c>
    </row>
    <row r="1401" spans="1:14" ht="12.75" customHeight="1">
      <c r="A1401" s="478"/>
      <c r="B1401" s="459"/>
      <c r="C1401" s="170">
        <v>3</v>
      </c>
      <c r="D1401" s="131" t="s">
        <v>550</v>
      </c>
      <c r="E1401" s="540">
        <f>calcLOB2Clinician3Disc1AvgMissPerc*calcLOB2Clinician3Disc1Emp1GrossProd*paramLOB2Disc1Missed*paramLOB2Clinician3Missed</f>
        <v>1.2765957446808509</v>
      </c>
      <c r="F1401" s="540">
        <f>calcLOB2Clinician3Disc1AvgMissPerc*calcLOB2Clinician3Disc1Emp1GrossProd*paramLOB2Disc1Missed*paramLOB2Clinician3Missed</f>
        <v>1.2765957446808509</v>
      </c>
      <c r="G1401" s="540">
        <f>calcLOB2Clinician3Disc1AvgMissPerc*calcLOB2Clinician3Disc1Emp1GrossProd*paramLOB2Disc1Missed*paramLOB2Clinician3Missed</f>
        <v>1.2765957446808509</v>
      </c>
      <c r="H1401" s="131" t="s">
        <v>2360</v>
      </c>
      <c r="J1401" s="131" t="s">
        <v>550</v>
      </c>
      <c r="K1401" s="540">
        <f>calcR2LOB2Clinician3Disc1AvgMissPerc*calcR2LOB2Clinician3Disc1Emp1GrossProd*paramR2LOB2Disc1Missed*paramR2LOB2Clinician3Missed</f>
        <v>1.2765957446808509</v>
      </c>
      <c r="L1401" s="540">
        <f>calcR2LOB2Clinician3Disc1AvgMissPerc*calcR2LOB2Clinician3Disc1Emp1GrossProd*paramR2LOB2Disc1Missed*paramR2LOB2Clinician3Missed</f>
        <v>1.2765957446808509</v>
      </c>
      <c r="M1401" s="540">
        <f>calcR2LOB2Clinician3Disc1AvgMissPerc*calcR2LOB2Clinician3Disc1Emp1GrossProd*paramR2LOB2Disc1Missed*paramR2LOB2Clinician3Missed</f>
        <v>1.2765957446808509</v>
      </c>
      <c r="N1401" s="131" t="s">
        <v>6899</v>
      </c>
    </row>
    <row r="1402" spans="1:14" ht="12.75" customHeight="1">
      <c r="A1402" s="478"/>
      <c r="B1402" s="459"/>
      <c r="C1402" s="170">
        <v>4</v>
      </c>
      <c r="D1402" s="131" t="s">
        <v>550</v>
      </c>
      <c r="E1402" s="540">
        <f>calcLOB2Clinician4Disc1AvgMissPerc*calcLOB2Clinician4Disc1Emp1GrossProd*paramLOB2Disc1Missed*paramLOB2Clinician4Missed</f>
        <v>0.83333333333333348</v>
      </c>
      <c r="F1402" s="540">
        <f>calcLOB2Clinician4Disc1AvgMissPerc*calcLOB2Clinician4Disc1Emp1GrossProd*paramLOB2Disc1Missed*paramLOB2Clinician4Missed</f>
        <v>0.83333333333333348</v>
      </c>
      <c r="G1402" s="540">
        <f>calcLOB2Clinician4Disc1AvgMissPerc*calcLOB2Clinician4Disc1Emp1GrossProd*paramLOB2Disc1Missed*paramLOB2Clinician4Missed</f>
        <v>0.83333333333333348</v>
      </c>
      <c r="H1402" s="131" t="s">
        <v>2361</v>
      </c>
      <c r="J1402" s="131" t="s">
        <v>550</v>
      </c>
      <c r="K1402" s="540">
        <f>calcR2LOB2Clinician4Disc1AvgMissPerc*calcR2LOB2Clinician4Disc1Emp1GrossProd*paramR2LOB2Disc1Missed*paramR2LOB2Clinician4Missed</f>
        <v>0.83333333333333348</v>
      </c>
      <c r="L1402" s="540">
        <f>calcR2LOB2Clinician4Disc1AvgMissPerc*calcR2LOB2Clinician4Disc1Emp1GrossProd*paramR2LOB2Disc1Missed*paramR2LOB2Clinician4Missed</f>
        <v>0.83333333333333348</v>
      </c>
      <c r="M1402" s="540">
        <f>calcR2LOB2Clinician4Disc1AvgMissPerc*calcR2LOB2Clinician4Disc1Emp1GrossProd*paramR2LOB2Disc1Missed*paramR2LOB2Clinician4Missed</f>
        <v>0.83333333333333348</v>
      </c>
      <c r="N1402" s="131" t="s">
        <v>6900</v>
      </c>
    </row>
    <row r="1403" spans="1:14" ht="12.75" customHeight="1">
      <c r="A1403" s="478"/>
      <c r="B1403" s="459"/>
      <c r="C1403" s="170">
        <v>5</v>
      </c>
      <c r="D1403" s="131" t="s">
        <v>550</v>
      </c>
      <c r="E1403" s="540">
        <f>calcLOB2Clinician5Disc1AvgMissPerc*calcLOB2Clinician5Disc1Emp1GrossProd*paramLOB2Disc1Missed*paramLOB2Clinician5Missed</f>
        <v>0</v>
      </c>
      <c r="F1403" s="540">
        <f>calcLOB2Clinician5Disc1AvgMissPerc*calcLOB2Clinician5Disc1Emp1GrossProd*paramLOB2Disc1Missed*paramLOB2Clinician5Missed</f>
        <v>0</v>
      </c>
      <c r="G1403" s="540">
        <f>calcLOB2Clinician5Disc1AvgMissPerc*calcLOB2Clinician5Disc1Emp1GrossProd*paramLOB2Disc1Missed*paramLOB2Clinician5Missed</f>
        <v>0</v>
      </c>
      <c r="H1403" s="131" t="s">
        <v>2362</v>
      </c>
      <c r="J1403" s="131" t="s">
        <v>550</v>
      </c>
      <c r="K1403" s="540">
        <f>calcR2LOB2Clinician5Disc1AvgMissPerc*calcR2LOB2Clinician5Disc1Emp1GrossProd*paramR2LOB2Disc1Missed*paramR2LOB2Clinician5Missed</f>
        <v>0</v>
      </c>
      <c r="L1403" s="540">
        <f>calcR2LOB2Clinician5Disc1AvgMissPerc*calcR2LOB2Clinician5Disc1Emp1GrossProd*paramR2LOB2Disc1Missed*paramR2LOB2Clinician5Missed</f>
        <v>0</v>
      </c>
      <c r="M1403" s="540">
        <f>calcR2LOB2Clinician5Disc1AvgMissPerc*calcR2LOB2Clinician5Disc1Emp1GrossProd*paramR2LOB2Disc1Missed*paramR2LOB2Clinician5Missed</f>
        <v>0</v>
      </c>
      <c r="N1403" s="131" t="s">
        <v>6901</v>
      </c>
    </row>
    <row r="1404" spans="1:14" ht="12.75" customHeight="1">
      <c r="A1404" s="478"/>
      <c r="B1404" s="459"/>
      <c r="C1404" s="170">
        <v>6</v>
      </c>
      <c r="D1404" s="131" t="s">
        <v>550</v>
      </c>
      <c r="E1404" s="540">
        <f>calcLOB2Clinician6Disc1AvgMissPerc*calcLOB2Clinician6Disc1Emp1GrossProd*paramLOB2Disc1Missed*paramLOB2Clinician6Missed</f>
        <v>0</v>
      </c>
      <c r="F1404" s="540">
        <f>calcLOB2Clinician6Disc1AvgMissPerc*calcLOB2Clinician6Disc1Emp1GrossProd*paramLOB2Disc1Missed*paramLOB2Clinician6Missed</f>
        <v>0</v>
      </c>
      <c r="G1404" s="540">
        <f>calcLOB2Clinician6Disc1AvgMissPerc*calcLOB2Clinician6Disc1Emp1GrossProd*paramLOB2Disc1Missed*paramLOB2Clinician6Missed</f>
        <v>0</v>
      </c>
      <c r="H1404" s="131" t="s">
        <v>2363</v>
      </c>
      <c r="J1404" s="131" t="s">
        <v>550</v>
      </c>
      <c r="K1404" s="540">
        <f>calcR2LOB2Clinician6Disc1AvgMissPerc*calcR2LOB2Clinician6Disc1Emp1GrossProd*paramR2LOB2Disc1Missed*paramR2LOB2Clinician6Missed</f>
        <v>0</v>
      </c>
      <c r="L1404" s="540">
        <f>calcR2LOB2Clinician6Disc1AvgMissPerc*calcR2LOB2Clinician6Disc1Emp1GrossProd*paramR2LOB2Disc1Missed*paramR2LOB2Clinician6Missed</f>
        <v>0</v>
      </c>
      <c r="M1404" s="540">
        <f>calcR2LOB2Clinician6Disc1AvgMissPerc*calcR2LOB2Clinician6Disc1Emp1GrossProd*paramR2LOB2Disc1Missed*paramR2LOB2Clinician6Missed</f>
        <v>0</v>
      </c>
      <c r="N1404" s="131" t="s">
        <v>6902</v>
      </c>
    </row>
    <row r="1405" spans="1:14" ht="12.75" customHeight="1">
      <c r="A1405" s="478"/>
      <c r="B1405" s="459"/>
      <c r="C1405" s="170">
        <v>7</v>
      </c>
      <c r="D1405" s="131" t="s">
        <v>550</v>
      </c>
      <c r="E1405" s="540">
        <f>calcLOB2Clinician7Disc1AvgMissPerc*calcLOB2Clinician7Disc1Emp1GrossProd*paramLOB2Disc1Missed*paramLOB2Clinician7Missed</f>
        <v>0</v>
      </c>
      <c r="F1405" s="540">
        <f>calcLOB2Clinician7Disc1AvgMissPerc*calcLOB2Clinician7Disc1Emp1GrossProd*paramLOB2Disc1Missed*paramLOB2Clinician7Missed</f>
        <v>0</v>
      </c>
      <c r="G1405" s="540">
        <f>calcLOB2Clinician7Disc1AvgMissPerc*calcLOB2Clinician7Disc1Emp1GrossProd*paramLOB2Disc1Missed*paramLOB2Clinician7Missed</f>
        <v>0</v>
      </c>
      <c r="H1405" s="131" t="s">
        <v>2364</v>
      </c>
      <c r="J1405" s="131" t="s">
        <v>550</v>
      </c>
      <c r="K1405" s="540">
        <f>calcR2LOB2Clinician7Disc1AvgMissPerc*calcR2LOB2Clinician7Disc1Emp1GrossProd*paramR2LOB2Disc1Missed*paramR2LOB2Clinician7Missed</f>
        <v>0</v>
      </c>
      <c r="L1405" s="540">
        <f>calcR2LOB2Clinician7Disc1AvgMissPerc*calcR2LOB2Clinician7Disc1Emp1GrossProd*paramR2LOB2Disc1Missed*paramR2LOB2Clinician7Missed</f>
        <v>0</v>
      </c>
      <c r="M1405" s="540">
        <f>calcR2LOB2Clinician7Disc1AvgMissPerc*calcR2LOB2Clinician7Disc1Emp1GrossProd*paramR2LOB2Disc1Missed*paramR2LOB2Clinician7Missed</f>
        <v>0</v>
      </c>
      <c r="N1405" s="131" t="s">
        <v>6903</v>
      </c>
    </row>
    <row r="1406" spans="1:14" ht="12.75" customHeight="1">
      <c r="A1406" s="478"/>
      <c r="B1406" s="459"/>
      <c r="C1406" s="170">
        <v>8</v>
      </c>
      <c r="D1406" s="131" t="s">
        <v>550</v>
      </c>
      <c r="E1406" s="540">
        <f>calcLOB2Clinician8Disc1AvgMissPerc*calcLOB2Clinician8Disc1Emp1GrossProd*paramLOB2Disc1Missed*paramLOB2Clinician8Missed</f>
        <v>0</v>
      </c>
      <c r="F1406" s="540">
        <f>calcLOB2Clinician8Disc1AvgMissPerc*calcLOB2Clinician8Disc1Emp1GrossProd*paramLOB2Disc1Missed*paramLOB2Clinician8Missed</f>
        <v>0</v>
      </c>
      <c r="G1406" s="540">
        <f>calcLOB2Clinician8Disc1AvgMissPerc*calcLOB2Clinician8Disc1Emp1GrossProd*paramLOB2Disc1Missed*paramLOB2Clinician8Missed</f>
        <v>0</v>
      </c>
      <c r="H1406" s="131" t="s">
        <v>2365</v>
      </c>
      <c r="J1406" s="131" t="s">
        <v>550</v>
      </c>
      <c r="K1406" s="540">
        <f>calcR2LOB2Clinician8Disc1AvgMissPerc*calcR2LOB2Clinician8Disc1Emp1GrossProd*paramR2LOB2Disc1Missed*paramR2LOB2Clinician8Missed</f>
        <v>0</v>
      </c>
      <c r="L1406" s="540">
        <f>calcR2LOB2Clinician8Disc1AvgMissPerc*calcR2LOB2Clinician8Disc1Emp1GrossProd*paramR2LOB2Disc1Missed*paramR2LOB2Clinician8Missed</f>
        <v>0</v>
      </c>
      <c r="M1406" s="540">
        <f>calcR2LOB2Clinician8Disc1AvgMissPerc*calcR2LOB2Clinician8Disc1Emp1GrossProd*paramR2LOB2Disc1Missed*paramR2LOB2Clinician8Missed</f>
        <v>0</v>
      </c>
      <c r="N1406" s="131" t="s">
        <v>6904</v>
      </c>
    </row>
    <row r="1407" spans="1:14" ht="12.75" customHeight="1">
      <c r="A1407" s="478"/>
      <c r="B1407" s="459"/>
      <c r="C1407" s="170">
        <v>9</v>
      </c>
      <c r="D1407" s="131" t="s">
        <v>550</v>
      </c>
      <c r="E1407" s="540">
        <f>calcLOB2Clinician9Disc1AvgMissPerc*calcLOB2Clinician9Disc1Emp1GrossProd*paramLOB2Disc1Missed*paramLOB2Clinician9Missed</f>
        <v>0</v>
      </c>
      <c r="F1407" s="540">
        <f>calcLOB2Clinician9Disc1AvgMissPerc*calcLOB2Clinician9Disc1Emp1GrossProd*paramLOB2Disc1Missed*paramLOB2Clinician9Missed</f>
        <v>0</v>
      </c>
      <c r="G1407" s="540">
        <f>calcLOB2Clinician9Disc1AvgMissPerc*calcLOB2Clinician9Disc1Emp1GrossProd*paramLOB2Disc1Missed*paramLOB2Clinician9Missed</f>
        <v>0</v>
      </c>
      <c r="H1407" s="131" t="s">
        <v>2366</v>
      </c>
      <c r="J1407" s="131" t="s">
        <v>550</v>
      </c>
      <c r="K1407" s="540">
        <f>calcR2LOB2Clinician9Disc1AvgMissPerc*calcR2LOB2Clinician9Disc1Emp1GrossProd*paramR2LOB2Disc1Missed*paramR2LOB2Clinician9Missed</f>
        <v>0</v>
      </c>
      <c r="L1407" s="540">
        <f>calcR2LOB2Clinician9Disc1AvgMissPerc*calcR2LOB2Clinician9Disc1Emp1GrossProd*paramR2LOB2Disc1Missed*paramR2LOB2Clinician9Missed</f>
        <v>0</v>
      </c>
      <c r="M1407" s="540">
        <f>calcR2LOB2Clinician9Disc1AvgMissPerc*calcR2LOB2Clinician9Disc1Emp1GrossProd*paramR2LOB2Disc1Missed*paramR2LOB2Clinician9Missed</f>
        <v>0</v>
      </c>
      <c r="N1407" s="131" t="s">
        <v>6905</v>
      </c>
    </row>
    <row r="1408" spans="1:14" ht="12.75" customHeight="1">
      <c r="A1408" s="478"/>
      <c r="B1408" s="459"/>
      <c r="C1408" s="170">
        <v>10</v>
      </c>
      <c r="D1408" s="131" t="s">
        <v>550</v>
      </c>
      <c r="E1408" s="540">
        <f>calcLOB2Clinician10Disc1AvgMissPerc*calcLOB2Clinician10Disc1Emp1GrossProd*paramLOB2Disc1Missed*paramLOB2Clinician10Missed</f>
        <v>0</v>
      </c>
      <c r="F1408" s="540">
        <f>calcLOB2Clinician10Disc1AvgMissPerc*calcLOB2Clinician10Disc1Emp1GrossProd*paramLOB2Disc1Missed*paramLOB2Clinician10Missed</f>
        <v>0</v>
      </c>
      <c r="G1408" s="540">
        <f>calcLOB2Clinician10Disc1AvgMissPerc*calcLOB2Clinician10Disc1Emp1GrossProd*paramLOB2Disc1Missed*paramLOB2Clinician10Missed</f>
        <v>0</v>
      </c>
      <c r="H1408" s="131" t="s">
        <v>2367</v>
      </c>
      <c r="J1408" s="131" t="s">
        <v>550</v>
      </c>
      <c r="K1408" s="540">
        <f>calcR2LOB2Clinician10Disc1AvgMissPerc*calcR2LOB2Clinician10Disc1Emp1GrossProd*paramR2LOB2Disc1Missed*paramR2LOB2Clinician10Missed</f>
        <v>0</v>
      </c>
      <c r="L1408" s="540">
        <f>calcR2LOB2Clinician10Disc1AvgMissPerc*calcR2LOB2Clinician10Disc1Emp1GrossProd*paramR2LOB2Disc1Missed*paramR2LOB2Clinician10Missed</f>
        <v>0</v>
      </c>
      <c r="M1408" s="540">
        <f>calcR2LOB2Clinician10Disc1AvgMissPerc*calcR2LOB2Clinician10Disc1Emp1GrossProd*paramR2LOB2Disc1Missed*paramR2LOB2Clinician10Missed</f>
        <v>0</v>
      </c>
      <c r="N1408" s="131" t="s">
        <v>6906</v>
      </c>
    </row>
    <row r="1409" spans="1:14" ht="12.75" customHeight="1">
      <c r="A1409" s="478"/>
      <c r="B1409" s="459"/>
      <c r="C1409" s="170">
        <v>11</v>
      </c>
      <c r="D1409" s="131" t="s">
        <v>550</v>
      </c>
      <c r="E1409" s="540">
        <f>calcLOB2Clinician11Disc1AvgMissPerc*calcLOB2Clinician11Disc1Emp1GrossProd*paramLOB2Disc1Missed*paramLOB2Clinician11Missed</f>
        <v>0</v>
      </c>
      <c r="F1409" s="540">
        <f>calcLOB2Clinician11Disc1AvgMissPerc*calcLOB2Clinician11Disc1Emp1GrossProd*paramLOB2Disc1Missed*paramLOB2Clinician11Missed</f>
        <v>0</v>
      </c>
      <c r="G1409" s="540">
        <f>calcLOB2Clinician11Disc1AvgMissPerc*calcLOB2Clinician11Disc1Emp1GrossProd*paramLOB2Disc1Missed*paramLOB2Clinician11Missed</f>
        <v>0</v>
      </c>
      <c r="H1409" s="131" t="s">
        <v>2368</v>
      </c>
      <c r="J1409" s="131" t="s">
        <v>550</v>
      </c>
      <c r="K1409" s="540">
        <f>calcR2LOB2Clinician11Disc1AvgMissPerc*calcR2LOB2Clinician11Disc1Emp1GrossProd*paramR2LOB2Disc1Missed*paramR2LOB2Clinician11Missed</f>
        <v>0</v>
      </c>
      <c r="L1409" s="540">
        <f>calcR2LOB2Clinician11Disc1AvgMissPerc*calcR2LOB2Clinician11Disc1Emp1GrossProd*paramR2LOB2Disc1Missed*paramR2LOB2Clinician11Missed</f>
        <v>0</v>
      </c>
      <c r="M1409" s="540">
        <f>calcR2LOB2Clinician11Disc1AvgMissPerc*calcR2LOB2Clinician11Disc1Emp1GrossProd*paramR2LOB2Disc1Missed*paramR2LOB2Clinician11Missed</f>
        <v>0</v>
      </c>
      <c r="N1409" s="131" t="s">
        <v>6907</v>
      </c>
    </row>
    <row r="1410" spans="1:14" ht="12.75" customHeight="1">
      <c r="A1410" s="478"/>
      <c r="B1410" s="459"/>
      <c r="C1410" s="170">
        <v>12</v>
      </c>
      <c r="D1410" s="131" t="s">
        <v>550</v>
      </c>
      <c r="E1410" s="540">
        <f>calcLOB2Clinician12Disc1AvgMissPerc*calcLOB2Clinician12Disc1Emp1GrossProd*paramLOB2Disc1Missed*paramLOB2Clinician12Missed</f>
        <v>0</v>
      </c>
      <c r="F1410" s="540">
        <f>calcLOB2Clinician12Disc1AvgMissPerc*calcLOB2Clinician12Disc1Emp1GrossProd*paramLOB2Disc1Missed*paramLOB2Clinician12Missed</f>
        <v>0</v>
      </c>
      <c r="G1410" s="540">
        <f>calcLOB2Clinician12Disc1AvgMissPerc*calcLOB2Clinician12Disc1Emp1GrossProd*paramLOB2Disc1Missed*paramLOB2Clinician12Missed</f>
        <v>0</v>
      </c>
      <c r="H1410" s="131" t="s">
        <v>2369</v>
      </c>
      <c r="J1410" s="131" t="s">
        <v>550</v>
      </c>
      <c r="K1410" s="540">
        <f>calcR2LOB2Clinician12Disc1AvgMissPerc*calcR2LOB2Clinician12Disc1Emp1GrossProd*paramR2LOB2Disc1Missed*paramR2LOB2Clinician12Missed</f>
        <v>0</v>
      </c>
      <c r="L1410" s="540">
        <f>calcR2LOB2Clinician12Disc1AvgMissPerc*calcR2LOB2Clinician12Disc1Emp1GrossProd*paramR2LOB2Disc1Missed*paramR2LOB2Clinician12Missed</f>
        <v>0</v>
      </c>
      <c r="M1410" s="540">
        <f>calcR2LOB2Clinician12Disc1AvgMissPerc*calcR2LOB2Clinician12Disc1Emp1GrossProd*paramR2LOB2Disc1Missed*paramR2LOB2Clinician12Missed</f>
        <v>0</v>
      </c>
      <c r="N1410" s="131" t="s">
        <v>6908</v>
      </c>
    </row>
    <row r="1411" spans="1:14" ht="12.75" customHeight="1">
      <c r="A1411" s="478"/>
      <c r="B1411" s="459"/>
      <c r="D1411" s="131" t="s">
        <v>550</v>
      </c>
      <c r="E1411" s="540">
        <f>calcLOB2Clinician13Disc1AvgMissPerc*calcLOB2Clinician13Disc1Emp1GrossProd*paramLOB2Disc1Missed</f>
        <v>6.982499999999999</v>
      </c>
      <c r="F1411" s="540">
        <f>calcLOB2Clinician13Disc1AvgMissPerc*calcLOB2Clinician13Disc1Emp1GrossProd*paramLOB2Disc1Missed</f>
        <v>6.25</v>
      </c>
      <c r="G1411" s="540">
        <f>calcLOB2Clinician13Disc1AvgMissPerc*calcLOB2Clinician13Disc1Emp1GrossProd*paramLOB2Disc1Missed</f>
        <v>12.5</v>
      </c>
      <c r="H1411" s="131" t="s">
        <v>4108</v>
      </c>
      <c r="J1411" s="131" t="s">
        <v>550</v>
      </c>
      <c r="K1411" s="540">
        <f>calcR2LOB2Clinician13Disc1AvgMissPerc*calcR2LOB2Clinician13Disc1Emp1GrossProd*paramR2LOB2Disc1Missed</f>
        <v>6.563600899750373</v>
      </c>
      <c r="L1411" s="540">
        <f>calcR2LOB2Clinician13Disc1AvgMissPerc*calcR2LOB2Clinician13Disc1Emp1GrossProd*paramR2LOB2Disc1Missed</f>
        <v>6.25</v>
      </c>
      <c r="M1411" s="540">
        <f>calcR2LOB2Clinician13Disc1AvgMissPerc*calcR2LOB2Clinician13Disc1Emp1GrossProd*paramR2LOB2Disc1Missed</f>
        <v>12.5</v>
      </c>
      <c r="N1411" s="131" t="s">
        <v>6909</v>
      </c>
    </row>
    <row r="1412" spans="1:14" ht="12.75" customHeight="1">
      <c r="A1412" s="478"/>
      <c r="B1412" s="459"/>
      <c r="C1412" s="170">
        <v>1</v>
      </c>
      <c r="D1412" s="131" t="s">
        <v>554</v>
      </c>
      <c r="E1412" s="540">
        <f>calcLOB2Clinician1Disc2AvgMissPerc*calcLOB2Clinician1Disc2Emp1GrossProd*paramLOB2Disc2Missed*paramLOB2Clinician1Missed</f>
        <v>0</v>
      </c>
      <c r="F1412" s="540">
        <f>calcLOB2Clinician1Disc2AvgMissPerc*calcLOB2Clinician1Disc2Emp1GrossProd*paramLOB2Disc2Missed*paramLOB2Clinician1Missed</f>
        <v>0</v>
      </c>
      <c r="G1412" s="540">
        <f>calcLOB2Clinician1Disc2AvgMissPerc*calcLOB2Clinician1Disc2Emp1GrossProd*paramLOB2Disc2Missed*paramLOB2Clinician1Missed</f>
        <v>0</v>
      </c>
      <c r="H1412" s="131" t="s">
        <v>2370</v>
      </c>
      <c r="J1412" s="131" t="s">
        <v>554</v>
      </c>
      <c r="K1412" s="540">
        <f>calcR2LOB2Clinician1Disc2AvgMissPerc*calcR2LOB2Clinician1Disc2Emp1GrossProd*paramR2LOB2Disc2Missed*paramR2LOB2Clinician1Missed</f>
        <v>0</v>
      </c>
      <c r="L1412" s="540">
        <f>calcR2LOB2Clinician1Disc2AvgMissPerc*calcR2LOB2Clinician1Disc2Emp1GrossProd*paramR2LOB2Disc2Missed*paramR2LOB2Clinician1Missed</f>
        <v>0</v>
      </c>
      <c r="M1412" s="540">
        <f>calcR2LOB2Clinician1Disc2AvgMissPerc*calcR2LOB2Clinician1Disc2Emp1GrossProd*paramR2LOB2Disc2Missed*paramR2LOB2Clinician1Missed</f>
        <v>0</v>
      </c>
      <c r="N1412" s="131" t="s">
        <v>6910</v>
      </c>
    </row>
    <row r="1413" spans="1:14" ht="12.75" customHeight="1">
      <c r="A1413" s="478"/>
      <c r="B1413" s="459"/>
      <c r="C1413" s="170">
        <v>2</v>
      </c>
      <c r="D1413" s="131" t="s">
        <v>554</v>
      </c>
      <c r="E1413" s="540">
        <f>calcLOB2Clinician2Disc2AvgMissPerc*calcLOB2Clinician2Disc2Emp1GrossProd*paramLOB2Disc2Missed*paramLOB2Clinician2Missed</f>
        <v>0</v>
      </c>
      <c r="F1413" s="540">
        <f>calcLOB2Clinician2Disc2AvgMissPerc*calcLOB2Clinician2Disc2Emp1GrossProd*paramLOB2Disc2Missed*paramLOB2Clinician2Missed</f>
        <v>0</v>
      </c>
      <c r="G1413" s="540">
        <f>calcLOB2Clinician2Disc2AvgMissPerc*calcLOB2Clinician2Disc2Emp1GrossProd*paramLOB2Disc2Missed*paramLOB2Clinician2Missed</f>
        <v>0</v>
      </c>
      <c r="H1413" s="131" t="s">
        <v>2371</v>
      </c>
      <c r="J1413" s="131" t="s">
        <v>554</v>
      </c>
      <c r="K1413" s="540">
        <f>calcR2LOB2Clinician2Disc2AvgMissPerc*calcR2LOB2Clinician2Disc2Emp1GrossProd*paramR2LOB2Disc2Missed*paramR2LOB2Clinician2Missed</f>
        <v>0</v>
      </c>
      <c r="L1413" s="540">
        <f>calcR2LOB2Clinician2Disc2AvgMissPerc*calcR2LOB2Clinician2Disc2Emp1GrossProd*paramR2LOB2Disc2Missed*paramR2LOB2Clinician2Missed</f>
        <v>0</v>
      </c>
      <c r="M1413" s="540">
        <f>calcR2LOB2Clinician2Disc2AvgMissPerc*calcR2LOB2Clinician2Disc2Emp1GrossProd*paramR2LOB2Disc2Missed*paramR2LOB2Clinician2Missed</f>
        <v>0</v>
      </c>
      <c r="N1413" s="131" t="s">
        <v>6911</v>
      </c>
    </row>
    <row r="1414" spans="1:14" ht="12.75" customHeight="1">
      <c r="A1414" s="478"/>
      <c r="B1414" s="459"/>
      <c r="C1414" s="170">
        <v>3</v>
      </c>
      <c r="D1414" s="131" t="s">
        <v>554</v>
      </c>
      <c r="E1414" s="540">
        <f>calcLOB2Clinician3Disc2AvgMissPerc*calcLOB2Clinician3Disc2Emp1GrossProd*paramLOB2Disc2Missed*paramLOB2Clinician3Missed</f>
        <v>0</v>
      </c>
      <c r="F1414" s="540">
        <f>calcLOB2Clinician3Disc2AvgMissPerc*calcLOB2Clinician3Disc2Emp1GrossProd*paramLOB2Disc2Missed*paramLOB2Clinician3Missed</f>
        <v>0</v>
      </c>
      <c r="G1414" s="540">
        <f>calcLOB2Clinician3Disc2AvgMissPerc*calcLOB2Clinician3Disc2Emp1GrossProd*paramLOB2Disc2Missed*paramLOB2Clinician3Missed</f>
        <v>0</v>
      </c>
      <c r="H1414" s="131" t="s">
        <v>2372</v>
      </c>
      <c r="J1414" s="131" t="s">
        <v>554</v>
      </c>
      <c r="K1414" s="540">
        <f>calcR2LOB2Clinician3Disc2AvgMissPerc*calcR2LOB2Clinician3Disc2Emp1GrossProd*paramR2LOB2Disc2Missed*paramR2LOB2Clinician3Missed</f>
        <v>0</v>
      </c>
      <c r="L1414" s="540">
        <f>calcR2LOB2Clinician3Disc2AvgMissPerc*calcR2LOB2Clinician3Disc2Emp1GrossProd*paramR2LOB2Disc2Missed*paramR2LOB2Clinician3Missed</f>
        <v>0</v>
      </c>
      <c r="M1414" s="540">
        <f>calcR2LOB2Clinician3Disc2AvgMissPerc*calcR2LOB2Clinician3Disc2Emp1GrossProd*paramR2LOB2Disc2Missed*paramR2LOB2Clinician3Missed</f>
        <v>0</v>
      </c>
      <c r="N1414" s="131" t="s">
        <v>6912</v>
      </c>
    </row>
    <row r="1415" spans="1:14" ht="12.75" customHeight="1">
      <c r="A1415" s="478"/>
      <c r="B1415" s="459"/>
      <c r="C1415" s="170">
        <v>4</v>
      </c>
      <c r="D1415" s="131" t="s">
        <v>554</v>
      </c>
      <c r="E1415" s="540">
        <f>calcLOB2Clinician4Disc2AvgMissPerc*calcLOB2Clinician4Disc2Emp1GrossProd*paramLOB2Disc2Missed*paramLOB2Clinician4Missed</f>
        <v>0</v>
      </c>
      <c r="F1415" s="540">
        <f>calcLOB2Clinician4Disc2AvgMissPerc*calcLOB2Clinician4Disc2Emp1GrossProd*paramLOB2Disc2Missed*paramLOB2Clinician4Missed</f>
        <v>0</v>
      </c>
      <c r="G1415" s="540">
        <f>calcLOB2Clinician4Disc2AvgMissPerc*calcLOB2Clinician4Disc2Emp1GrossProd*paramLOB2Disc2Missed*paramLOB2Clinician4Missed</f>
        <v>0</v>
      </c>
      <c r="H1415" s="131" t="s">
        <v>2373</v>
      </c>
      <c r="J1415" s="131" t="s">
        <v>554</v>
      </c>
      <c r="K1415" s="540">
        <f>calcR2LOB2Clinician4Disc2AvgMissPerc*calcR2LOB2Clinician4Disc2Emp1GrossProd*paramR2LOB2Disc2Missed*paramR2LOB2Clinician4Missed</f>
        <v>0</v>
      </c>
      <c r="L1415" s="540">
        <f>calcR2LOB2Clinician4Disc2AvgMissPerc*calcR2LOB2Clinician4Disc2Emp1GrossProd*paramR2LOB2Disc2Missed*paramR2LOB2Clinician4Missed</f>
        <v>0</v>
      </c>
      <c r="M1415" s="540">
        <f>calcR2LOB2Clinician4Disc2AvgMissPerc*calcR2LOB2Clinician4Disc2Emp1GrossProd*paramR2LOB2Disc2Missed*paramR2LOB2Clinician4Missed</f>
        <v>0</v>
      </c>
      <c r="N1415" s="131" t="s">
        <v>6913</v>
      </c>
    </row>
    <row r="1416" spans="1:14" ht="12.75" customHeight="1">
      <c r="A1416" s="478"/>
      <c r="B1416" s="459"/>
      <c r="C1416" s="170">
        <v>5</v>
      </c>
      <c r="D1416" s="131" t="s">
        <v>554</v>
      </c>
      <c r="E1416" s="540">
        <f>calcLOB2Clinician5Disc2AvgMissPerc*calcLOB2Clinician5Disc2Emp1GrossProd*paramLOB2Disc2Missed*paramLOB2Clinician5Missed</f>
        <v>3.4375</v>
      </c>
      <c r="F1416" s="540">
        <f>calcLOB2Clinician5Disc2AvgMissPerc*calcLOB2Clinician5Disc2Emp1GrossProd*paramLOB2Disc2Missed*paramLOB2Clinician5Missed</f>
        <v>3.4375</v>
      </c>
      <c r="G1416" s="540">
        <f>calcLOB2Clinician5Disc2AvgMissPerc*calcLOB2Clinician5Disc2Emp1GrossProd*paramLOB2Disc2Missed*paramLOB2Clinician5Missed</f>
        <v>3.4375</v>
      </c>
      <c r="H1416" s="131" t="s">
        <v>2374</v>
      </c>
      <c r="J1416" s="131" t="s">
        <v>554</v>
      </c>
      <c r="K1416" s="540">
        <f>calcR2LOB2Clinician5Disc2AvgMissPerc*calcR2LOB2Clinician5Disc2Emp1GrossProd*paramR2LOB2Disc2Missed*paramR2LOB2Clinician5Missed</f>
        <v>3.4375</v>
      </c>
      <c r="L1416" s="540">
        <f>calcR2LOB2Clinician5Disc2AvgMissPerc*calcR2LOB2Clinician5Disc2Emp1GrossProd*paramR2LOB2Disc2Missed*paramR2LOB2Clinician5Missed</f>
        <v>3.4375</v>
      </c>
      <c r="M1416" s="540">
        <f>calcR2LOB2Clinician5Disc2AvgMissPerc*calcR2LOB2Clinician5Disc2Emp1GrossProd*paramR2LOB2Disc2Missed*paramR2LOB2Clinician5Missed</f>
        <v>3.4375</v>
      </c>
      <c r="N1416" s="131" t="s">
        <v>6914</v>
      </c>
    </row>
    <row r="1417" spans="1:14" ht="12.75" customHeight="1">
      <c r="A1417" s="478"/>
      <c r="B1417" s="459"/>
      <c r="C1417" s="170">
        <v>6</v>
      </c>
      <c r="D1417" s="131" t="s">
        <v>554</v>
      </c>
      <c r="E1417" s="540">
        <f>calcLOB2Clinician6Disc2AvgMissPerc*calcLOB2Clinician6Disc2Emp1GrossProd*paramLOB2Disc2Missed*paramLOB2Clinician6Missed</f>
        <v>5.25</v>
      </c>
      <c r="F1417" s="540">
        <f>calcLOB2Clinician6Disc2AvgMissPerc*calcLOB2Clinician6Disc2Emp1GrossProd*paramLOB2Disc2Missed*paramLOB2Clinician6Missed</f>
        <v>5.25</v>
      </c>
      <c r="G1417" s="540">
        <f>calcLOB2Clinician6Disc2AvgMissPerc*calcLOB2Clinician6Disc2Emp1GrossProd*paramLOB2Disc2Missed*paramLOB2Clinician6Missed</f>
        <v>5.25</v>
      </c>
      <c r="H1417" s="131" t="s">
        <v>2375</v>
      </c>
      <c r="J1417" s="131" t="s">
        <v>554</v>
      </c>
      <c r="K1417" s="540">
        <f>calcR2LOB2Clinician6Disc2AvgMissPerc*calcR2LOB2Clinician6Disc2Emp1GrossProd*paramR2LOB2Disc2Missed*paramR2LOB2Clinician6Missed</f>
        <v>5.25</v>
      </c>
      <c r="L1417" s="540">
        <f>calcR2LOB2Clinician6Disc2AvgMissPerc*calcR2LOB2Clinician6Disc2Emp1GrossProd*paramR2LOB2Disc2Missed*paramR2LOB2Clinician6Missed</f>
        <v>5.25</v>
      </c>
      <c r="M1417" s="540">
        <f>calcR2LOB2Clinician6Disc2AvgMissPerc*calcR2LOB2Clinician6Disc2Emp1GrossProd*paramR2LOB2Disc2Missed*paramR2LOB2Clinician6Missed</f>
        <v>5.25</v>
      </c>
      <c r="N1417" s="131" t="s">
        <v>6915</v>
      </c>
    </row>
    <row r="1418" spans="1:14" ht="12.75" customHeight="1">
      <c r="A1418" s="478"/>
      <c r="B1418" s="459"/>
      <c r="C1418" s="170">
        <v>7</v>
      </c>
      <c r="D1418" s="131" t="s">
        <v>554</v>
      </c>
      <c r="E1418" s="540">
        <f>calcLOB2Clinician7Disc2AvgMissPerc*calcLOB2Clinician7Disc2Emp1GrossProd*paramLOB2Disc2Missed*paramLOB2Clinician7Missed</f>
        <v>0</v>
      </c>
      <c r="F1418" s="540">
        <f>calcLOB2Clinician7Disc2AvgMissPerc*calcLOB2Clinician7Disc2Emp1GrossProd*paramLOB2Disc2Missed*paramLOB2Clinician7Missed</f>
        <v>0</v>
      </c>
      <c r="G1418" s="540">
        <f>calcLOB2Clinician7Disc2AvgMissPerc*calcLOB2Clinician7Disc2Emp1GrossProd*paramLOB2Disc2Missed*paramLOB2Clinician7Missed</f>
        <v>0</v>
      </c>
      <c r="H1418" s="131" t="s">
        <v>2376</v>
      </c>
      <c r="J1418" s="131" t="s">
        <v>554</v>
      </c>
      <c r="K1418" s="540">
        <f>calcR2LOB2Clinician7Disc2AvgMissPerc*calcR2LOB2Clinician7Disc2Emp1GrossProd*paramR2LOB2Disc2Missed*paramR2LOB2Clinician7Missed</f>
        <v>0</v>
      </c>
      <c r="L1418" s="540">
        <f>calcR2LOB2Clinician7Disc2AvgMissPerc*calcR2LOB2Clinician7Disc2Emp1GrossProd*paramR2LOB2Disc2Missed*paramR2LOB2Clinician7Missed</f>
        <v>0</v>
      </c>
      <c r="M1418" s="540">
        <f>calcR2LOB2Clinician7Disc2AvgMissPerc*calcR2LOB2Clinician7Disc2Emp1GrossProd*paramR2LOB2Disc2Missed*paramR2LOB2Clinician7Missed</f>
        <v>0</v>
      </c>
      <c r="N1418" s="131" t="s">
        <v>6916</v>
      </c>
    </row>
    <row r="1419" spans="1:14" ht="12.75" customHeight="1">
      <c r="A1419" s="478"/>
      <c r="B1419" s="459"/>
      <c r="C1419" s="170">
        <v>8</v>
      </c>
      <c r="D1419" s="131" t="s">
        <v>554</v>
      </c>
      <c r="E1419" s="540">
        <f>calcLOB2Clinician8Disc2AvgMissPerc*calcLOB2Clinician8Disc2Emp1GrossProd*paramLOB2Disc2Missed*paramLOB2Clinician8Missed</f>
        <v>0</v>
      </c>
      <c r="F1419" s="540">
        <f>calcLOB2Clinician8Disc2AvgMissPerc*calcLOB2Clinician8Disc2Emp1GrossProd*paramLOB2Disc2Missed*paramLOB2Clinician8Missed</f>
        <v>0</v>
      </c>
      <c r="G1419" s="540">
        <f>calcLOB2Clinician8Disc2AvgMissPerc*calcLOB2Clinician8Disc2Emp1GrossProd*paramLOB2Disc2Missed*paramLOB2Clinician8Missed</f>
        <v>0</v>
      </c>
      <c r="H1419" s="131" t="s">
        <v>2377</v>
      </c>
      <c r="J1419" s="131" t="s">
        <v>554</v>
      </c>
      <c r="K1419" s="540">
        <f>calcR2LOB2Clinician8Disc2AvgMissPerc*calcR2LOB2Clinician8Disc2Emp1GrossProd*paramR2LOB2Disc2Missed*paramR2LOB2Clinician8Missed</f>
        <v>0</v>
      </c>
      <c r="L1419" s="540">
        <f>calcR2LOB2Clinician8Disc2AvgMissPerc*calcR2LOB2Clinician8Disc2Emp1GrossProd*paramR2LOB2Disc2Missed*paramR2LOB2Clinician8Missed</f>
        <v>0</v>
      </c>
      <c r="M1419" s="540">
        <f>calcR2LOB2Clinician8Disc2AvgMissPerc*calcR2LOB2Clinician8Disc2Emp1GrossProd*paramR2LOB2Disc2Missed*paramR2LOB2Clinician8Missed</f>
        <v>0</v>
      </c>
      <c r="N1419" s="131" t="s">
        <v>6917</v>
      </c>
    </row>
    <row r="1420" spans="1:14" ht="12.75" customHeight="1">
      <c r="A1420" s="478"/>
      <c r="B1420" s="459"/>
      <c r="C1420" s="170">
        <v>9</v>
      </c>
      <c r="D1420" s="131" t="s">
        <v>554</v>
      </c>
      <c r="E1420" s="540">
        <f>calcLOB2Clinician9Disc2AvgMissPerc*calcLOB2Clinician9Disc2Emp1GrossProd*paramLOB2Disc2Missed*paramLOB2Clinician9Missed</f>
        <v>0</v>
      </c>
      <c r="F1420" s="540">
        <f>calcLOB2Clinician9Disc2AvgMissPerc*calcLOB2Clinician9Disc2Emp1GrossProd*paramLOB2Disc2Missed*paramLOB2Clinician9Missed</f>
        <v>0</v>
      </c>
      <c r="G1420" s="540">
        <f>calcLOB2Clinician9Disc2AvgMissPerc*calcLOB2Clinician9Disc2Emp1GrossProd*paramLOB2Disc2Missed*paramLOB2Clinician9Missed</f>
        <v>0</v>
      </c>
      <c r="H1420" s="131" t="s">
        <v>2378</v>
      </c>
      <c r="J1420" s="131" t="s">
        <v>554</v>
      </c>
      <c r="K1420" s="540">
        <f>calcR2LOB2Clinician9Disc2AvgMissPerc*calcR2LOB2Clinician9Disc2Emp1GrossProd*paramR2LOB2Disc2Missed*paramR2LOB2Clinician9Missed</f>
        <v>0</v>
      </c>
      <c r="L1420" s="540">
        <f>calcR2LOB2Clinician9Disc2AvgMissPerc*calcR2LOB2Clinician9Disc2Emp1GrossProd*paramR2LOB2Disc2Missed*paramR2LOB2Clinician9Missed</f>
        <v>0</v>
      </c>
      <c r="M1420" s="540">
        <f>calcR2LOB2Clinician9Disc2AvgMissPerc*calcR2LOB2Clinician9Disc2Emp1GrossProd*paramR2LOB2Disc2Missed*paramR2LOB2Clinician9Missed</f>
        <v>0</v>
      </c>
      <c r="N1420" s="131" t="s">
        <v>6918</v>
      </c>
    </row>
    <row r="1421" spans="1:14" ht="12.75" customHeight="1">
      <c r="A1421" s="478"/>
      <c r="B1421" s="459"/>
      <c r="C1421" s="170">
        <v>10</v>
      </c>
      <c r="D1421" s="131" t="s">
        <v>554</v>
      </c>
      <c r="E1421" s="540">
        <f>calcLOB2Clinician10Disc2AvgMissPerc*calcLOB2Clinician10Disc2Emp1GrossProd*paramLOB2Disc2Missed*paramLOB2Clinician10Missed</f>
        <v>0</v>
      </c>
      <c r="F1421" s="540">
        <f>calcLOB2Clinician10Disc2AvgMissPerc*calcLOB2Clinician10Disc2Emp1GrossProd*paramLOB2Disc2Missed*paramLOB2Clinician10Missed</f>
        <v>0</v>
      </c>
      <c r="G1421" s="540">
        <f>calcLOB2Clinician10Disc2AvgMissPerc*calcLOB2Clinician10Disc2Emp1GrossProd*paramLOB2Disc2Missed*paramLOB2Clinician10Missed</f>
        <v>0</v>
      </c>
      <c r="H1421" s="131" t="s">
        <v>2379</v>
      </c>
      <c r="J1421" s="131" t="s">
        <v>554</v>
      </c>
      <c r="K1421" s="540">
        <f>calcR2LOB2Clinician10Disc2AvgMissPerc*calcR2LOB2Clinician10Disc2Emp1GrossProd*paramR2LOB2Disc2Missed*paramR2LOB2Clinician10Missed</f>
        <v>0</v>
      </c>
      <c r="L1421" s="540">
        <f>calcR2LOB2Clinician10Disc2AvgMissPerc*calcR2LOB2Clinician10Disc2Emp1GrossProd*paramR2LOB2Disc2Missed*paramR2LOB2Clinician10Missed</f>
        <v>0</v>
      </c>
      <c r="M1421" s="540">
        <f>calcR2LOB2Clinician10Disc2AvgMissPerc*calcR2LOB2Clinician10Disc2Emp1GrossProd*paramR2LOB2Disc2Missed*paramR2LOB2Clinician10Missed</f>
        <v>0</v>
      </c>
      <c r="N1421" s="131" t="s">
        <v>6919</v>
      </c>
    </row>
    <row r="1422" spans="1:14" ht="12.75" customHeight="1">
      <c r="A1422" s="478"/>
      <c r="B1422" s="459"/>
      <c r="C1422" s="170">
        <v>11</v>
      </c>
      <c r="D1422" s="131" t="s">
        <v>554</v>
      </c>
      <c r="E1422" s="540">
        <f>calcLOB2Clinician11Disc2AvgMissPerc*calcLOB2Clinician11Disc2Emp1GrossProd*paramLOB2Disc2Missed*paramLOB2Clinician11Missed</f>
        <v>0</v>
      </c>
      <c r="F1422" s="540">
        <f>calcLOB2Clinician11Disc2AvgMissPerc*calcLOB2Clinician11Disc2Emp1GrossProd*paramLOB2Disc2Missed*paramLOB2Clinician11Missed</f>
        <v>0</v>
      </c>
      <c r="G1422" s="540">
        <f>calcLOB2Clinician11Disc2AvgMissPerc*calcLOB2Clinician11Disc2Emp1GrossProd*paramLOB2Disc2Missed*paramLOB2Clinician11Missed</f>
        <v>0</v>
      </c>
      <c r="H1422" s="131" t="s">
        <v>2380</v>
      </c>
      <c r="J1422" s="131" t="s">
        <v>554</v>
      </c>
      <c r="K1422" s="540">
        <f>calcR2LOB2Clinician11Disc2AvgMissPerc*calcR2LOB2Clinician11Disc2Emp1GrossProd*paramR2LOB2Disc2Missed*paramR2LOB2Clinician11Missed</f>
        <v>0</v>
      </c>
      <c r="L1422" s="540">
        <f>calcR2LOB2Clinician11Disc2AvgMissPerc*calcR2LOB2Clinician11Disc2Emp1GrossProd*paramR2LOB2Disc2Missed*paramR2LOB2Clinician11Missed</f>
        <v>0</v>
      </c>
      <c r="M1422" s="540">
        <f>calcR2LOB2Clinician11Disc2AvgMissPerc*calcR2LOB2Clinician11Disc2Emp1GrossProd*paramR2LOB2Disc2Missed*paramR2LOB2Clinician11Missed</f>
        <v>0</v>
      </c>
      <c r="N1422" s="131" t="s">
        <v>6920</v>
      </c>
    </row>
    <row r="1423" spans="1:14" ht="12.75" customHeight="1">
      <c r="A1423" s="478"/>
      <c r="B1423" s="459"/>
      <c r="C1423" s="170">
        <v>12</v>
      </c>
      <c r="D1423" s="131" t="s">
        <v>554</v>
      </c>
      <c r="E1423" s="540">
        <f>calcLOB2Clinician12Disc2AvgMissPerc*calcLOB2Clinician12Disc2Emp1GrossProd*paramLOB2Disc2Missed*paramLOB2Clinician12Missed</f>
        <v>0</v>
      </c>
      <c r="F1423" s="540">
        <f>calcLOB2Clinician12Disc2AvgMissPerc*calcLOB2Clinician12Disc2Emp1GrossProd*paramLOB2Disc2Missed*paramLOB2Clinician12Missed</f>
        <v>0</v>
      </c>
      <c r="G1423" s="540">
        <f>calcLOB2Clinician12Disc2AvgMissPerc*calcLOB2Clinician12Disc2Emp1GrossProd*paramLOB2Disc2Missed*paramLOB2Clinician12Missed</f>
        <v>0</v>
      </c>
      <c r="H1423" s="131" t="s">
        <v>2381</v>
      </c>
      <c r="J1423" s="131" t="s">
        <v>554</v>
      </c>
      <c r="K1423" s="540">
        <f>calcR2LOB2Clinician12Disc2AvgMissPerc*calcR2LOB2Clinician12Disc2Emp1GrossProd*paramR2LOB2Disc2Missed*paramR2LOB2Clinician12Missed</f>
        <v>0</v>
      </c>
      <c r="L1423" s="540">
        <f>calcR2LOB2Clinician12Disc2AvgMissPerc*calcR2LOB2Clinician12Disc2Emp1GrossProd*paramR2LOB2Disc2Missed*paramR2LOB2Clinician12Missed</f>
        <v>0</v>
      </c>
      <c r="M1423" s="540">
        <f>calcR2LOB2Clinician12Disc2AvgMissPerc*calcR2LOB2Clinician12Disc2Emp1GrossProd*paramR2LOB2Disc2Missed*paramR2LOB2Clinician12Missed</f>
        <v>0</v>
      </c>
      <c r="N1423" s="131" t="s">
        <v>6921</v>
      </c>
    </row>
    <row r="1424" spans="1:14" ht="12.75" customHeight="1">
      <c r="A1424" s="478"/>
      <c r="B1424" s="459"/>
      <c r="D1424" s="131" t="s">
        <v>554</v>
      </c>
      <c r="E1424" s="540">
        <f>calcLOB2Clinician14Disc2AvgMissPerc*calcLOB2Clinician14Disc2Emp1GrossProd*paramLOB2Disc2Missed</f>
        <v>9.9749999999999961</v>
      </c>
      <c r="F1424" s="540">
        <f>calcLOB2Clinician14Disc2AvgMissPerc*calcLOB2Clinician14Disc2Emp1GrossProd*paramLOB2Disc2Missed</f>
        <v>6.25</v>
      </c>
      <c r="G1424" s="540">
        <f>calcLOB2Clinician14Disc2AvgMissPerc*calcLOB2Clinician14Disc2Emp1GrossProd*paramLOB2Disc2Missed</f>
        <v>12.5</v>
      </c>
      <c r="H1424" s="131" t="s">
        <v>4110</v>
      </c>
      <c r="J1424" s="131" t="s">
        <v>554</v>
      </c>
      <c r="K1424" s="540">
        <f>calcR2LOB2Clinician14Disc2AvgMissPerc*calcR2LOB2Clinician14Disc2Emp1GrossProd*paramR2LOB2Disc2Missed</f>
        <v>9.3765727139291091</v>
      </c>
      <c r="L1424" s="540">
        <f>calcR2LOB2Clinician14Disc2AvgMissPerc*calcR2LOB2Clinician14Disc2Emp1GrossProd*paramR2LOB2Disc2Missed</f>
        <v>6.25</v>
      </c>
      <c r="M1424" s="540">
        <f>calcR2LOB2Clinician14Disc2AvgMissPerc*calcR2LOB2Clinician14Disc2Emp1GrossProd*paramR2LOB2Disc2Missed</f>
        <v>12.5</v>
      </c>
      <c r="N1424" s="131" t="s">
        <v>6922</v>
      </c>
    </row>
    <row r="1425" spans="1:14" ht="12.75" customHeight="1">
      <c r="A1425" s="478"/>
      <c r="B1425" s="459"/>
    </row>
    <row r="1426" spans="1:14" ht="12.75" customHeight="1">
      <c r="A1426" s="478"/>
      <c r="B1426" s="459"/>
      <c r="C1426" s="131" t="s">
        <v>1617</v>
      </c>
    </row>
    <row r="1427" spans="1:14" ht="12.75" customHeight="1">
      <c r="A1427" s="478"/>
      <c r="B1427" s="459"/>
      <c r="C1427" s="170">
        <v>1</v>
      </c>
      <c r="D1427" s="131" t="s">
        <v>550</v>
      </c>
      <c r="E1427" s="453">
        <f>calcLOB2Clinician1Disc1Emp1GrossProd-calcLOB2Clinician1Disc1Emp1MissVisits</f>
        <v>22.274999999999999</v>
      </c>
      <c r="F1427" s="453">
        <f>calcLOB2Clinician1Disc1Emp1GrossProd-calcLOB2Clinician1Disc1Emp1MissVisits</f>
        <v>22.274999999999999</v>
      </c>
      <c r="G1427" s="453">
        <f>calcLOB2Clinician1Disc1Emp1GrossProd-calcLOB2Clinician1Disc1Emp1MissVisits</f>
        <v>22.274999999999999</v>
      </c>
      <c r="H1427" s="131" t="s">
        <v>2382</v>
      </c>
      <c r="J1427" s="131" t="s">
        <v>550</v>
      </c>
      <c r="K1427" s="453">
        <f>calcR2LOB2Clinician1Disc1Emp1GrossProd-calcR2LOB2Clinician1Disc1Emp1MissVisits</f>
        <v>22.274999999999999</v>
      </c>
      <c r="L1427" s="453">
        <f>calcR2LOB2Clinician1Disc1Emp1GrossProd-calcR2LOB2Clinician1Disc1Emp1MissVisits</f>
        <v>22.274999999999999</v>
      </c>
      <c r="M1427" s="453">
        <f>calcR2LOB2Clinician1Disc1Emp1GrossProd-calcR2LOB2Clinician1Disc1Emp1MissVisits</f>
        <v>22.274999999999999</v>
      </c>
      <c r="N1427" s="131" t="s">
        <v>6923</v>
      </c>
    </row>
    <row r="1428" spans="1:14" ht="12.75" customHeight="1">
      <c r="A1428" s="478"/>
      <c r="B1428" s="459"/>
      <c r="C1428" s="170">
        <v>2</v>
      </c>
      <c r="D1428" s="131" t="s">
        <v>550</v>
      </c>
      <c r="E1428" s="453">
        <f>calcLOB2Clinician2Disc1Emp1GrossProd-calcLOB2Clinician2Disc1Emp1MissVisits</f>
        <v>23.8</v>
      </c>
      <c r="F1428" s="453">
        <f>calcLOB2Clinician2Disc1Emp1GrossProd-calcLOB2Clinician2Disc1Emp1MissVisits</f>
        <v>23.8</v>
      </c>
      <c r="G1428" s="453">
        <f>calcLOB2Clinician2Disc1Emp1GrossProd-calcLOB2Clinician2Disc1Emp1MissVisits</f>
        <v>23.8</v>
      </c>
      <c r="H1428" s="131" t="s">
        <v>2383</v>
      </c>
      <c r="J1428" s="131" t="s">
        <v>550</v>
      </c>
      <c r="K1428" s="453">
        <f>calcR2LOB2Clinician2Disc1Emp1GrossProd-calcR2LOB2Clinician2Disc1Emp1MissVisits</f>
        <v>23.8</v>
      </c>
      <c r="L1428" s="453">
        <f>calcR2LOB2Clinician2Disc1Emp1GrossProd-calcR2LOB2Clinician2Disc1Emp1MissVisits</f>
        <v>23.8</v>
      </c>
      <c r="M1428" s="453">
        <f>calcR2LOB2Clinician2Disc1Emp1GrossProd-calcR2LOB2Clinician2Disc1Emp1MissVisits</f>
        <v>23.8</v>
      </c>
      <c r="N1428" s="131" t="s">
        <v>6924</v>
      </c>
    </row>
    <row r="1429" spans="1:14" ht="12.75" customHeight="1">
      <c r="A1429" s="478"/>
      <c r="B1429" s="459"/>
      <c r="C1429" s="170">
        <v>3</v>
      </c>
      <c r="D1429" s="131" t="s">
        <v>550</v>
      </c>
      <c r="E1429" s="453">
        <f>calcLOB2Clinician3Disc1Emp1GrossProd-calcLOB2Clinician3Disc1Emp1MissVisits</f>
        <v>15.74468085106383</v>
      </c>
      <c r="F1429" s="453">
        <f>calcLOB2Clinician3Disc1Emp1GrossProd-calcLOB2Clinician3Disc1Emp1MissVisits</f>
        <v>15.74468085106383</v>
      </c>
      <c r="G1429" s="453">
        <f>calcLOB2Clinician3Disc1Emp1GrossProd-calcLOB2Clinician3Disc1Emp1MissVisits</f>
        <v>15.74468085106383</v>
      </c>
      <c r="H1429" s="131" t="s">
        <v>2384</v>
      </c>
      <c r="J1429" s="131" t="s">
        <v>550</v>
      </c>
      <c r="K1429" s="453">
        <f>calcR2LOB2Clinician3Disc1Emp1GrossProd-calcR2LOB2Clinician3Disc1Emp1MissVisits</f>
        <v>15.74468085106383</v>
      </c>
      <c r="L1429" s="453">
        <f>calcR2LOB2Clinician3Disc1Emp1GrossProd-calcR2LOB2Clinician3Disc1Emp1MissVisits</f>
        <v>15.74468085106383</v>
      </c>
      <c r="M1429" s="453">
        <f>calcR2LOB2Clinician3Disc1Emp1GrossProd-calcR2LOB2Clinician3Disc1Emp1MissVisits</f>
        <v>15.74468085106383</v>
      </c>
      <c r="N1429" s="131" t="s">
        <v>6925</v>
      </c>
    </row>
    <row r="1430" spans="1:14" ht="12.75" customHeight="1">
      <c r="A1430" s="478"/>
      <c r="B1430" s="459"/>
      <c r="C1430" s="170">
        <v>4</v>
      </c>
      <c r="D1430" s="131" t="s">
        <v>550</v>
      </c>
      <c r="E1430" s="453">
        <f>calcLOB2Clinician4Disc1Emp1GrossProd-calcLOB2Clinician4Disc1Emp1MissVisits</f>
        <v>15.833333333333334</v>
      </c>
      <c r="F1430" s="453">
        <f>calcLOB2Clinician4Disc1Emp1GrossProd-calcLOB2Clinician4Disc1Emp1MissVisits</f>
        <v>15.833333333333334</v>
      </c>
      <c r="G1430" s="453">
        <f>calcLOB2Clinician4Disc1Emp1GrossProd-calcLOB2Clinician4Disc1Emp1MissVisits</f>
        <v>15.833333333333334</v>
      </c>
      <c r="H1430" s="131" t="s">
        <v>2385</v>
      </c>
      <c r="J1430" s="131" t="s">
        <v>550</v>
      </c>
      <c r="K1430" s="453">
        <f>calcR2LOB2Clinician4Disc1Emp1GrossProd-calcR2LOB2Clinician4Disc1Emp1MissVisits</f>
        <v>15.833333333333334</v>
      </c>
      <c r="L1430" s="453">
        <f>calcR2LOB2Clinician4Disc1Emp1GrossProd-calcR2LOB2Clinician4Disc1Emp1MissVisits</f>
        <v>15.833333333333334</v>
      </c>
      <c r="M1430" s="453">
        <f>calcR2LOB2Clinician4Disc1Emp1GrossProd-calcR2LOB2Clinician4Disc1Emp1MissVisits</f>
        <v>15.833333333333334</v>
      </c>
      <c r="N1430" s="131" t="s">
        <v>6926</v>
      </c>
    </row>
    <row r="1431" spans="1:14" ht="12.75" customHeight="1">
      <c r="A1431" s="478"/>
      <c r="B1431" s="459"/>
      <c r="C1431" s="170">
        <v>5</v>
      </c>
      <c r="D1431" s="131" t="s">
        <v>550</v>
      </c>
      <c r="E1431" s="453">
        <f>calcLOB2Clinician5Disc1Emp1GrossProd-calcLOB2Clinician5Disc1Emp1MissVisits</f>
        <v>0</v>
      </c>
      <c r="F1431" s="453">
        <f>calcLOB2Clinician5Disc1Emp1GrossProd-calcLOB2Clinician5Disc1Emp1MissVisits</f>
        <v>0</v>
      </c>
      <c r="G1431" s="453">
        <f>calcLOB2Clinician5Disc1Emp1GrossProd-calcLOB2Clinician5Disc1Emp1MissVisits</f>
        <v>0</v>
      </c>
      <c r="H1431" s="131" t="s">
        <v>2386</v>
      </c>
      <c r="J1431" s="131" t="s">
        <v>550</v>
      </c>
      <c r="K1431" s="453">
        <f>calcR2LOB2Clinician5Disc1Emp1GrossProd-calcR2LOB2Clinician5Disc1Emp1MissVisits</f>
        <v>0</v>
      </c>
      <c r="L1431" s="453">
        <f>calcR2LOB2Clinician5Disc1Emp1GrossProd-calcR2LOB2Clinician5Disc1Emp1MissVisits</f>
        <v>0</v>
      </c>
      <c r="M1431" s="453">
        <f>calcR2LOB2Clinician5Disc1Emp1GrossProd-calcR2LOB2Clinician5Disc1Emp1MissVisits</f>
        <v>0</v>
      </c>
      <c r="N1431" s="131" t="s">
        <v>6927</v>
      </c>
    </row>
    <row r="1432" spans="1:14" ht="12.75" customHeight="1">
      <c r="A1432" s="478"/>
      <c r="B1432" s="459"/>
      <c r="C1432" s="170">
        <v>6</v>
      </c>
      <c r="D1432" s="131" t="s">
        <v>550</v>
      </c>
      <c r="E1432" s="453">
        <f>calcLOB2Clinician6Disc1Emp1GrossProd-calcLOB2Clinician6Disc1Emp1MissVisits</f>
        <v>0</v>
      </c>
      <c r="F1432" s="453">
        <f>calcLOB2Clinician6Disc1Emp1GrossProd-calcLOB2Clinician6Disc1Emp1MissVisits</f>
        <v>0</v>
      </c>
      <c r="G1432" s="453">
        <f>calcLOB2Clinician6Disc1Emp1GrossProd-calcLOB2Clinician6Disc1Emp1MissVisits</f>
        <v>0</v>
      </c>
      <c r="H1432" s="131" t="s">
        <v>2387</v>
      </c>
      <c r="J1432" s="131" t="s">
        <v>550</v>
      </c>
      <c r="K1432" s="453">
        <f>calcR2LOB2Clinician6Disc1Emp1GrossProd-calcR2LOB2Clinician6Disc1Emp1MissVisits</f>
        <v>0</v>
      </c>
      <c r="L1432" s="453">
        <f>calcR2LOB2Clinician6Disc1Emp1GrossProd-calcR2LOB2Clinician6Disc1Emp1MissVisits</f>
        <v>0</v>
      </c>
      <c r="M1432" s="453">
        <f>calcR2LOB2Clinician6Disc1Emp1GrossProd-calcR2LOB2Clinician6Disc1Emp1MissVisits</f>
        <v>0</v>
      </c>
      <c r="N1432" s="131" t="s">
        <v>6928</v>
      </c>
    </row>
    <row r="1433" spans="1:14" ht="12.75" customHeight="1">
      <c r="A1433" s="478"/>
      <c r="B1433" s="459"/>
      <c r="C1433" s="170">
        <v>7</v>
      </c>
      <c r="D1433" s="131" t="s">
        <v>550</v>
      </c>
      <c r="E1433" s="453">
        <f>calcLOB2Clinician7Disc1Emp1GrossProd-calcLOB2Clinician7Disc1Emp1MissVisits</f>
        <v>0</v>
      </c>
      <c r="F1433" s="453">
        <f>calcLOB2Clinician7Disc1Emp1GrossProd-calcLOB2Clinician7Disc1Emp1MissVisits</f>
        <v>0</v>
      </c>
      <c r="G1433" s="453">
        <f>calcLOB2Clinician7Disc1Emp1GrossProd-calcLOB2Clinician7Disc1Emp1MissVisits</f>
        <v>0</v>
      </c>
      <c r="H1433" s="131" t="s">
        <v>2388</v>
      </c>
      <c r="J1433" s="131" t="s">
        <v>550</v>
      </c>
      <c r="K1433" s="453">
        <f>calcR2LOB2Clinician7Disc1Emp1GrossProd-calcR2LOB2Clinician7Disc1Emp1MissVisits</f>
        <v>0</v>
      </c>
      <c r="L1433" s="453">
        <f>calcR2LOB2Clinician7Disc1Emp1GrossProd-calcR2LOB2Clinician7Disc1Emp1MissVisits</f>
        <v>0</v>
      </c>
      <c r="M1433" s="453">
        <f>calcR2LOB2Clinician7Disc1Emp1GrossProd-calcR2LOB2Clinician7Disc1Emp1MissVisits</f>
        <v>0</v>
      </c>
      <c r="N1433" s="131" t="s">
        <v>6929</v>
      </c>
    </row>
    <row r="1434" spans="1:14" ht="12.75" customHeight="1">
      <c r="A1434" s="478"/>
      <c r="B1434" s="459"/>
      <c r="C1434" s="170">
        <v>8</v>
      </c>
      <c r="D1434" s="131" t="s">
        <v>550</v>
      </c>
      <c r="E1434" s="453">
        <f>calcLOB2Clinician8Disc1Emp1GrossProd-calcLOB2Clinician8Disc1Emp1MissVisits</f>
        <v>0</v>
      </c>
      <c r="F1434" s="453">
        <f>calcLOB2Clinician8Disc1Emp1GrossProd-calcLOB2Clinician8Disc1Emp1MissVisits</f>
        <v>0</v>
      </c>
      <c r="G1434" s="453">
        <f>calcLOB2Clinician8Disc1Emp1GrossProd-calcLOB2Clinician8Disc1Emp1MissVisits</f>
        <v>0</v>
      </c>
      <c r="H1434" s="131" t="s">
        <v>2389</v>
      </c>
      <c r="J1434" s="131" t="s">
        <v>550</v>
      </c>
      <c r="K1434" s="453">
        <f>calcR2LOB2Clinician8Disc1Emp1GrossProd-calcR2LOB2Clinician8Disc1Emp1MissVisits</f>
        <v>0</v>
      </c>
      <c r="L1434" s="453">
        <f>calcR2LOB2Clinician8Disc1Emp1GrossProd-calcR2LOB2Clinician8Disc1Emp1MissVisits</f>
        <v>0</v>
      </c>
      <c r="M1434" s="453">
        <f>calcR2LOB2Clinician8Disc1Emp1GrossProd-calcR2LOB2Clinician8Disc1Emp1MissVisits</f>
        <v>0</v>
      </c>
      <c r="N1434" s="131" t="s">
        <v>6930</v>
      </c>
    </row>
    <row r="1435" spans="1:14" ht="12.75" customHeight="1">
      <c r="A1435" s="478"/>
      <c r="B1435" s="459"/>
      <c r="C1435" s="170">
        <v>9</v>
      </c>
      <c r="D1435" s="131" t="s">
        <v>550</v>
      </c>
      <c r="E1435" s="453">
        <f>calcLOB2Clinician9Disc1Emp1GrossProd-calcLOB2Clinician9Disc1Emp1MissVisits</f>
        <v>0</v>
      </c>
      <c r="F1435" s="453">
        <f>calcLOB2Clinician9Disc1Emp1GrossProd-calcLOB2Clinician9Disc1Emp1MissVisits</f>
        <v>0</v>
      </c>
      <c r="G1435" s="453">
        <f>calcLOB2Clinician9Disc1Emp1GrossProd-calcLOB2Clinician9Disc1Emp1MissVisits</f>
        <v>0</v>
      </c>
      <c r="H1435" s="131" t="s">
        <v>2390</v>
      </c>
      <c r="J1435" s="131" t="s">
        <v>550</v>
      </c>
      <c r="K1435" s="453">
        <f>calcR2LOB2Clinician9Disc1Emp1GrossProd-calcR2LOB2Clinician9Disc1Emp1MissVisits</f>
        <v>0</v>
      </c>
      <c r="L1435" s="453">
        <f>calcR2LOB2Clinician9Disc1Emp1GrossProd-calcR2LOB2Clinician9Disc1Emp1MissVisits</f>
        <v>0</v>
      </c>
      <c r="M1435" s="453">
        <f>calcR2LOB2Clinician9Disc1Emp1GrossProd-calcR2LOB2Clinician9Disc1Emp1MissVisits</f>
        <v>0</v>
      </c>
      <c r="N1435" s="131" t="s">
        <v>6931</v>
      </c>
    </row>
    <row r="1436" spans="1:14" ht="12.75" customHeight="1">
      <c r="A1436" s="478"/>
      <c r="B1436" s="459"/>
      <c r="C1436" s="170">
        <v>10</v>
      </c>
      <c r="D1436" s="131" t="s">
        <v>550</v>
      </c>
      <c r="E1436" s="453">
        <f>calcLOB2Clinician10Disc1Emp1GrossProd-calcLOB2Clinician10Disc1Emp1MissVisits</f>
        <v>0</v>
      </c>
      <c r="F1436" s="453">
        <f>calcLOB2Clinician10Disc1Emp1GrossProd-calcLOB2Clinician10Disc1Emp1MissVisits</f>
        <v>0</v>
      </c>
      <c r="G1436" s="453">
        <f>calcLOB2Clinician10Disc1Emp1GrossProd-calcLOB2Clinician10Disc1Emp1MissVisits</f>
        <v>0</v>
      </c>
      <c r="H1436" s="131" t="s">
        <v>2391</v>
      </c>
      <c r="J1436" s="131" t="s">
        <v>550</v>
      </c>
      <c r="K1436" s="453">
        <f>calcR2LOB2Clinician10Disc1Emp1GrossProd-calcR2LOB2Clinician10Disc1Emp1MissVisits</f>
        <v>0</v>
      </c>
      <c r="L1436" s="453">
        <f>calcR2LOB2Clinician10Disc1Emp1GrossProd-calcR2LOB2Clinician10Disc1Emp1MissVisits</f>
        <v>0</v>
      </c>
      <c r="M1436" s="453">
        <f>calcR2LOB2Clinician10Disc1Emp1GrossProd-calcR2LOB2Clinician10Disc1Emp1MissVisits</f>
        <v>0</v>
      </c>
      <c r="N1436" s="131" t="s">
        <v>6932</v>
      </c>
    </row>
    <row r="1437" spans="1:14" ht="12.75" customHeight="1">
      <c r="A1437" s="478"/>
      <c r="B1437" s="459"/>
      <c r="C1437" s="170">
        <v>11</v>
      </c>
      <c r="D1437" s="131" t="s">
        <v>550</v>
      </c>
      <c r="E1437" s="453">
        <f>calcLOB2Clinician11Disc1Emp1GrossProd-calcLOB2Clinician11Disc1Emp1MissVisits</f>
        <v>0</v>
      </c>
      <c r="F1437" s="453">
        <f>calcLOB2Clinician11Disc1Emp1GrossProd-calcLOB2Clinician11Disc1Emp1MissVisits</f>
        <v>0</v>
      </c>
      <c r="G1437" s="453">
        <f>calcLOB2Clinician11Disc1Emp1GrossProd-calcLOB2Clinician11Disc1Emp1MissVisits</f>
        <v>0</v>
      </c>
      <c r="H1437" s="131" t="s">
        <v>2392</v>
      </c>
      <c r="J1437" s="131" t="s">
        <v>550</v>
      </c>
      <c r="K1437" s="453">
        <f>calcR2LOB2Clinician11Disc1Emp1GrossProd-calcR2LOB2Clinician11Disc1Emp1MissVisits</f>
        <v>0</v>
      </c>
      <c r="L1437" s="453">
        <f>calcR2LOB2Clinician11Disc1Emp1GrossProd-calcR2LOB2Clinician11Disc1Emp1MissVisits</f>
        <v>0</v>
      </c>
      <c r="M1437" s="453">
        <f>calcR2LOB2Clinician11Disc1Emp1GrossProd-calcR2LOB2Clinician11Disc1Emp1MissVisits</f>
        <v>0</v>
      </c>
      <c r="N1437" s="131" t="s">
        <v>6933</v>
      </c>
    </row>
    <row r="1438" spans="1:14" ht="12.75" customHeight="1">
      <c r="A1438" s="478"/>
      <c r="B1438" s="459"/>
      <c r="C1438" s="170">
        <v>12</v>
      </c>
      <c r="D1438" s="131" t="s">
        <v>550</v>
      </c>
      <c r="E1438" s="453">
        <f>calcLOB2Clinician12Disc1Emp1GrossProd-calcLOB2Clinician12Disc1Emp1MissVisits</f>
        <v>0</v>
      </c>
      <c r="F1438" s="453">
        <f>calcLOB2Clinician12Disc1Emp1GrossProd-calcLOB2Clinician12Disc1Emp1MissVisits</f>
        <v>0</v>
      </c>
      <c r="G1438" s="453">
        <f>calcLOB2Clinician12Disc1Emp1GrossProd-calcLOB2Clinician12Disc1Emp1MissVisits</f>
        <v>0</v>
      </c>
      <c r="H1438" s="131" t="s">
        <v>2393</v>
      </c>
      <c r="J1438" s="131" t="s">
        <v>550</v>
      </c>
      <c r="K1438" s="453">
        <f>calcR2LOB2Clinician12Disc1Emp1GrossProd-calcR2LOB2Clinician12Disc1Emp1MissVisits</f>
        <v>0</v>
      </c>
      <c r="L1438" s="453">
        <f>calcR2LOB2Clinician12Disc1Emp1GrossProd-calcR2LOB2Clinician12Disc1Emp1MissVisits</f>
        <v>0</v>
      </c>
      <c r="M1438" s="453">
        <f>calcR2LOB2Clinician12Disc1Emp1GrossProd-calcR2LOB2Clinician12Disc1Emp1MissVisits</f>
        <v>0</v>
      </c>
      <c r="N1438" s="131" t="s">
        <v>6934</v>
      </c>
    </row>
    <row r="1439" spans="1:14" ht="12.75" customHeight="1">
      <c r="A1439" s="478"/>
      <c r="B1439" s="459"/>
      <c r="D1439" s="131" t="s">
        <v>550</v>
      </c>
      <c r="E1439" s="453">
        <f>calcLOB2Clinician13Disc1Emp1GrossProd-calcLOB2Clinician13Disc1Emp1MissVisits</f>
        <v>112.71749999999999</v>
      </c>
      <c r="F1439" s="453">
        <f>calcLOB2Clinician13Disc1Emp1GrossProd-calcLOB2Clinician13Disc1Emp1MissVisits</f>
        <v>93.75</v>
      </c>
      <c r="G1439" s="453">
        <f>calcLOB2Clinician13Disc1Emp1GrossProd-calcLOB2Clinician13Disc1Emp1MissVisits</f>
        <v>187.5</v>
      </c>
      <c r="H1439" s="131" t="s">
        <v>4111</v>
      </c>
      <c r="J1439" s="131" t="s">
        <v>550</v>
      </c>
      <c r="K1439" s="453">
        <f>calcR2LOB2Clinician13Disc1Emp1GrossProd-calcR2LOB2Clinician13Disc1Emp1MissVisits</f>
        <v>106.64264057344188</v>
      </c>
      <c r="L1439" s="453">
        <f>calcR2LOB2Clinician13Disc1Emp1GrossProd-calcR2LOB2Clinician13Disc1Emp1MissVisits</f>
        <v>93.75</v>
      </c>
      <c r="M1439" s="453">
        <f>calcR2LOB2Clinician13Disc1Emp1GrossProd-calcR2LOB2Clinician13Disc1Emp1MissVisits</f>
        <v>187.5</v>
      </c>
      <c r="N1439" s="131" t="s">
        <v>6935</v>
      </c>
    </row>
    <row r="1440" spans="1:14" ht="12.75" customHeight="1">
      <c r="A1440" s="478"/>
      <c r="B1440" s="459"/>
      <c r="C1440" s="170">
        <v>1</v>
      </c>
      <c r="D1440" s="131" t="s">
        <v>554</v>
      </c>
      <c r="E1440" s="453">
        <f>calcLOB2Clinician1Disc2Emp1GrossProd-calcLOB2Clinician1Disc2Emp1MissVisits</f>
        <v>0</v>
      </c>
      <c r="F1440" s="453">
        <f>calcLOB2Clinician1Disc2Emp1GrossProd-calcLOB2Clinician1Disc2Emp1MissVisits</f>
        <v>0</v>
      </c>
      <c r="G1440" s="453">
        <f>calcLOB2Clinician1Disc2Emp1GrossProd-calcLOB2Clinician1Disc2Emp1MissVisits</f>
        <v>0</v>
      </c>
      <c r="H1440" s="131" t="s">
        <v>2394</v>
      </c>
      <c r="J1440" s="131" t="s">
        <v>554</v>
      </c>
      <c r="K1440" s="453">
        <f>calcR2LOB2Clinician1Disc2Emp1GrossProd-calcR2LOB2Clinician1Disc2Emp1MissVisits</f>
        <v>0</v>
      </c>
      <c r="L1440" s="453">
        <f>calcR2LOB2Clinician1Disc2Emp1GrossProd-calcR2LOB2Clinician1Disc2Emp1MissVisits</f>
        <v>0</v>
      </c>
      <c r="M1440" s="453">
        <f>calcR2LOB2Clinician1Disc2Emp1GrossProd-calcR2LOB2Clinician1Disc2Emp1MissVisits</f>
        <v>0</v>
      </c>
      <c r="N1440" s="131" t="s">
        <v>6936</v>
      </c>
    </row>
    <row r="1441" spans="1:14" ht="12.75" customHeight="1">
      <c r="A1441" s="478"/>
      <c r="B1441" s="459"/>
      <c r="C1441" s="170">
        <v>2</v>
      </c>
      <c r="D1441" s="131" t="s">
        <v>554</v>
      </c>
      <c r="E1441" s="453">
        <f>calcLOB2Clinician2Disc2Emp1GrossProd-calcLOB2Clinician2Disc2Emp1MissVisits</f>
        <v>0</v>
      </c>
      <c r="F1441" s="453">
        <f>calcLOB2Clinician2Disc2Emp1GrossProd-calcLOB2Clinician2Disc2Emp1MissVisits</f>
        <v>0</v>
      </c>
      <c r="G1441" s="453">
        <f>calcLOB2Clinician2Disc2Emp1GrossProd-calcLOB2Clinician2Disc2Emp1MissVisits</f>
        <v>0</v>
      </c>
      <c r="H1441" s="131" t="s">
        <v>2395</v>
      </c>
      <c r="J1441" s="131" t="s">
        <v>554</v>
      </c>
      <c r="K1441" s="453">
        <f>calcR2LOB2Clinician2Disc2Emp1GrossProd-calcR2LOB2Clinician2Disc2Emp1MissVisits</f>
        <v>0</v>
      </c>
      <c r="L1441" s="453">
        <f>calcR2LOB2Clinician2Disc2Emp1GrossProd-calcR2LOB2Clinician2Disc2Emp1MissVisits</f>
        <v>0</v>
      </c>
      <c r="M1441" s="453">
        <f>calcR2LOB2Clinician2Disc2Emp1GrossProd-calcR2LOB2Clinician2Disc2Emp1MissVisits</f>
        <v>0</v>
      </c>
      <c r="N1441" s="131" t="s">
        <v>6937</v>
      </c>
    </row>
    <row r="1442" spans="1:14" ht="12.75" customHeight="1">
      <c r="A1442" s="478"/>
      <c r="B1442" s="459"/>
      <c r="C1442" s="170">
        <v>3</v>
      </c>
      <c r="D1442" s="131" t="s">
        <v>554</v>
      </c>
      <c r="E1442" s="453">
        <f>calcLOB2Clinician3Disc2Emp1GrossProd-calcLOB2Clinician3Disc2Emp1MissVisits</f>
        <v>0</v>
      </c>
      <c r="F1442" s="453">
        <f>calcLOB2Clinician3Disc2Emp1GrossProd-calcLOB2Clinician3Disc2Emp1MissVisits</f>
        <v>0</v>
      </c>
      <c r="G1442" s="453">
        <f>calcLOB2Clinician3Disc2Emp1GrossProd-calcLOB2Clinician3Disc2Emp1MissVisits</f>
        <v>0</v>
      </c>
      <c r="H1442" s="131" t="s">
        <v>2396</v>
      </c>
      <c r="J1442" s="131" t="s">
        <v>554</v>
      </c>
      <c r="K1442" s="453">
        <f>calcR2LOB2Clinician3Disc2Emp1GrossProd-calcR2LOB2Clinician3Disc2Emp1MissVisits</f>
        <v>0</v>
      </c>
      <c r="L1442" s="453">
        <f>calcR2LOB2Clinician3Disc2Emp1GrossProd-calcR2LOB2Clinician3Disc2Emp1MissVisits</f>
        <v>0</v>
      </c>
      <c r="M1442" s="453">
        <f>calcR2LOB2Clinician3Disc2Emp1GrossProd-calcR2LOB2Clinician3Disc2Emp1MissVisits</f>
        <v>0</v>
      </c>
      <c r="N1442" s="131" t="s">
        <v>6938</v>
      </c>
    </row>
    <row r="1443" spans="1:14" ht="12.75" customHeight="1">
      <c r="A1443" s="478"/>
      <c r="B1443" s="459"/>
      <c r="C1443" s="170">
        <v>4</v>
      </c>
      <c r="D1443" s="131" t="s">
        <v>554</v>
      </c>
      <c r="E1443" s="453">
        <f>calcLOB2Clinician4Disc2Emp1GrossProd-calcLOB2Clinician4Disc2Emp1MissVisits</f>
        <v>0</v>
      </c>
      <c r="F1443" s="453">
        <f>calcLOB2Clinician4Disc2Emp1GrossProd-calcLOB2Clinician4Disc2Emp1MissVisits</f>
        <v>0</v>
      </c>
      <c r="G1443" s="453">
        <f>calcLOB2Clinician4Disc2Emp1GrossProd-calcLOB2Clinician4Disc2Emp1MissVisits</f>
        <v>0</v>
      </c>
      <c r="H1443" s="131" t="s">
        <v>2397</v>
      </c>
      <c r="J1443" s="131" t="s">
        <v>554</v>
      </c>
      <c r="K1443" s="453">
        <f>calcR2LOB2Clinician4Disc2Emp1GrossProd-calcR2LOB2Clinician4Disc2Emp1MissVisits</f>
        <v>0</v>
      </c>
      <c r="L1443" s="453">
        <f>calcR2LOB2Clinician4Disc2Emp1GrossProd-calcR2LOB2Clinician4Disc2Emp1MissVisits</f>
        <v>0</v>
      </c>
      <c r="M1443" s="453">
        <f>calcR2LOB2Clinician4Disc2Emp1GrossProd-calcR2LOB2Clinician4Disc2Emp1MissVisits</f>
        <v>0</v>
      </c>
      <c r="N1443" s="131" t="s">
        <v>6939</v>
      </c>
    </row>
    <row r="1444" spans="1:14" ht="12.75" customHeight="1">
      <c r="A1444" s="478"/>
      <c r="B1444" s="459"/>
      <c r="C1444" s="170">
        <v>5</v>
      </c>
      <c r="D1444" s="131" t="s">
        <v>554</v>
      </c>
      <c r="E1444" s="453">
        <f>calcLOB2Clinician5Disc2Emp1GrossProd-calcLOB2Clinician5Disc2Emp1MissVisits</f>
        <v>24.0625</v>
      </c>
      <c r="F1444" s="453">
        <f>calcLOB2Clinician5Disc2Emp1GrossProd-calcLOB2Clinician5Disc2Emp1MissVisits</f>
        <v>24.0625</v>
      </c>
      <c r="G1444" s="453">
        <f>calcLOB2Clinician5Disc2Emp1GrossProd-calcLOB2Clinician5Disc2Emp1MissVisits</f>
        <v>24.0625</v>
      </c>
      <c r="H1444" s="131" t="s">
        <v>2398</v>
      </c>
      <c r="J1444" s="131" t="s">
        <v>554</v>
      </c>
      <c r="K1444" s="453">
        <f>calcR2LOB2Clinician5Disc2Emp1GrossProd-calcR2LOB2Clinician5Disc2Emp1MissVisits</f>
        <v>24.0625</v>
      </c>
      <c r="L1444" s="453">
        <f>calcR2LOB2Clinician5Disc2Emp1GrossProd-calcR2LOB2Clinician5Disc2Emp1MissVisits</f>
        <v>24.0625</v>
      </c>
      <c r="M1444" s="453">
        <f>calcR2LOB2Clinician5Disc2Emp1GrossProd-calcR2LOB2Clinician5Disc2Emp1MissVisits</f>
        <v>24.0625</v>
      </c>
      <c r="N1444" s="131" t="s">
        <v>6940</v>
      </c>
    </row>
    <row r="1445" spans="1:14" ht="12.75" customHeight="1">
      <c r="A1445" s="478"/>
      <c r="B1445" s="459"/>
      <c r="C1445" s="170">
        <v>6</v>
      </c>
      <c r="D1445" s="131" t="s">
        <v>554</v>
      </c>
      <c r="E1445" s="453">
        <f>calcLOB2Clinician6Disc2Emp1GrossProd-calcLOB2Clinician6Disc2Emp1MissVisits</f>
        <v>22.75</v>
      </c>
      <c r="F1445" s="453">
        <f>calcLOB2Clinician6Disc2Emp1GrossProd-calcLOB2Clinician6Disc2Emp1MissVisits</f>
        <v>22.75</v>
      </c>
      <c r="G1445" s="453">
        <f>calcLOB2Clinician6Disc2Emp1GrossProd-calcLOB2Clinician6Disc2Emp1MissVisits</f>
        <v>22.75</v>
      </c>
      <c r="H1445" s="131" t="s">
        <v>2399</v>
      </c>
      <c r="J1445" s="131" t="s">
        <v>554</v>
      </c>
      <c r="K1445" s="453">
        <f>calcR2LOB2Clinician6Disc2Emp1GrossProd-calcR2LOB2Clinician6Disc2Emp1MissVisits</f>
        <v>22.75</v>
      </c>
      <c r="L1445" s="453">
        <f>calcR2LOB2Clinician6Disc2Emp1GrossProd-calcR2LOB2Clinician6Disc2Emp1MissVisits</f>
        <v>22.75</v>
      </c>
      <c r="M1445" s="453">
        <f>calcR2LOB2Clinician6Disc2Emp1GrossProd-calcR2LOB2Clinician6Disc2Emp1MissVisits</f>
        <v>22.75</v>
      </c>
      <c r="N1445" s="131" t="s">
        <v>6941</v>
      </c>
    </row>
    <row r="1446" spans="1:14" ht="12.75" customHeight="1">
      <c r="A1446" s="478"/>
      <c r="B1446" s="459"/>
      <c r="C1446" s="170">
        <v>7</v>
      </c>
      <c r="D1446" s="131" t="s">
        <v>554</v>
      </c>
      <c r="E1446" s="453">
        <f>calcLOB2Clinician7Disc2Emp1GrossProd-calcLOB2Clinician7Disc2Emp1MissVisits</f>
        <v>0</v>
      </c>
      <c r="F1446" s="453">
        <f>calcLOB2Clinician7Disc2Emp1GrossProd-calcLOB2Clinician7Disc2Emp1MissVisits</f>
        <v>0</v>
      </c>
      <c r="G1446" s="453">
        <f>calcLOB2Clinician7Disc2Emp1GrossProd-calcLOB2Clinician7Disc2Emp1MissVisits</f>
        <v>0</v>
      </c>
      <c r="H1446" s="131" t="s">
        <v>2400</v>
      </c>
      <c r="J1446" s="131" t="s">
        <v>554</v>
      </c>
      <c r="K1446" s="453">
        <f>calcR2LOB2Clinician7Disc2Emp1GrossProd-calcR2LOB2Clinician7Disc2Emp1MissVisits</f>
        <v>0</v>
      </c>
      <c r="L1446" s="453">
        <f>calcR2LOB2Clinician7Disc2Emp1GrossProd-calcR2LOB2Clinician7Disc2Emp1MissVisits</f>
        <v>0</v>
      </c>
      <c r="M1446" s="453">
        <f>calcR2LOB2Clinician7Disc2Emp1GrossProd-calcR2LOB2Clinician7Disc2Emp1MissVisits</f>
        <v>0</v>
      </c>
      <c r="N1446" s="131" t="s">
        <v>6942</v>
      </c>
    </row>
    <row r="1447" spans="1:14" ht="12.75" customHeight="1">
      <c r="A1447" s="478"/>
      <c r="B1447" s="459"/>
      <c r="C1447" s="170">
        <v>8</v>
      </c>
      <c r="D1447" s="131" t="s">
        <v>554</v>
      </c>
      <c r="E1447" s="453">
        <f>calcLOB2Clinician8Disc2Emp1GrossProd-calcLOB2Clinician8Disc2Emp1MissVisits</f>
        <v>0</v>
      </c>
      <c r="F1447" s="453">
        <f>calcLOB2Clinician8Disc2Emp1GrossProd-calcLOB2Clinician8Disc2Emp1MissVisits</f>
        <v>0</v>
      </c>
      <c r="G1447" s="453">
        <f>calcLOB2Clinician8Disc2Emp1GrossProd-calcLOB2Clinician8Disc2Emp1MissVisits</f>
        <v>0</v>
      </c>
      <c r="H1447" s="131" t="s">
        <v>2401</v>
      </c>
      <c r="J1447" s="131" t="s">
        <v>554</v>
      </c>
      <c r="K1447" s="453">
        <f>calcR2LOB2Clinician8Disc2Emp1GrossProd-calcR2LOB2Clinician8Disc2Emp1MissVisits</f>
        <v>0</v>
      </c>
      <c r="L1447" s="453">
        <f>calcR2LOB2Clinician8Disc2Emp1GrossProd-calcR2LOB2Clinician8Disc2Emp1MissVisits</f>
        <v>0</v>
      </c>
      <c r="M1447" s="453">
        <f>calcR2LOB2Clinician8Disc2Emp1GrossProd-calcR2LOB2Clinician8Disc2Emp1MissVisits</f>
        <v>0</v>
      </c>
      <c r="N1447" s="131" t="s">
        <v>6943</v>
      </c>
    </row>
    <row r="1448" spans="1:14" ht="12.75" customHeight="1">
      <c r="A1448" s="478"/>
      <c r="B1448" s="459"/>
      <c r="C1448" s="170">
        <v>9</v>
      </c>
      <c r="D1448" s="131" t="s">
        <v>554</v>
      </c>
      <c r="E1448" s="453">
        <f>calcLOB2Clinician9Disc2Emp1GrossProd-calcLOB2Clinician9Disc2Emp1MissVisits</f>
        <v>0</v>
      </c>
      <c r="F1448" s="453">
        <f>calcLOB2Clinician9Disc2Emp1GrossProd-calcLOB2Clinician9Disc2Emp1MissVisits</f>
        <v>0</v>
      </c>
      <c r="G1448" s="453">
        <f>calcLOB2Clinician9Disc2Emp1GrossProd-calcLOB2Clinician9Disc2Emp1MissVisits</f>
        <v>0</v>
      </c>
      <c r="H1448" s="131" t="s">
        <v>2402</v>
      </c>
      <c r="J1448" s="131" t="s">
        <v>554</v>
      </c>
      <c r="K1448" s="453">
        <f>calcR2LOB2Clinician9Disc2Emp1GrossProd-calcR2LOB2Clinician9Disc2Emp1MissVisits</f>
        <v>0</v>
      </c>
      <c r="L1448" s="453">
        <f>calcR2LOB2Clinician9Disc2Emp1GrossProd-calcR2LOB2Clinician9Disc2Emp1MissVisits</f>
        <v>0</v>
      </c>
      <c r="M1448" s="453">
        <f>calcR2LOB2Clinician9Disc2Emp1GrossProd-calcR2LOB2Clinician9Disc2Emp1MissVisits</f>
        <v>0</v>
      </c>
      <c r="N1448" s="131" t="s">
        <v>6944</v>
      </c>
    </row>
    <row r="1449" spans="1:14" ht="12.75" customHeight="1">
      <c r="A1449" s="478"/>
      <c r="B1449" s="459"/>
      <c r="C1449" s="170">
        <v>10</v>
      </c>
      <c r="D1449" s="131" t="s">
        <v>554</v>
      </c>
      <c r="E1449" s="453">
        <f>calcLOB2Clinician10Disc2Emp1GrossProd-calcLOB2Clinician10Disc2Emp1MissVisits</f>
        <v>0</v>
      </c>
      <c r="F1449" s="453">
        <f>calcLOB2Clinician10Disc2Emp1GrossProd-calcLOB2Clinician10Disc2Emp1MissVisits</f>
        <v>0</v>
      </c>
      <c r="G1449" s="453">
        <f>calcLOB2Clinician10Disc2Emp1GrossProd-calcLOB2Clinician10Disc2Emp1MissVisits</f>
        <v>0</v>
      </c>
      <c r="H1449" s="131" t="s">
        <v>2403</v>
      </c>
      <c r="J1449" s="131" t="s">
        <v>554</v>
      </c>
      <c r="K1449" s="453">
        <f>calcR2LOB2Clinician10Disc2Emp1GrossProd-calcR2LOB2Clinician10Disc2Emp1MissVisits</f>
        <v>0</v>
      </c>
      <c r="L1449" s="453">
        <f>calcR2LOB2Clinician10Disc2Emp1GrossProd-calcR2LOB2Clinician10Disc2Emp1MissVisits</f>
        <v>0</v>
      </c>
      <c r="M1449" s="453">
        <f>calcR2LOB2Clinician10Disc2Emp1GrossProd-calcR2LOB2Clinician10Disc2Emp1MissVisits</f>
        <v>0</v>
      </c>
      <c r="N1449" s="131" t="s">
        <v>6945</v>
      </c>
    </row>
    <row r="1450" spans="1:14" ht="12.75" customHeight="1">
      <c r="A1450" s="478"/>
      <c r="B1450" s="459"/>
      <c r="C1450" s="170">
        <v>11</v>
      </c>
      <c r="D1450" s="131" t="s">
        <v>554</v>
      </c>
      <c r="E1450" s="453">
        <f>calcLOB2Clinician11Disc2Emp1GrossProd-calcLOB2Clinician11Disc2Emp1MissVisits</f>
        <v>0</v>
      </c>
      <c r="F1450" s="453">
        <f>calcLOB2Clinician11Disc2Emp1GrossProd-calcLOB2Clinician11Disc2Emp1MissVisits</f>
        <v>0</v>
      </c>
      <c r="G1450" s="453">
        <f>calcLOB2Clinician11Disc2Emp1GrossProd-calcLOB2Clinician11Disc2Emp1MissVisits</f>
        <v>0</v>
      </c>
      <c r="H1450" s="131" t="s">
        <v>2404</v>
      </c>
      <c r="J1450" s="131" t="s">
        <v>554</v>
      </c>
      <c r="K1450" s="453">
        <f>calcR2LOB2Clinician11Disc2Emp1GrossProd-calcR2LOB2Clinician11Disc2Emp1MissVisits</f>
        <v>0</v>
      </c>
      <c r="L1450" s="453">
        <f>calcR2LOB2Clinician11Disc2Emp1GrossProd-calcR2LOB2Clinician11Disc2Emp1MissVisits</f>
        <v>0</v>
      </c>
      <c r="M1450" s="453">
        <f>calcR2LOB2Clinician11Disc2Emp1GrossProd-calcR2LOB2Clinician11Disc2Emp1MissVisits</f>
        <v>0</v>
      </c>
      <c r="N1450" s="131" t="s">
        <v>6946</v>
      </c>
    </row>
    <row r="1451" spans="1:14" ht="12.75" customHeight="1">
      <c r="A1451" s="478"/>
      <c r="B1451" s="459"/>
      <c r="C1451" s="170">
        <v>12</v>
      </c>
      <c r="D1451" s="131" t="s">
        <v>554</v>
      </c>
      <c r="E1451" s="453">
        <f>calcLOB2Clinician12Disc2Emp1GrossProd-calcLOB2Clinician12Disc2Emp1MissVisits</f>
        <v>0</v>
      </c>
      <c r="F1451" s="453">
        <f>calcLOB2Clinician12Disc2Emp1GrossProd-calcLOB2Clinician12Disc2Emp1MissVisits</f>
        <v>0</v>
      </c>
      <c r="G1451" s="453">
        <f>calcLOB2Clinician12Disc2Emp1GrossProd-calcLOB2Clinician12Disc2Emp1MissVisits</f>
        <v>0</v>
      </c>
      <c r="H1451" s="131" t="s">
        <v>2405</v>
      </c>
      <c r="J1451" s="131" t="s">
        <v>554</v>
      </c>
      <c r="K1451" s="453">
        <f>calcR2LOB2Clinician12Disc2Emp1GrossProd-calcR2LOB2Clinician12Disc2Emp1MissVisits</f>
        <v>0</v>
      </c>
      <c r="L1451" s="453">
        <f>calcR2LOB2Clinician12Disc2Emp1GrossProd-calcR2LOB2Clinician12Disc2Emp1MissVisits</f>
        <v>0</v>
      </c>
      <c r="M1451" s="453">
        <f>calcR2LOB2Clinician12Disc2Emp1GrossProd-calcR2LOB2Clinician12Disc2Emp1MissVisits</f>
        <v>0</v>
      </c>
      <c r="N1451" s="131" t="s">
        <v>6947</v>
      </c>
    </row>
    <row r="1452" spans="1:14" ht="12.75" customHeight="1">
      <c r="A1452" s="478"/>
      <c r="B1452" s="459"/>
      <c r="D1452" s="131" t="s">
        <v>554</v>
      </c>
      <c r="E1452" s="453">
        <f>calcLOB2Clinician14Disc2Emp1GrossProd-calcLOB2Clinician14Disc2Emp1MissVisits</f>
        <v>161.02499999999998</v>
      </c>
      <c r="F1452" s="453">
        <f>calcLOB2Clinician14Disc2Emp1GrossProd-calcLOB2Clinician14Disc2Emp1MissVisits</f>
        <v>93.75</v>
      </c>
      <c r="G1452" s="453">
        <f>calcLOB2Clinician14Disc2Emp1GrossProd-calcLOB2Clinician14Disc2Emp1MissVisits</f>
        <v>187.5</v>
      </c>
      <c r="H1452" s="131" t="s">
        <v>4112</v>
      </c>
      <c r="J1452" s="131" t="s">
        <v>554</v>
      </c>
      <c r="K1452" s="453">
        <f>calcR2LOB2Clinician14Disc2Emp1GrossProd-calcR2LOB2Clinician14Disc2Emp1MissVisits</f>
        <v>152.34662939063128</v>
      </c>
      <c r="L1452" s="453">
        <f>calcR2LOB2Clinician14Disc2Emp1GrossProd-calcR2LOB2Clinician14Disc2Emp1MissVisits</f>
        <v>93.75</v>
      </c>
      <c r="M1452" s="453">
        <f>calcR2LOB2Clinician14Disc2Emp1GrossProd-calcR2LOB2Clinician14Disc2Emp1MissVisits</f>
        <v>187.5</v>
      </c>
      <c r="N1452" s="131" t="s">
        <v>6948</v>
      </c>
    </row>
    <row r="1453" spans="1:14" ht="1.5" customHeight="1">
      <c r="A1453" s="478"/>
      <c r="B1453" s="459"/>
      <c r="D1453" s="449"/>
      <c r="E1453" s="450"/>
      <c r="F1453" s="450"/>
      <c r="G1453" s="450"/>
      <c r="H1453" s="131"/>
      <c r="J1453" s="449"/>
      <c r="K1453" s="450"/>
      <c r="L1453" s="450"/>
      <c r="M1453" s="450"/>
      <c r="N1453" s="131"/>
    </row>
    <row r="1454" spans="1:14" ht="12.75" customHeight="1">
      <c r="A1454" s="478"/>
      <c r="B1454" s="459"/>
      <c r="D1454" s="131" t="s">
        <v>2632</v>
      </c>
      <c r="E1454" s="448">
        <f>SUM(E1427:E1453)</f>
        <v>398.20801418439714</v>
      </c>
      <c r="F1454" s="448">
        <f t="shared" ref="F1454:G1454" si="196">SUM(F1427:F1453)</f>
        <v>311.96551418439719</v>
      </c>
      <c r="G1454" s="448">
        <f t="shared" si="196"/>
        <v>499.46551418439719</v>
      </c>
      <c r="H1454" s="131" t="s">
        <v>2725</v>
      </c>
      <c r="J1454" s="131" t="s">
        <v>2632</v>
      </c>
      <c r="K1454" s="448">
        <f>SUM(K1427:K1453)</f>
        <v>383.45478414847031</v>
      </c>
      <c r="L1454" s="448">
        <f t="shared" ref="L1454:M1454" si="197">SUM(L1427:L1453)</f>
        <v>311.96551418439719</v>
      </c>
      <c r="M1454" s="448">
        <f t="shared" si="197"/>
        <v>499.46551418439719</v>
      </c>
      <c r="N1454" s="131" t="s">
        <v>6949</v>
      </c>
    </row>
    <row r="1455" spans="1:14" ht="12.75" customHeight="1">
      <c r="A1455" s="478"/>
      <c r="B1455" s="459"/>
      <c r="D1455" s="131" t="s">
        <v>5051</v>
      </c>
      <c r="E1455" s="451">
        <f>1-calcLOB2Clinician6Disc2Emp1NetProd/calcLOB2Emp1NetProduction</f>
        <v>0.9428690553940855</v>
      </c>
      <c r="F1455" s="451">
        <f>1-calcLOB2Clinician6Disc2Emp1NetProd/calcLOB2Emp1NetProduction</f>
        <v>0.92707527285675273</v>
      </c>
      <c r="G1455" s="451">
        <f>1-calcLOB2Clinician6Disc2Emp1NetProd/calcLOB2Emp1NetProduction</f>
        <v>0.95445130974227588</v>
      </c>
      <c r="H1455" s="131" t="s">
        <v>5053</v>
      </c>
      <c r="J1455" s="131" t="s">
        <v>5051</v>
      </c>
      <c r="K1455" s="451">
        <f>1-calcR2LOB2Clinician6Disc2Emp1NetProd/calcR2LOB2Emp1NetProduction</f>
        <v>0.940670971023297</v>
      </c>
      <c r="L1455" s="451">
        <f>1-calcR2LOB2Clinician6Disc2Emp1NetProd/calcR2LOB2Emp1NetProduction</f>
        <v>0.92707527285675273</v>
      </c>
      <c r="M1455" s="451">
        <f>1-calcR2LOB2Clinician6Disc2Emp1NetProd/calcR2LOB2Emp1NetProduction</f>
        <v>0.95445130974227588</v>
      </c>
      <c r="N1455" s="131" t="s">
        <v>6950</v>
      </c>
    </row>
    <row r="1456" spans="1:14" ht="12.75" customHeight="1">
      <c r="A1456" s="478"/>
      <c r="B1456" s="449"/>
      <c r="D1456" s="131" t="str">
        <f>"Total "&amp; nmDisc1&amp; " Visits"</f>
        <v>Total RN Visits</v>
      </c>
      <c r="E1456" s="448">
        <f>SUM(E1427:E1438)</f>
        <v>77.653014184397165</v>
      </c>
      <c r="F1456" s="448">
        <f t="shared" ref="F1456:G1456" si="198">SUM(F1427:F1438)</f>
        <v>77.653014184397165</v>
      </c>
      <c r="G1456" s="448">
        <f t="shared" si="198"/>
        <v>77.653014184397165</v>
      </c>
      <c r="H1456" s="131" t="s">
        <v>4918</v>
      </c>
      <c r="J1456" s="131" t="str">
        <f>"Total "&amp; nmDisc1&amp; " Visits"</f>
        <v>Total RN Visits</v>
      </c>
      <c r="K1456" s="448">
        <f>SUM(K1427:K1438)</f>
        <v>77.653014184397165</v>
      </c>
      <c r="L1456" s="448">
        <f t="shared" ref="L1456:M1456" si="199">SUM(L1427:L1438)</f>
        <v>77.653014184397165</v>
      </c>
      <c r="M1456" s="448">
        <f t="shared" si="199"/>
        <v>77.653014184397165</v>
      </c>
      <c r="N1456" s="131" t="s">
        <v>6951</v>
      </c>
    </row>
    <row r="1457" spans="1:14" ht="12.75" customHeight="1">
      <c r="A1457" s="478"/>
      <c r="B1457" s="449"/>
      <c r="D1457" s="131" t="str">
        <f>"Total "&amp; nmDisc2 &amp; " Visits"</f>
        <v>Total LPN Visits</v>
      </c>
      <c r="E1457" s="448">
        <f>SUM(E1440:E1451)</f>
        <v>46.8125</v>
      </c>
      <c r="F1457" s="448">
        <f t="shared" ref="F1457:G1457" si="200">SUM(F1440:F1451)</f>
        <v>46.8125</v>
      </c>
      <c r="G1457" s="448">
        <f t="shared" si="200"/>
        <v>46.8125</v>
      </c>
      <c r="H1457" s="131" t="s">
        <v>4919</v>
      </c>
      <c r="J1457" s="131" t="str">
        <f>"Total "&amp; nmDisc2 &amp; " Visits"</f>
        <v>Total LPN Visits</v>
      </c>
      <c r="K1457" s="448">
        <f>SUM(K1440:K1451)</f>
        <v>46.8125</v>
      </c>
      <c r="L1457" s="448">
        <f t="shared" ref="L1457:M1457" si="201">SUM(L1440:L1451)</f>
        <v>46.8125</v>
      </c>
      <c r="M1457" s="448">
        <f t="shared" si="201"/>
        <v>46.8125</v>
      </c>
      <c r="N1457" s="131" t="s">
        <v>6952</v>
      </c>
    </row>
    <row r="1458" spans="1:14" ht="12.75" customHeight="1">
      <c r="A1458" s="478"/>
      <c r="B1458" s="449"/>
      <c r="D1458" s="131" t="str">
        <f>"Total "&amp; nmDisc1&amp; " Visits"</f>
        <v>Total RN Visits</v>
      </c>
      <c r="E1458" s="480">
        <f>calcLOB2Disc1TotalVisits/(calcLOB2Emp1NetProduction-calcLOB2Clinician13Disc1Emp1NetProd-calcLOB2Clinician14Disc2Emp1NetProd)</f>
        <v>0.62389180403298916</v>
      </c>
      <c r="F1458" s="480">
        <f>calcLOB2Disc1TotalVisits/(calcLOB2Emp1NetProduction-calcLOB2Clinician13Disc1Emp1NetProd-calcLOB2Clinician14Disc2Emp1NetProd)</f>
        <v>0.62389180403298916</v>
      </c>
      <c r="G1458" s="480">
        <f>calcLOB2Disc1TotalVisits/(calcLOB2Emp1NetProduction-calcLOB2Clinician13Disc1Emp1NetProd-calcLOB2Clinician14Disc2Emp1NetProd)</f>
        <v>0.62389180403298916</v>
      </c>
      <c r="H1458" s="131" t="s">
        <v>4920</v>
      </c>
      <c r="J1458" s="131" t="str">
        <f>"Total "&amp; nmDisc1&amp; " Visits"</f>
        <v>Total RN Visits</v>
      </c>
      <c r="K1458" s="480">
        <f>calcR2LOB2Disc1TotalVisits/(calcR2LOB2Emp1NetProduction-calcR2LOB2Clinician13Disc1Emp1NetProd-calcR2LOB2Clinician14Disc2Emp1NetProd)</f>
        <v>0.62389180403298938</v>
      </c>
      <c r="L1458" s="480">
        <f>calcR2LOB2Disc1TotalVisits/(calcR2LOB2Emp1NetProduction-calcR2LOB2Clinician13Disc1Emp1NetProd-calcR2LOB2Clinician14Disc2Emp1NetProd)</f>
        <v>0.62389180403298916</v>
      </c>
      <c r="M1458" s="480">
        <f>calcR2LOB2Disc1TotalVisits/(calcR2LOB2Emp1NetProduction-calcR2LOB2Clinician13Disc1Emp1NetProd-calcR2LOB2Clinician14Disc2Emp1NetProd)</f>
        <v>0.62389180403298916</v>
      </c>
      <c r="N1458" s="131" t="s">
        <v>6953</v>
      </c>
    </row>
    <row r="1459" spans="1:14" ht="12.75" customHeight="1">
      <c r="A1459" s="478"/>
      <c r="B1459" s="449"/>
      <c r="D1459" s="131" t="str">
        <f>"Total "&amp; nmDisc2 &amp; " Visits"</f>
        <v>Total LPN Visits</v>
      </c>
      <c r="E1459" s="480">
        <f>calcLOB2Disc2TotalVisits/(calcLOB2Emp1NetProduction-calcLOB2Clinician13Disc1Emp1NetProd-calcLOB2Clinician14Disc2Emp1NetProd)</f>
        <v>0.37610819596701062</v>
      </c>
      <c r="F1459" s="480">
        <f>calcLOB2Disc2TotalVisits/(calcLOB2Emp1NetProduction-calcLOB2Clinician13Disc1Emp1NetProd-calcLOB2Clinician14Disc2Emp1NetProd)</f>
        <v>0.37610819596701062</v>
      </c>
      <c r="G1459" s="480">
        <f>calcLOB2Disc2TotalVisits/(calcLOB2Emp1NetProduction-calcLOB2Clinician13Disc1Emp1NetProd-calcLOB2Clinician14Disc2Emp1NetProd)</f>
        <v>0.37610819596701062</v>
      </c>
      <c r="H1459" s="131" t="s">
        <v>4921</v>
      </c>
      <c r="J1459" s="131" t="str">
        <f>"Total "&amp; nmDisc2 &amp; " Visits"</f>
        <v>Total LPN Visits</v>
      </c>
      <c r="K1459" s="480">
        <f>calcR2LOB2Disc2TotalVisits/(calcR2LOB2Emp1NetProduction-calcR2LOB2Clinician13Disc1Emp1NetProd-calcR2LOB2Clinician14Disc2Emp1NetProd)</f>
        <v>0.37610819596701078</v>
      </c>
      <c r="L1459" s="480">
        <f>calcR2LOB2Disc2TotalVisits/(calcR2LOB2Emp1NetProduction-calcR2LOB2Clinician13Disc1Emp1NetProd-calcR2LOB2Clinician14Disc2Emp1NetProd)</f>
        <v>0.37610819596701062</v>
      </c>
      <c r="M1459" s="480">
        <f>calcR2LOB2Disc2TotalVisits/(calcR2LOB2Emp1NetProduction-calcR2LOB2Clinician13Disc1Emp1NetProd-calcR2LOB2Clinician14Disc2Emp1NetProd)</f>
        <v>0.37610819596701062</v>
      </c>
      <c r="N1459" s="131" t="s">
        <v>6954</v>
      </c>
    </row>
    <row r="1460" spans="1:14" ht="12.75" customHeight="1">
      <c r="A1460" s="478"/>
      <c r="B1460" s="449"/>
      <c r="D1460" s="131" t="s">
        <v>5061</v>
      </c>
      <c r="E1460" s="480">
        <f>MAX(0,45%-calcLOB2Disc2TotalVisitsPerc)</f>
        <v>7.3891804032989394E-2</v>
      </c>
      <c r="F1460" s="480">
        <f>MAX(0,45%-calcLOB2Disc2TotalVisitsPerc)</f>
        <v>7.3891804032989394E-2</v>
      </c>
      <c r="G1460" s="480">
        <f>MAX(0,45%-calcLOB2Disc2TotalVisitsPerc)</f>
        <v>7.3891804032989394E-2</v>
      </c>
      <c r="H1460" s="131" t="s">
        <v>5063</v>
      </c>
      <c r="J1460" s="131" t="s">
        <v>5061</v>
      </c>
      <c r="K1460" s="480">
        <f>MAX(0,45%-calcR2LOB2Disc2TotalVisitsPerc)</f>
        <v>7.3891804032989228E-2</v>
      </c>
      <c r="L1460" s="480">
        <f>MAX(0,45%-calcR2LOB2Disc2TotalVisitsPerc)</f>
        <v>7.3891804032989394E-2</v>
      </c>
      <c r="M1460" s="480">
        <f>MAX(0,45%-calcR2LOB2Disc2TotalVisitsPerc)</f>
        <v>7.3891804032989394E-2</v>
      </c>
      <c r="N1460" s="131" t="s">
        <v>6955</v>
      </c>
    </row>
    <row r="1461" spans="1:14" ht="12.75" customHeight="1">
      <c r="A1461" s="478"/>
      <c r="B1461" s="459"/>
      <c r="C1461" s="131" t="s">
        <v>1618</v>
      </c>
    </row>
    <row r="1462" spans="1:14" ht="12.75" customHeight="1">
      <c r="A1462" s="478"/>
      <c r="B1462" s="459"/>
      <c r="C1462" s="170">
        <v>1</v>
      </c>
      <c r="D1462" s="131" t="s">
        <v>550</v>
      </c>
      <c r="E1462" s="453">
        <f>MAX(0,calcLOB2Clinician1Disc1Emp1GrossProd-30)</f>
        <v>0</v>
      </c>
      <c r="F1462" s="453">
        <f>MAX(0,calcLOB2Clinician1Disc1Emp1GrossProd-30)</f>
        <v>0</v>
      </c>
      <c r="G1462" s="453">
        <f>MAX(0,calcLOB2Clinician1Disc1Emp1GrossProd-30)</f>
        <v>0</v>
      </c>
      <c r="H1462" s="131" t="s">
        <v>2406</v>
      </c>
      <c r="J1462" s="131" t="s">
        <v>550</v>
      </c>
      <c r="K1462" s="453">
        <f>MAX(0,calcR2LOB2Clinician1Disc1Emp1GrossProd-30)</f>
        <v>0</v>
      </c>
      <c r="L1462" s="453">
        <f>MAX(0,calcR2LOB2Clinician1Disc1Emp1GrossProd-30)</f>
        <v>0</v>
      </c>
      <c r="M1462" s="453">
        <f>MAX(0,calcR2LOB2Clinician1Disc1Emp1GrossProd-30)</f>
        <v>0</v>
      </c>
      <c r="N1462" s="131" t="s">
        <v>6956</v>
      </c>
    </row>
    <row r="1463" spans="1:14" ht="12.75" customHeight="1">
      <c r="A1463" s="478"/>
      <c r="B1463" s="459"/>
      <c r="C1463" s="170">
        <v>2</v>
      </c>
      <c r="D1463" s="131" t="s">
        <v>550</v>
      </c>
      <c r="E1463" s="453">
        <f>MAX(0,calcLOB2Clinician2Disc1Emp1GrossProd-30)</f>
        <v>0</v>
      </c>
      <c r="F1463" s="453">
        <f>MAX(0,calcLOB2Clinician2Disc1Emp1GrossProd-30)</f>
        <v>0</v>
      </c>
      <c r="G1463" s="453">
        <f>MAX(0,calcLOB2Clinician2Disc1Emp1GrossProd-30)</f>
        <v>0</v>
      </c>
      <c r="H1463" s="131" t="s">
        <v>2407</v>
      </c>
      <c r="J1463" s="131" t="s">
        <v>550</v>
      </c>
      <c r="K1463" s="453">
        <f>MAX(0,calcR2LOB2Clinician2Disc1Emp1GrossProd-30)</f>
        <v>0</v>
      </c>
      <c r="L1463" s="453">
        <f>MAX(0,calcR2LOB2Clinician2Disc1Emp1GrossProd-30)</f>
        <v>0</v>
      </c>
      <c r="M1463" s="453">
        <f>MAX(0,calcR2LOB2Clinician2Disc1Emp1GrossProd-30)</f>
        <v>0</v>
      </c>
      <c r="N1463" s="131" t="s">
        <v>6957</v>
      </c>
    </row>
    <row r="1464" spans="1:14" ht="12.75" customHeight="1">
      <c r="A1464" s="478"/>
      <c r="B1464" s="459"/>
      <c r="C1464" s="170">
        <v>3</v>
      </c>
      <c r="D1464" s="131" t="s">
        <v>550</v>
      </c>
      <c r="E1464" s="724">
        <f>MAX(0,calcLOB2Clinician3Disc1Emp1GrossProd-20)</f>
        <v>0</v>
      </c>
      <c r="F1464" s="724">
        <f>MAX(0,calcLOB2Clinician3Disc1Emp1GrossProd-20)</f>
        <v>0</v>
      </c>
      <c r="G1464" s="724">
        <f>MAX(0,calcLOB2Clinician3Disc1Emp1GrossProd-20)</f>
        <v>0</v>
      </c>
      <c r="H1464" s="131" t="s">
        <v>2408</v>
      </c>
      <c r="J1464" s="131" t="s">
        <v>550</v>
      </c>
      <c r="K1464" s="724">
        <f>MAX(0,calcR2LOB2Clinician3Disc1Emp1GrossProd-20)</f>
        <v>0</v>
      </c>
      <c r="L1464" s="724">
        <f>MAX(0,calcR2LOB2Clinician3Disc1Emp1GrossProd-20)</f>
        <v>0</v>
      </c>
      <c r="M1464" s="724">
        <f>MAX(0,calcR2LOB2Clinician3Disc1Emp1GrossProd-20)</f>
        <v>0</v>
      </c>
      <c r="N1464" s="131" t="s">
        <v>6958</v>
      </c>
    </row>
    <row r="1465" spans="1:14" ht="12.75" customHeight="1">
      <c r="A1465" s="478"/>
      <c r="B1465" s="459"/>
      <c r="C1465" s="170">
        <v>4</v>
      </c>
      <c r="D1465" s="131" t="s">
        <v>550</v>
      </c>
      <c r="E1465" s="724">
        <f>MAX(0,calcLOB2Clinician4Disc1Emp1GrossProd-20)</f>
        <v>0</v>
      </c>
      <c r="F1465" s="724">
        <f>MAX(0,calcLOB2Clinician4Disc1Emp1GrossProd-20)</f>
        <v>0</v>
      </c>
      <c r="G1465" s="724">
        <f>MAX(0,calcLOB2Clinician4Disc1Emp1GrossProd-20)</f>
        <v>0</v>
      </c>
      <c r="H1465" s="131" t="s">
        <v>2409</v>
      </c>
      <c r="J1465" s="131" t="s">
        <v>550</v>
      </c>
      <c r="K1465" s="724">
        <f>MAX(0,calcR2LOB2Clinician4Disc1Emp1GrossProd-20)</f>
        <v>0</v>
      </c>
      <c r="L1465" s="724">
        <f>MAX(0,calcR2LOB2Clinician4Disc1Emp1GrossProd-20)</f>
        <v>0</v>
      </c>
      <c r="M1465" s="724">
        <f>MAX(0,calcR2LOB2Clinician4Disc1Emp1GrossProd-20)</f>
        <v>0</v>
      </c>
      <c r="N1465" s="131" t="s">
        <v>6959</v>
      </c>
    </row>
    <row r="1466" spans="1:14" ht="12.75" customHeight="1">
      <c r="A1466" s="478"/>
      <c r="B1466" s="459"/>
      <c r="C1466" s="170">
        <v>5</v>
      </c>
      <c r="D1466" s="131" t="s">
        <v>550</v>
      </c>
      <c r="E1466" s="453">
        <f>MAX(0,calcLOB2Clinician5Disc1Emp1GrossProd-30)</f>
        <v>0</v>
      </c>
      <c r="F1466" s="453">
        <f>MAX(0,calcLOB2Clinician5Disc1Emp1GrossProd-30)</f>
        <v>0</v>
      </c>
      <c r="G1466" s="453">
        <f>MAX(0,calcLOB2Clinician5Disc1Emp1GrossProd-30)</f>
        <v>0</v>
      </c>
      <c r="H1466" s="131" t="s">
        <v>2410</v>
      </c>
      <c r="J1466" s="131" t="s">
        <v>550</v>
      </c>
      <c r="K1466" s="453">
        <f>MAX(0,calcR2LOB2Clinician5Disc1Emp1GrossProd-30)</f>
        <v>0</v>
      </c>
      <c r="L1466" s="453">
        <f>MAX(0,calcR2LOB2Clinician5Disc1Emp1GrossProd-30)</f>
        <v>0</v>
      </c>
      <c r="M1466" s="453">
        <f>MAX(0,calcR2LOB2Clinician5Disc1Emp1GrossProd-30)</f>
        <v>0</v>
      </c>
      <c r="N1466" s="131" t="s">
        <v>6960</v>
      </c>
    </row>
    <row r="1467" spans="1:14" ht="12.75" customHeight="1">
      <c r="A1467" s="478"/>
      <c r="B1467" s="459"/>
      <c r="C1467" s="170">
        <v>6</v>
      </c>
      <c r="D1467" s="131" t="s">
        <v>550</v>
      </c>
      <c r="E1467" s="453">
        <f>MAX(0,calcLOB2Clinician6Disc1Emp1GrossProd-30)</f>
        <v>0</v>
      </c>
      <c r="F1467" s="453">
        <f>MAX(0,calcLOB2Clinician6Disc1Emp1GrossProd-30)</f>
        <v>0</v>
      </c>
      <c r="G1467" s="453">
        <f>MAX(0,calcLOB2Clinician6Disc1Emp1GrossProd-30)</f>
        <v>0</v>
      </c>
      <c r="H1467" s="131" t="s">
        <v>2411</v>
      </c>
      <c r="J1467" s="131" t="s">
        <v>550</v>
      </c>
      <c r="K1467" s="453">
        <f>MAX(0,calcR2LOB2Clinician6Disc1Emp1GrossProd-30)</f>
        <v>0</v>
      </c>
      <c r="L1467" s="453">
        <f>MAX(0,calcR2LOB2Clinician6Disc1Emp1GrossProd-30)</f>
        <v>0</v>
      </c>
      <c r="M1467" s="453">
        <f>MAX(0,calcR2LOB2Clinician6Disc1Emp1GrossProd-30)</f>
        <v>0</v>
      </c>
      <c r="N1467" s="131" t="s">
        <v>6961</v>
      </c>
    </row>
    <row r="1468" spans="1:14" ht="12.75" customHeight="1">
      <c r="A1468" s="478"/>
      <c r="B1468" s="459"/>
      <c r="C1468" s="170">
        <v>7</v>
      </c>
      <c r="D1468" s="131" t="s">
        <v>550</v>
      </c>
      <c r="E1468" s="453">
        <f>MAX(0,calcLOB2Clinician7Disc1Emp1GrossProd-30)</f>
        <v>0</v>
      </c>
      <c r="F1468" s="453">
        <f>MAX(0,calcLOB2Clinician7Disc1Emp1GrossProd-30)</f>
        <v>0</v>
      </c>
      <c r="G1468" s="453">
        <f>MAX(0,calcLOB2Clinician7Disc1Emp1GrossProd-30)</f>
        <v>0</v>
      </c>
      <c r="H1468" s="131" t="s">
        <v>2412</v>
      </c>
      <c r="J1468" s="131" t="s">
        <v>550</v>
      </c>
      <c r="K1468" s="453">
        <f>MAX(0,calcR2LOB2Clinician7Disc1Emp1GrossProd-30)</f>
        <v>0</v>
      </c>
      <c r="L1468" s="453">
        <f>MAX(0,calcR2LOB2Clinician7Disc1Emp1GrossProd-30)</f>
        <v>0</v>
      </c>
      <c r="M1468" s="453">
        <f>MAX(0,calcR2LOB2Clinician7Disc1Emp1GrossProd-30)</f>
        <v>0</v>
      </c>
      <c r="N1468" s="131" t="s">
        <v>6962</v>
      </c>
    </row>
    <row r="1469" spans="1:14" ht="12.75" customHeight="1">
      <c r="A1469" s="478"/>
      <c r="B1469" s="459"/>
      <c r="C1469" s="170">
        <v>8</v>
      </c>
      <c r="D1469" s="131" t="s">
        <v>550</v>
      </c>
      <c r="E1469" s="453">
        <f>MAX(0,calcLOB2Clinician8Disc1Emp1GrossProd-30)</f>
        <v>0</v>
      </c>
      <c r="F1469" s="453">
        <f>MAX(0,calcLOB2Clinician8Disc1Emp1GrossProd-30)</f>
        <v>0</v>
      </c>
      <c r="G1469" s="453">
        <f>MAX(0,calcLOB2Clinician8Disc1Emp1GrossProd-30)</f>
        <v>0</v>
      </c>
      <c r="H1469" s="131" t="s">
        <v>2413</v>
      </c>
      <c r="J1469" s="131" t="s">
        <v>550</v>
      </c>
      <c r="K1469" s="453">
        <f>MAX(0,calcR2LOB2Clinician8Disc1Emp1GrossProd-30)</f>
        <v>0</v>
      </c>
      <c r="L1469" s="453">
        <f>MAX(0,calcR2LOB2Clinician8Disc1Emp1GrossProd-30)</f>
        <v>0</v>
      </c>
      <c r="M1469" s="453">
        <f>MAX(0,calcR2LOB2Clinician8Disc1Emp1GrossProd-30)</f>
        <v>0</v>
      </c>
      <c r="N1469" s="131" t="s">
        <v>6963</v>
      </c>
    </row>
    <row r="1470" spans="1:14" ht="12.75" customHeight="1">
      <c r="A1470" s="478"/>
      <c r="B1470" s="459"/>
      <c r="C1470" s="170">
        <v>9</v>
      </c>
      <c r="D1470" s="131" t="s">
        <v>550</v>
      </c>
      <c r="E1470" s="453">
        <f>MAX(0,calcLOB2Clinician9Disc1Emp1GrossProd-30)</f>
        <v>0</v>
      </c>
      <c r="F1470" s="453">
        <f>MAX(0,calcLOB2Clinician9Disc1Emp1GrossProd-30)</f>
        <v>0</v>
      </c>
      <c r="G1470" s="453">
        <f>MAX(0,calcLOB2Clinician9Disc1Emp1GrossProd-30)</f>
        <v>0</v>
      </c>
      <c r="H1470" s="131" t="s">
        <v>2414</v>
      </c>
      <c r="J1470" s="131" t="s">
        <v>550</v>
      </c>
      <c r="K1470" s="453">
        <f>MAX(0,calcR2LOB2Clinician9Disc1Emp1GrossProd-30)</f>
        <v>0</v>
      </c>
      <c r="L1470" s="453">
        <f>MAX(0,calcR2LOB2Clinician9Disc1Emp1GrossProd-30)</f>
        <v>0</v>
      </c>
      <c r="M1470" s="453">
        <f>MAX(0,calcR2LOB2Clinician9Disc1Emp1GrossProd-30)</f>
        <v>0</v>
      </c>
      <c r="N1470" s="131" t="s">
        <v>6964</v>
      </c>
    </row>
    <row r="1471" spans="1:14" ht="12.75" customHeight="1">
      <c r="A1471" s="478"/>
      <c r="B1471" s="459"/>
      <c r="C1471" s="170">
        <v>10</v>
      </c>
      <c r="D1471" s="131" t="s">
        <v>550</v>
      </c>
      <c r="E1471" s="453">
        <f>MAX(0,calcLOB2Clinician10Disc1Emp1GrossProd-30)</f>
        <v>0</v>
      </c>
      <c r="F1471" s="453">
        <f>MAX(0,calcLOB2Clinician10Disc1Emp1GrossProd-30)</f>
        <v>0</v>
      </c>
      <c r="G1471" s="453">
        <f>MAX(0,calcLOB2Clinician10Disc1Emp1GrossProd-30)</f>
        <v>0</v>
      </c>
      <c r="H1471" s="131" t="s">
        <v>2415</v>
      </c>
      <c r="J1471" s="131" t="s">
        <v>550</v>
      </c>
      <c r="K1471" s="453">
        <f>MAX(0,calcR2LOB2Clinician10Disc1Emp1GrossProd-30)</f>
        <v>0</v>
      </c>
      <c r="L1471" s="453">
        <f>MAX(0,calcR2LOB2Clinician10Disc1Emp1GrossProd-30)</f>
        <v>0</v>
      </c>
      <c r="M1471" s="453">
        <f>MAX(0,calcR2LOB2Clinician10Disc1Emp1GrossProd-30)</f>
        <v>0</v>
      </c>
      <c r="N1471" s="131" t="s">
        <v>6965</v>
      </c>
    </row>
    <row r="1472" spans="1:14" ht="12.75" customHeight="1">
      <c r="A1472" s="478"/>
      <c r="B1472" s="459"/>
      <c r="C1472" s="170">
        <v>11</v>
      </c>
      <c r="D1472" s="131" t="s">
        <v>550</v>
      </c>
      <c r="E1472" s="453">
        <f>MAX(0,calcLOB2Clinician11Disc1Emp1GrossProd-30)</f>
        <v>0</v>
      </c>
      <c r="F1472" s="453">
        <f>MAX(0,calcLOB2Clinician11Disc1Emp1GrossProd-30)</f>
        <v>0</v>
      </c>
      <c r="G1472" s="453">
        <f>MAX(0,calcLOB2Clinician11Disc1Emp1GrossProd-30)</f>
        <v>0</v>
      </c>
      <c r="H1472" s="131" t="s">
        <v>2416</v>
      </c>
      <c r="J1472" s="131" t="s">
        <v>550</v>
      </c>
      <c r="K1472" s="453">
        <f>MAX(0,calcR2LOB2Clinician11Disc1Emp1GrossProd-30)</f>
        <v>0</v>
      </c>
      <c r="L1472" s="453">
        <f>MAX(0,calcR2LOB2Clinician11Disc1Emp1GrossProd-30)</f>
        <v>0</v>
      </c>
      <c r="M1472" s="453">
        <f>MAX(0,calcR2LOB2Clinician11Disc1Emp1GrossProd-30)</f>
        <v>0</v>
      </c>
      <c r="N1472" s="131" t="s">
        <v>6966</v>
      </c>
    </row>
    <row r="1473" spans="1:14" ht="12.75" customHeight="1">
      <c r="A1473" s="478"/>
      <c r="B1473" s="459"/>
      <c r="C1473" s="170">
        <v>12</v>
      </c>
      <c r="D1473" s="131" t="s">
        <v>550</v>
      </c>
      <c r="E1473" s="453">
        <f>MAX(0,calcLOB2Clinician12Disc1Emp1GrossProd-30)</f>
        <v>0</v>
      </c>
      <c r="F1473" s="453">
        <f>MAX(0,calcLOB2Clinician12Disc1Emp1GrossProd-30)</f>
        <v>0</v>
      </c>
      <c r="G1473" s="453">
        <f>MAX(0,calcLOB2Clinician12Disc1Emp1GrossProd-30)</f>
        <v>0</v>
      </c>
      <c r="H1473" s="131" t="s">
        <v>2417</v>
      </c>
      <c r="J1473" s="131" t="s">
        <v>550</v>
      </c>
      <c r="K1473" s="453">
        <f>MAX(0,calcR2LOB2Clinician12Disc1Emp1GrossProd-30)</f>
        <v>0</v>
      </c>
      <c r="L1473" s="453">
        <f>MAX(0,calcR2LOB2Clinician12Disc1Emp1GrossProd-30)</f>
        <v>0</v>
      </c>
      <c r="M1473" s="453">
        <f>MAX(0,calcR2LOB2Clinician12Disc1Emp1GrossProd-30)</f>
        <v>0</v>
      </c>
      <c r="N1473" s="131" t="s">
        <v>6967</v>
      </c>
    </row>
    <row r="1474" spans="1:14" ht="12.75" customHeight="1">
      <c r="A1474" s="478"/>
      <c r="B1474" s="459"/>
      <c r="C1474" s="170">
        <v>1</v>
      </c>
      <c r="D1474" s="131" t="s">
        <v>554</v>
      </c>
      <c r="E1474" s="453">
        <f>MAX(0,calcLOB2Clinician1Disc2Emp1GrossProd-34)</f>
        <v>0</v>
      </c>
      <c r="F1474" s="453">
        <f>MAX(0,calcLOB2Clinician1Disc2Emp1GrossProd-34)</f>
        <v>0</v>
      </c>
      <c r="G1474" s="453">
        <f>MAX(0,calcLOB2Clinician1Disc2Emp1GrossProd-34)</f>
        <v>0</v>
      </c>
      <c r="H1474" s="131" t="s">
        <v>2418</v>
      </c>
      <c r="J1474" s="131" t="s">
        <v>554</v>
      </c>
      <c r="K1474" s="453">
        <f>MAX(0,calcR2LOB2Clinician1Disc2Emp1GrossProd-34)</f>
        <v>0</v>
      </c>
      <c r="L1474" s="453">
        <f>MAX(0,calcR2LOB2Clinician1Disc2Emp1GrossProd-34)</f>
        <v>0</v>
      </c>
      <c r="M1474" s="453">
        <f>MAX(0,calcR2LOB2Clinician1Disc2Emp1GrossProd-34)</f>
        <v>0</v>
      </c>
      <c r="N1474" s="131" t="s">
        <v>6968</v>
      </c>
    </row>
    <row r="1475" spans="1:14" ht="12.75" customHeight="1">
      <c r="A1475" s="478"/>
      <c r="B1475" s="459"/>
      <c r="C1475" s="170">
        <v>2</v>
      </c>
      <c r="D1475" s="131" t="s">
        <v>554</v>
      </c>
      <c r="E1475" s="453">
        <f>MAX(0,calcLOB2Clinician2Disc2Emp1GrossProd-34)</f>
        <v>0</v>
      </c>
      <c r="F1475" s="453">
        <f>MAX(0,calcLOB2Clinician2Disc2Emp1GrossProd-34)</f>
        <v>0</v>
      </c>
      <c r="G1475" s="453">
        <f>MAX(0,calcLOB2Clinician2Disc2Emp1GrossProd-34)</f>
        <v>0</v>
      </c>
      <c r="H1475" s="131" t="s">
        <v>2419</v>
      </c>
      <c r="J1475" s="131" t="s">
        <v>554</v>
      </c>
      <c r="K1475" s="453">
        <f>MAX(0,calcR2LOB2Clinician2Disc2Emp1GrossProd-34)</f>
        <v>0</v>
      </c>
      <c r="L1475" s="453">
        <f>MAX(0,calcR2LOB2Clinician2Disc2Emp1GrossProd-34)</f>
        <v>0</v>
      </c>
      <c r="M1475" s="453">
        <f>MAX(0,calcR2LOB2Clinician2Disc2Emp1GrossProd-34)</f>
        <v>0</v>
      </c>
      <c r="N1475" s="131" t="s">
        <v>6969</v>
      </c>
    </row>
    <row r="1476" spans="1:14" ht="12.75" customHeight="1">
      <c r="A1476" s="478"/>
      <c r="B1476" s="459"/>
      <c r="C1476" s="170">
        <v>3</v>
      </c>
      <c r="D1476" s="131" t="s">
        <v>554</v>
      </c>
      <c r="E1476" s="453">
        <f>MAX(0,calcLOB2Clinician3Disc2Emp1GrossProd-34)</f>
        <v>0</v>
      </c>
      <c r="F1476" s="453">
        <f>MAX(0,calcLOB2Clinician3Disc2Emp1GrossProd-34)</f>
        <v>0</v>
      </c>
      <c r="G1476" s="453">
        <f>MAX(0,calcLOB2Clinician3Disc2Emp1GrossProd-34)</f>
        <v>0</v>
      </c>
      <c r="H1476" s="131" t="s">
        <v>2420</v>
      </c>
      <c r="J1476" s="131" t="s">
        <v>554</v>
      </c>
      <c r="K1476" s="453">
        <f>MAX(0,calcR2LOB2Clinician3Disc2Emp1GrossProd-34)</f>
        <v>0</v>
      </c>
      <c r="L1476" s="453">
        <f>MAX(0,calcR2LOB2Clinician3Disc2Emp1GrossProd-34)</f>
        <v>0</v>
      </c>
      <c r="M1476" s="453">
        <f>MAX(0,calcR2LOB2Clinician3Disc2Emp1GrossProd-34)</f>
        <v>0</v>
      </c>
      <c r="N1476" s="131" t="s">
        <v>6970</v>
      </c>
    </row>
    <row r="1477" spans="1:14" ht="12.75" customHeight="1">
      <c r="A1477" s="478"/>
      <c r="B1477" s="459"/>
      <c r="C1477" s="170">
        <v>4</v>
      </c>
      <c r="D1477" s="131" t="s">
        <v>554</v>
      </c>
      <c r="E1477" s="453">
        <f>MAX(0,calcLOB2Clinician4Disc2Emp1GrossProd-34)</f>
        <v>0</v>
      </c>
      <c r="F1477" s="453">
        <f>MAX(0,calcLOB2Clinician4Disc2Emp1GrossProd-34)</f>
        <v>0</v>
      </c>
      <c r="G1477" s="453">
        <f>MAX(0,calcLOB2Clinician4Disc2Emp1GrossProd-34)</f>
        <v>0</v>
      </c>
      <c r="H1477" s="131" t="s">
        <v>2421</v>
      </c>
      <c r="J1477" s="131" t="s">
        <v>554</v>
      </c>
      <c r="K1477" s="453">
        <f>MAX(0,calcR2LOB2Clinician4Disc2Emp1GrossProd-34)</f>
        <v>0</v>
      </c>
      <c r="L1477" s="453">
        <f>MAX(0,calcR2LOB2Clinician4Disc2Emp1GrossProd-34)</f>
        <v>0</v>
      </c>
      <c r="M1477" s="453">
        <f>MAX(0,calcR2LOB2Clinician4Disc2Emp1GrossProd-34)</f>
        <v>0</v>
      </c>
      <c r="N1477" s="131" t="s">
        <v>6971</v>
      </c>
    </row>
    <row r="1478" spans="1:14" ht="12.75" customHeight="1">
      <c r="A1478" s="478"/>
      <c r="B1478" s="459"/>
      <c r="C1478" s="170">
        <v>5</v>
      </c>
      <c r="D1478" s="131" t="s">
        <v>554</v>
      </c>
      <c r="E1478" s="453">
        <f>MAX(0,calcLOB2Clinician5Disc2Emp1GrossProd-34)</f>
        <v>0</v>
      </c>
      <c r="F1478" s="453">
        <f>MAX(0,calcLOB2Clinician5Disc2Emp1GrossProd-34)</f>
        <v>0</v>
      </c>
      <c r="G1478" s="453">
        <f>MAX(0,calcLOB2Clinician5Disc2Emp1GrossProd-34)</f>
        <v>0</v>
      </c>
      <c r="H1478" s="131" t="s">
        <v>2422</v>
      </c>
      <c r="J1478" s="131" t="s">
        <v>554</v>
      </c>
      <c r="K1478" s="453">
        <f>MAX(0,calcR2LOB2Clinician5Disc2Emp1GrossProd-34)</f>
        <v>0</v>
      </c>
      <c r="L1478" s="453">
        <f>MAX(0,calcR2LOB2Clinician5Disc2Emp1GrossProd-34)</f>
        <v>0</v>
      </c>
      <c r="M1478" s="453">
        <f>MAX(0,calcR2LOB2Clinician5Disc2Emp1GrossProd-34)</f>
        <v>0</v>
      </c>
      <c r="N1478" s="131" t="s">
        <v>6972</v>
      </c>
    </row>
    <row r="1479" spans="1:14" ht="12.75" customHeight="1">
      <c r="A1479" s="478"/>
      <c r="B1479" s="459"/>
      <c r="C1479" s="170">
        <v>6</v>
      </c>
      <c r="D1479" s="131" t="s">
        <v>554</v>
      </c>
      <c r="E1479" s="453">
        <f>MAX(0,calcLOB2Clinician6Disc2Emp1GrossProd-34)</f>
        <v>0</v>
      </c>
      <c r="F1479" s="453">
        <f>MAX(0,calcLOB2Clinician6Disc2Emp1GrossProd-34)</f>
        <v>0</v>
      </c>
      <c r="G1479" s="453">
        <f>MAX(0,calcLOB2Clinician6Disc2Emp1GrossProd-34)</f>
        <v>0</v>
      </c>
      <c r="H1479" s="131" t="s">
        <v>2423</v>
      </c>
      <c r="J1479" s="131" t="s">
        <v>554</v>
      </c>
      <c r="K1479" s="453">
        <f>MAX(0,calcR2LOB2Clinician6Disc2Emp1GrossProd-34)</f>
        <v>0</v>
      </c>
      <c r="L1479" s="453">
        <f>MAX(0,calcR2LOB2Clinician6Disc2Emp1GrossProd-34)</f>
        <v>0</v>
      </c>
      <c r="M1479" s="453">
        <f>MAX(0,calcR2LOB2Clinician6Disc2Emp1GrossProd-34)</f>
        <v>0</v>
      </c>
      <c r="N1479" s="131" t="s">
        <v>6973</v>
      </c>
    </row>
    <row r="1480" spans="1:14" ht="12.75" customHeight="1">
      <c r="A1480" s="478"/>
      <c r="B1480" s="459"/>
      <c r="C1480" s="170">
        <v>7</v>
      </c>
      <c r="D1480" s="131" t="s">
        <v>554</v>
      </c>
      <c r="E1480" s="453">
        <f>MAX(0,calcLOB2Clinician7Disc2Emp1GrossProd-34)</f>
        <v>0</v>
      </c>
      <c r="F1480" s="453">
        <f>MAX(0,calcLOB2Clinician7Disc2Emp1GrossProd-34)</f>
        <v>0</v>
      </c>
      <c r="G1480" s="453">
        <f>MAX(0,calcLOB2Clinician7Disc2Emp1GrossProd-34)</f>
        <v>0</v>
      </c>
      <c r="H1480" s="131" t="s">
        <v>2424</v>
      </c>
      <c r="J1480" s="131" t="s">
        <v>554</v>
      </c>
      <c r="K1480" s="453">
        <f>MAX(0,calcR2LOB2Clinician7Disc2Emp1GrossProd-34)</f>
        <v>0</v>
      </c>
      <c r="L1480" s="453">
        <f>MAX(0,calcR2LOB2Clinician7Disc2Emp1GrossProd-34)</f>
        <v>0</v>
      </c>
      <c r="M1480" s="453">
        <f>MAX(0,calcR2LOB2Clinician7Disc2Emp1GrossProd-34)</f>
        <v>0</v>
      </c>
      <c r="N1480" s="131" t="s">
        <v>6974</v>
      </c>
    </row>
    <row r="1481" spans="1:14" ht="12.75" customHeight="1">
      <c r="A1481" s="478"/>
      <c r="B1481" s="459"/>
      <c r="C1481" s="170">
        <v>8</v>
      </c>
      <c r="D1481" s="131" t="s">
        <v>554</v>
      </c>
      <c r="E1481" s="453">
        <f>MAX(0,calcLOB2Clinician8Disc2Emp1GrossProd-34)</f>
        <v>0</v>
      </c>
      <c r="F1481" s="453">
        <f>MAX(0,calcLOB2Clinician8Disc2Emp1GrossProd-34)</f>
        <v>0</v>
      </c>
      <c r="G1481" s="453">
        <f>MAX(0,calcLOB2Clinician8Disc2Emp1GrossProd-34)</f>
        <v>0</v>
      </c>
      <c r="H1481" s="131" t="s">
        <v>2425</v>
      </c>
      <c r="J1481" s="131" t="s">
        <v>554</v>
      </c>
      <c r="K1481" s="453">
        <f>MAX(0,calcR2LOB2Clinician8Disc2Emp1GrossProd-34)</f>
        <v>0</v>
      </c>
      <c r="L1481" s="453">
        <f>MAX(0,calcR2LOB2Clinician8Disc2Emp1GrossProd-34)</f>
        <v>0</v>
      </c>
      <c r="M1481" s="453">
        <f>MAX(0,calcR2LOB2Clinician8Disc2Emp1GrossProd-34)</f>
        <v>0</v>
      </c>
      <c r="N1481" s="131" t="s">
        <v>6975</v>
      </c>
    </row>
    <row r="1482" spans="1:14" ht="12.75" customHeight="1">
      <c r="A1482" s="478"/>
      <c r="B1482" s="459"/>
      <c r="C1482" s="170">
        <v>9</v>
      </c>
      <c r="D1482" s="131" t="s">
        <v>554</v>
      </c>
      <c r="E1482" s="453">
        <f>MAX(0,calcLOB2Clinician9Disc2Emp1GrossProd-34)</f>
        <v>0</v>
      </c>
      <c r="F1482" s="453">
        <f>MAX(0,calcLOB2Clinician9Disc2Emp1GrossProd-34)</f>
        <v>0</v>
      </c>
      <c r="G1482" s="453">
        <f>MAX(0,calcLOB2Clinician9Disc2Emp1GrossProd-34)</f>
        <v>0</v>
      </c>
      <c r="H1482" s="131" t="s">
        <v>2426</v>
      </c>
      <c r="J1482" s="131" t="s">
        <v>554</v>
      </c>
      <c r="K1482" s="453">
        <f>MAX(0,calcR2LOB2Clinician9Disc2Emp1GrossProd-34)</f>
        <v>0</v>
      </c>
      <c r="L1482" s="453">
        <f>MAX(0,calcR2LOB2Clinician9Disc2Emp1GrossProd-34)</f>
        <v>0</v>
      </c>
      <c r="M1482" s="453">
        <f>MAX(0,calcR2LOB2Clinician9Disc2Emp1GrossProd-34)</f>
        <v>0</v>
      </c>
      <c r="N1482" s="131" t="s">
        <v>6976</v>
      </c>
    </row>
    <row r="1483" spans="1:14" ht="12.75" customHeight="1">
      <c r="A1483" s="478"/>
      <c r="B1483" s="459"/>
      <c r="C1483" s="170">
        <v>10</v>
      </c>
      <c r="D1483" s="131" t="s">
        <v>554</v>
      </c>
      <c r="E1483" s="453">
        <f>MAX(0,calcLOB2Clinician10Disc2Emp1GrossProd-34)</f>
        <v>0</v>
      </c>
      <c r="F1483" s="453">
        <f>MAX(0,calcLOB2Clinician10Disc2Emp1GrossProd-34)</f>
        <v>0</v>
      </c>
      <c r="G1483" s="453">
        <f>MAX(0,calcLOB2Clinician10Disc2Emp1GrossProd-34)</f>
        <v>0</v>
      </c>
      <c r="H1483" s="131" t="s">
        <v>2427</v>
      </c>
      <c r="J1483" s="131" t="s">
        <v>554</v>
      </c>
      <c r="K1483" s="453">
        <f>MAX(0,calcR2LOB2Clinician10Disc2Emp1GrossProd-34)</f>
        <v>0</v>
      </c>
      <c r="L1483" s="453">
        <f>MAX(0,calcR2LOB2Clinician10Disc2Emp1GrossProd-34)</f>
        <v>0</v>
      </c>
      <c r="M1483" s="453">
        <f>MAX(0,calcR2LOB2Clinician10Disc2Emp1GrossProd-34)</f>
        <v>0</v>
      </c>
      <c r="N1483" s="131" t="s">
        <v>6977</v>
      </c>
    </row>
    <row r="1484" spans="1:14" ht="12.75" customHeight="1">
      <c r="A1484" s="478"/>
      <c r="B1484" s="459"/>
      <c r="C1484" s="170">
        <v>11</v>
      </c>
      <c r="D1484" s="131" t="s">
        <v>554</v>
      </c>
      <c r="E1484" s="453">
        <f>MAX(0,calcLOB2Clinician11Disc2Emp1GrossProd-34)</f>
        <v>0</v>
      </c>
      <c r="F1484" s="453">
        <f>MAX(0,calcLOB2Clinician11Disc2Emp1GrossProd-34)</f>
        <v>0</v>
      </c>
      <c r="G1484" s="453">
        <f>MAX(0,calcLOB2Clinician11Disc2Emp1GrossProd-34)</f>
        <v>0</v>
      </c>
      <c r="H1484" s="131" t="s">
        <v>2428</v>
      </c>
      <c r="J1484" s="131" t="s">
        <v>554</v>
      </c>
      <c r="K1484" s="453">
        <f>MAX(0,calcR2LOB2Clinician11Disc2Emp1GrossProd-34)</f>
        <v>0</v>
      </c>
      <c r="L1484" s="453">
        <f>MAX(0,calcR2LOB2Clinician11Disc2Emp1GrossProd-34)</f>
        <v>0</v>
      </c>
      <c r="M1484" s="453">
        <f>MAX(0,calcR2LOB2Clinician11Disc2Emp1GrossProd-34)</f>
        <v>0</v>
      </c>
      <c r="N1484" s="131" t="s">
        <v>6978</v>
      </c>
    </row>
    <row r="1485" spans="1:14" ht="12.75" customHeight="1">
      <c r="A1485" s="478"/>
      <c r="B1485" s="459"/>
      <c r="C1485" s="170">
        <v>12</v>
      </c>
      <c r="D1485" s="131" t="s">
        <v>554</v>
      </c>
      <c r="E1485" s="453">
        <f>MAX(0,calcLOB2Clinician12Disc2Emp1GrossProd-34)</f>
        <v>0</v>
      </c>
      <c r="F1485" s="453">
        <f>MAX(0,calcLOB2Clinician12Disc2Emp1GrossProd-34)</f>
        <v>0</v>
      </c>
      <c r="G1485" s="453">
        <f>MAX(0,calcLOB2Clinician12Disc2Emp1GrossProd-34)</f>
        <v>0</v>
      </c>
      <c r="H1485" s="131" t="s">
        <v>2429</v>
      </c>
      <c r="J1485" s="131" t="s">
        <v>554</v>
      </c>
      <c r="K1485" s="453">
        <f>MAX(0,calcR2LOB2Clinician12Disc2Emp1GrossProd-34)</f>
        <v>0</v>
      </c>
      <c r="L1485" s="453">
        <f>MAX(0,calcR2LOB2Clinician12Disc2Emp1GrossProd-34)</f>
        <v>0</v>
      </c>
      <c r="M1485" s="453">
        <f>MAX(0,calcR2LOB2Clinician12Disc2Emp1GrossProd-34)</f>
        <v>0</v>
      </c>
      <c r="N1485" s="131" t="s">
        <v>6979</v>
      </c>
    </row>
    <row r="1486" spans="1:14" ht="12.75" customHeight="1">
      <c r="A1486" s="478"/>
      <c r="B1486" s="459"/>
      <c r="D1486" s="131"/>
      <c r="E1486" s="453"/>
      <c r="F1486" s="453"/>
      <c r="G1486" s="453"/>
      <c r="J1486" s="131"/>
      <c r="K1486" s="453"/>
      <c r="L1486" s="453"/>
      <c r="M1486" s="453"/>
    </row>
    <row r="1487" spans="1:14" ht="12.75" customHeight="1">
      <c r="A1487" s="478"/>
      <c r="B1487" s="458"/>
      <c r="C1487" s="131" t="s">
        <v>1586</v>
      </c>
    </row>
    <row r="1488" spans="1:14" ht="12.75" customHeight="1">
      <c r="A1488" s="478"/>
      <c r="B1488" s="458"/>
      <c r="C1488" s="170">
        <v>1</v>
      </c>
      <c r="D1488" s="131" t="s">
        <v>555</v>
      </c>
      <c r="E1488" s="636">
        <f>IF(VLOOKUP($C1488,obal!$D$273:$G$288,E$3,FALSE)=$D1488,obalLOB2AvgProdClinician1,0)</f>
        <v>0</v>
      </c>
      <c r="F1488" s="636">
        <f>IF(VLOOKUP($C1488,obal!$D$273:$G$288,F$3,FALSE)=$D1488,obalLOB2AvgProdClinician1,0)</f>
        <v>0</v>
      </c>
      <c r="G1488" s="636">
        <f>IF(VLOOKUP($C1488,obal!$D$273:$G$288,G$3,FALSE)=$D1488,obalLOB2AvgProdClinician1,0)</f>
        <v>0</v>
      </c>
      <c r="H1488" s="131" t="s">
        <v>2430</v>
      </c>
      <c r="J1488" s="131" t="s">
        <v>555</v>
      </c>
      <c r="K1488" s="636">
        <f>IF(VLOOKUP($C1488,obal!$J$273:$M$288,K$3,FALSE)=$D1488,obalR2LOB2AvgProdClinician1,0)</f>
        <v>0</v>
      </c>
      <c r="L1488" s="636">
        <f>IF(VLOOKUP($C1488,obal!$J$273:$M$288,L$3,FALSE)=$D1488,obalR2LOB2AvgProdClinician1,0)</f>
        <v>0</v>
      </c>
      <c r="M1488" s="636">
        <f>IF(VLOOKUP($C1488,obal!$J$273:$M$288,M$3,FALSE)=$D1488,obalR2LOB2AvgProdClinician1,0)</f>
        <v>0</v>
      </c>
      <c r="N1488" s="131" t="s">
        <v>6980</v>
      </c>
    </row>
    <row r="1489" spans="1:14" ht="12.75" customHeight="1">
      <c r="A1489" s="478"/>
      <c r="B1489" s="458"/>
      <c r="C1489" s="170">
        <v>2</v>
      </c>
      <c r="D1489" s="131" t="s">
        <v>555</v>
      </c>
      <c r="E1489" s="636">
        <f>IF(VLOOKUP($C1489,obal!$D$273:$G$288,E$3,FALSE)=$D1489,obalLOB2AvgProdClinician2,0)</f>
        <v>0</v>
      </c>
      <c r="F1489" s="636">
        <f>IF(VLOOKUP($C1489,obal!$D$273:$G$288,F$3,FALSE)=$D1489,obalLOB2AvgProdClinician2,0)</f>
        <v>0</v>
      </c>
      <c r="G1489" s="636">
        <f>IF(VLOOKUP($C1489,obal!$D$273:$G$288,G$3,FALSE)=$D1489,obalLOB2AvgProdClinician2,0)</f>
        <v>0</v>
      </c>
      <c r="H1489" s="131" t="s">
        <v>2431</v>
      </c>
      <c r="J1489" s="131" t="s">
        <v>555</v>
      </c>
      <c r="K1489" s="636">
        <f>IF(VLOOKUP($C1489,obal!$J$273:$M$288,K$3,FALSE)=$D1489,obalR2LOB2AvgProdClinician2,0)</f>
        <v>0</v>
      </c>
      <c r="L1489" s="636">
        <f>IF(VLOOKUP($C1489,obal!$J$273:$M$288,L$3,FALSE)=$D1489,obalR2LOB2AvgProdClinician2,0)</f>
        <v>0</v>
      </c>
      <c r="M1489" s="636">
        <f>IF(VLOOKUP($C1489,obal!$J$273:$M$288,M$3,FALSE)=$D1489,obalR2LOB2AvgProdClinician2,0)</f>
        <v>0</v>
      </c>
      <c r="N1489" s="131" t="s">
        <v>6981</v>
      </c>
    </row>
    <row r="1490" spans="1:14" ht="12.75" customHeight="1">
      <c r="A1490" s="478"/>
      <c r="B1490" s="458"/>
      <c r="C1490" s="170">
        <v>3</v>
      </c>
      <c r="D1490" s="131" t="s">
        <v>555</v>
      </c>
      <c r="E1490" s="636">
        <f>IF(VLOOKUP($C1490,obal!$D$273:$G$288,E$3,FALSE)=$D1490,obalLOB2AvgProdClinician3,0)</f>
        <v>0</v>
      </c>
      <c r="F1490" s="636">
        <f>IF(VLOOKUP($C1490,obal!$D$273:$G$288,F$3,FALSE)=$D1490,obalLOB2AvgProdClinician3,0)</f>
        <v>0</v>
      </c>
      <c r="G1490" s="636">
        <f>IF(VLOOKUP($C1490,obal!$D$273:$G$288,G$3,FALSE)=$D1490,obalLOB2AvgProdClinician3,0)</f>
        <v>0</v>
      </c>
      <c r="H1490" s="131" t="s">
        <v>2432</v>
      </c>
      <c r="J1490" s="131" t="s">
        <v>555</v>
      </c>
      <c r="K1490" s="636">
        <f>IF(VLOOKUP($C1490,obal!$J$273:$M$288,K$3,FALSE)=$D1490,obalR2LOB2AvgProdClinician3,0)</f>
        <v>0</v>
      </c>
      <c r="L1490" s="636">
        <f>IF(VLOOKUP($C1490,obal!$J$273:$M$288,L$3,FALSE)=$D1490,obalR2LOB2AvgProdClinician3,0)</f>
        <v>0</v>
      </c>
      <c r="M1490" s="636">
        <f>IF(VLOOKUP($C1490,obal!$J$273:$M$288,M$3,FALSE)=$D1490,obalR2LOB2AvgProdClinician3,0)</f>
        <v>0</v>
      </c>
      <c r="N1490" s="131" t="s">
        <v>6982</v>
      </c>
    </row>
    <row r="1491" spans="1:14" ht="12.75" customHeight="1">
      <c r="A1491" s="478"/>
      <c r="B1491" s="458"/>
      <c r="C1491" s="170">
        <v>4</v>
      </c>
      <c r="D1491" s="131" t="s">
        <v>555</v>
      </c>
      <c r="E1491" s="636">
        <f>IF(VLOOKUP($C1491,obal!$D$273:$G$288,E$3,FALSE)=$D1491,obalLOB2AvgProdClinician4,0)</f>
        <v>0</v>
      </c>
      <c r="F1491" s="636">
        <f>IF(VLOOKUP($C1491,obal!$D$273:$G$288,F$3,FALSE)=$D1491,obalLOB2AvgProdClinician4,0)</f>
        <v>0</v>
      </c>
      <c r="G1491" s="636">
        <f>IF(VLOOKUP($C1491,obal!$D$273:$G$288,G$3,FALSE)=$D1491,obalLOB2AvgProdClinician4,0)</f>
        <v>0</v>
      </c>
      <c r="H1491" s="131" t="s">
        <v>2433</v>
      </c>
      <c r="J1491" s="131" t="s">
        <v>555</v>
      </c>
      <c r="K1491" s="636">
        <f>IF(VLOOKUP($C1491,obal!$J$273:$M$288,K$3,FALSE)=$D1491,obalR2LOB2AvgProdClinician4,0)</f>
        <v>0</v>
      </c>
      <c r="L1491" s="636">
        <f>IF(VLOOKUP($C1491,obal!$J$273:$M$288,L$3,FALSE)=$D1491,obalR2LOB2AvgProdClinician4,0)</f>
        <v>0</v>
      </c>
      <c r="M1491" s="636">
        <f>IF(VLOOKUP($C1491,obal!$J$273:$M$288,M$3,FALSE)=$D1491,obalR2LOB2AvgProdClinician4,0)</f>
        <v>0</v>
      </c>
      <c r="N1491" s="131" t="s">
        <v>6983</v>
      </c>
    </row>
    <row r="1492" spans="1:14" ht="12.75" customHeight="1">
      <c r="A1492" s="478"/>
      <c r="B1492" s="458"/>
      <c r="C1492" s="170">
        <v>5</v>
      </c>
      <c r="D1492" s="131" t="s">
        <v>555</v>
      </c>
      <c r="E1492" s="636">
        <f>IF(VLOOKUP($C1492,obal!$D$273:$G$288,E$3,FALSE)=$D1492,obalLOB2AvgProdClinician5,0)</f>
        <v>0</v>
      </c>
      <c r="F1492" s="636">
        <f>IF(VLOOKUP($C1492,obal!$D$273:$G$288,F$3,FALSE)=$D1492,obalLOB2AvgProdClinician5,0)</f>
        <v>0</v>
      </c>
      <c r="G1492" s="636">
        <f>IF(VLOOKUP($C1492,obal!$D$273:$G$288,G$3,FALSE)=$D1492,obalLOB2AvgProdClinician5,0)</f>
        <v>0</v>
      </c>
      <c r="H1492" s="131" t="s">
        <v>2434</v>
      </c>
      <c r="J1492" s="131" t="s">
        <v>555</v>
      </c>
      <c r="K1492" s="636">
        <f>IF(VLOOKUP($C1492,obal!$J$273:$M$288,K$3,FALSE)=$D1492,obalR2LOB2AvgProdClinician5,0)</f>
        <v>0</v>
      </c>
      <c r="L1492" s="636">
        <f>IF(VLOOKUP($C1492,obal!$J$273:$M$288,L$3,FALSE)=$D1492,obalR2LOB2AvgProdClinician5,0)</f>
        <v>0</v>
      </c>
      <c r="M1492" s="636">
        <f>IF(VLOOKUP($C1492,obal!$J$273:$M$288,M$3,FALSE)=$D1492,obalR2LOB2AvgProdClinician5,0)</f>
        <v>0</v>
      </c>
      <c r="N1492" s="131" t="s">
        <v>6984</v>
      </c>
    </row>
    <row r="1493" spans="1:14" ht="12.75" customHeight="1">
      <c r="A1493" s="478"/>
      <c r="B1493" s="458"/>
      <c r="C1493" s="170">
        <v>6</v>
      </c>
      <c r="D1493" s="131" t="s">
        <v>555</v>
      </c>
      <c r="E1493" s="636">
        <f>IF(VLOOKUP($C1493,obal!$D$273:$G$288,E$3,FALSE)=$D1493,obalLOB2AvgProdClinician6,0)</f>
        <v>0</v>
      </c>
      <c r="F1493" s="636">
        <f>IF(VLOOKUP($C1493,obal!$D$273:$G$288,F$3,FALSE)=$D1493,obalLOB2AvgProdClinician6,0)</f>
        <v>0</v>
      </c>
      <c r="G1493" s="636">
        <f>IF(VLOOKUP($C1493,obal!$D$273:$G$288,G$3,FALSE)=$D1493,obalLOB2AvgProdClinician6,0)</f>
        <v>0</v>
      </c>
      <c r="H1493" s="131" t="s">
        <v>2435</v>
      </c>
      <c r="J1493" s="131" t="s">
        <v>555</v>
      </c>
      <c r="K1493" s="636">
        <f>IF(VLOOKUP($C1493,obal!$J$273:$M$288,K$3,FALSE)=$D1493,obalR2LOB2AvgProdClinician6,0)</f>
        <v>0</v>
      </c>
      <c r="L1493" s="636">
        <f>IF(VLOOKUP($C1493,obal!$J$273:$M$288,L$3,FALSE)=$D1493,obalR2LOB2AvgProdClinician6,0)</f>
        <v>0</v>
      </c>
      <c r="M1493" s="636">
        <f>IF(VLOOKUP($C1493,obal!$J$273:$M$288,M$3,FALSE)=$D1493,obalR2LOB2AvgProdClinician6,0)</f>
        <v>0</v>
      </c>
      <c r="N1493" s="131" t="s">
        <v>6985</v>
      </c>
    </row>
    <row r="1494" spans="1:14" ht="12.75" customHeight="1">
      <c r="A1494" s="478"/>
      <c r="B1494" s="458"/>
      <c r="C1494" s="170">
        <v>7</v>
      </c>
      <c r="D1494" s="131" t="s">
        <v>555</v>
      </c>
      <c r="E1494" s="636">
        <f>IF(VLOOKUP($C1494,obal!$D$273:$G$288,E$3,FALSE)=$D1494,obalLOB2AvgProdClinician7,0)</f>
        <v>0</v>
      </c>
      <c r="F1494" s="636">
        <f>IF(VLOOKUP($C1494,obal!$D$273:$G$288,F$3,FALSE)=$D1494,obalLOB2AvgProdClinician7,0)</f>
        <v>0</v>
      </c>
      <c r="G1494" s="636">
        <f>IF(VLOOKUP($C1494,obal!$D$273:$G$288,G$3,FALSE)=$D1494,obalLOB2AvgProdClinician7,0)</f>
        <v>0</v>
      </c>
      <c r="H1494" s="131" t="s">
        <v>2436</v>
      </c>
      <c r="J1494" s="131" t="s">
        <v>555</v>
      </c>
      <c r="K1494" s="636">
        <f>IF(VLOOKUP($C1494,obal!$J$273:$M$288,K$3,FALSE)=$D1494,obalR2LOB2AvgProdClinician7,0)</f>
        <v>0</v>
      </c>
      <c r="L1494" s="636">
        <f>IF(VLOOKUP($C1494,obal!$J$273:$M$288,L$3,FALSE)=$D1494,obalR2LOB2AvgProdClinician7,0)</f>
        <v>0</v>
      </c>
      <c r="M1494" s="636">
        <f>IF(VLOOKUP($C1494,obal!$J$273:$M$288,M$3,FALSE)=$D1494,obalR2LOB2AvgProdClinician7,0)</f>
        <v>0</v>
      </c>
      <c r="N1494" s="131" t="s">
        <v>6986</v>
      </c>
    </row>
    <row r="1495" spans="1:14" ht="12.75" customHeight="1">
      <c r="A1495" s="478"/>
      <c r="B1495" s="458"/>
      <c r="C1495" s="170">
        <v>8</v>
      </c>
      <c r="D1495" s="131" t="s">
        <v>555</v>
      </c>
      <c r="E1495" s="636">
        <f>IF(VLOOKUP($C1495,obal!$D$273:$G$288,E$3,FALSE)=$D1495,obalLOB2AvgProdClinician8,0)</f>
        <v>0</v>
      </c>
      <c r="F1495" s="636">
        <f>IF(VLOOKUP($C1495,obal!$D$273:$G$288,F$3,FALSE)=$D1495,obalLOB2AvgProdClinician8,0)</f>
        <v>0</v>
      </c>
      <c r="G1495" s="636">
        <f>IF(VLOOKUP($C1495,obal!$D$273:$G$288,G$3,FALSE)=$D1495,obalLOB2AvgProdClinician8,0)</f>
        <v>0</v>
      </c>
      <c r="H1495" s="131" t="s">
        <v>2437</v>
      </c>
      <c r="J1495" s="131" t="s">
        <v>555</v>
      </c>
      <c r="K1495" s="636">
        <f>IF(VLOOKUP($C1495,obal!$J$273:$M$288,K$3,FALSE)=$D1495,obalR2LOB2AvgProdClinician8,0)</f>
        <v>0</v>
      </c>
      <c r="L1495" s="636">
        <f>IF(VLOOKUP($C1495,obal!$J$273:$M$288,L$3,FALSE)=$D1495,obalR2LOB2AvgProdClinician8,0)</f>
        <v>0</v>
      </c>
      <c r="M1495" s="636">
        <f>IF(VLOOKUP($C1495,obal!$J$273:$M$288,M$3,FALSE)=$D1495,obalR2LOB2AvgProdClinician8,0)</f>
        <v>0</v>
      </c>
      <c r="N1495" s="131" t="s">
        <v>6987</v>
      </c>
    </row>
    <row r="1496" spans="1:14" ht="12.75" customHeight="1">
      <c r="A1496" s="478"/>
      <c r="B1496" s="458"/>
      <c r="C1496" s="170">
        <v>9</v>
      </c>
      <c r="D1496" s="131" t="s">
        <v>555</v>
      </c>
      <c r="E1496" s="636">
        <f>IF(VLOOKUP($C1496,obal!$D$273:$G$288,E$3,FALSE)=$D1496,obalLOB2AvgProdClinician9,0)</f>
        <v>0</v>
      </c>
      <c r="F1496" s="636">
        <f>IF(VLOOKUP($C1496,obal!$D$273:$G$288,F$3,FALSE)=$D1496,obalLOB2AvgProdClinician9,0)</f>
        <v>0</v>
      </c>
      <c r="G1496" s="636">
        <f>IF(VLOOKUP($C1496,obal!$D$273:$G$288,G$3,FALSE)=$D1496,obalLOB2AvgProdClinician9,0)</f>
        <v>0</v>
      </c>
      <c r="H1496" s="131" t="s">
        <v>2438</v>
      </c>
      <c r="J1496" s="131" t="s">
        <v>555</v>
      </c>
      <c r="K1496" s="636">
        <f>IF(VLOOKUP($C1496,obal!$J$273:$M$288,K$3,FALSE)=$D1496,obalR2LOB2AvgProdClinician9,0)</f>
        <v>0</v>
      </c>
      <c r="L1496" s="636">
        <f>IF(VLOOKUP($C1496,obal!$J$273:$M$288,L$3,FALSE)=$D1496,obalR2LOB2AvgProdClinician9,0)</f>
        <v>0</v>
      </c>
      <c r="M1496" s="636">
        <f>IF(VLOOKUP($C1496,obal!$J$273:$M$288,M$3,FALSE)=$D1496,obalR2LOB2AvgProdClinician9,0)</f>
        <v>0</v>
      </c>
      <c r="N1496" s="131" t="s">
        <v>6988</v>
      </c>
    </row>
    <row r="1497" spans="1:14" ht="12.75" customHeight="1" thickBot="1">
      <c r="A1497" s="478"/>
      <c r="B1497" s="458"/>
      <c r="C1497" s="170">
        <v>10</v>
      </c>
      <c r="D1497" s="131" t="s">
        <v>555</v>
      </c>
      <c r="E1497" s="636">
        <f>IF(VLOOKUP($C1497,obal!$D$273:$G$288,E$3,FALSE)=$D1497,obalLOB2AvgProdClinician10,0)</f>
        <v>22.680412371134022</v>
      </c>
      <c r="F1497" s="636">
        <f>IF(VLOOKUP($C1497,obal!$D$273:$G$288,F$3,FALSE)=$D1497,obalLOB2AvgProdClinician10,0)</f>
        <v>22.680412371134022</v>
      </c>
      <c r="G1497" s="636">
        <f>IF(VLOOKUP($C1497,obal!$D$273:$G$288,G$3,FALSE)=$D1497,obalLOB2AvgProdClinician10,0)</f>
        <v>22.680412371134022</v>
      </c>
      <c r="H1497" s="131" t="s">
        <v>2439</v>
      </c>
      <c r="J1497" s="131" t="s">
        <v>555</v>
      </c>
      <c r="K1497" s="636">
        <f>IF(VLOOKUP($C1497,obal!$J$273:$M$288,K$3,FALSE)=$D1497,obalR2LOB2AvgProdClinician10,0)</f>
        <v>22.680412371134022</v>
      </c>
      <c r="L1497" s="636">
        <f>IF(VLOOKUP($C1497,obal!$J$273:$M$288,L$3,FALSE)=$D1497,obalR2LOB2AvgProdClinician10,0)</f>
        <v>22.680412371134022</v>
      </c>
      <c r="M1497" s="636">
        <f>IF(VLOOKUP($C1497,obal!$J$273:$M$288,M$3,FALSE)=$D1497,obalR2LOB2AvgProdClinician10,0)</f>
        <v>22.680412371134022</v>
      </c>
      <c r="N1497" s="131" t="s">
        <v>6989</v>
      </c>
    </row>
    <row r="1498" spans="1:14" ht="12.75" customHeight="1">
      <c r="A1498" s="478"/>
      <c r="B1498" s="791" t="s">
        <v>8486</v>
      </c>
      <c r="C1498" s="170">
        <v>11</v>
      </c>
      <c r="D1498" s="131" t="s">
        <v>555</v>
      </c>
      <c r="E1498" s="560">
        <f>IF(VLOOKUP($C1498,cbal!$D$273:$G$288,E$3,FALSE)=$D1498,cbalLOB2AvgBaseProdClinician11,IF(VLOOKUP($C1498,cbal!$D$273:$G$288,E$3,FALSE)=$B1498,cbalLOB2AvgBaseProdClinician11,0))</f>
        <v>0</v>
      </c>
      <c r="F1498" s="560">
        <f>IF(VLOOKUP($C1498,cbal!$D$273:$G$288,F$3,FALSE)=$D1498,cbalLOB2AvgBaseProdClinician11,IF(VLOOKUP($C1498,cbal!$D$273:$G$288,F$3,FALSE)=$B1498,cbalLOB2AvgBaseProdClinician11,0))</f>
        <v>0</v>
      </c>
      <c r="G1498" s="560">
        <f>IF(VLOOKUP($C1498,cbal!$D$273:$G$288,G$3,FALSE)=$D1498,cbalLOB2AvgBaseProdClinician11,IF(VLOOKUP($C1498,cbal!$D$273:$G$288,G$3,FALSE)=$B1498,cbalLOB2AvgBaseProdClinician11,0))</f>
        <v>0</v>
      </c>
      <c r="H1498" s="131" t="s">
        <v>2440</v>
      </c>
      <c r="J1498" s="131" t="s">
        <v>555</v>
      </c>
      <c r="K1498" s="560">
        <f>IF(VLOOKUP($C1498,cbal!$J$273:$M$288,K$3,FALSE)=$D1498,cbalR2LOB2AvgBaseProdClinician11,IF(VLOOKUP($C1498,cbal!$J$273:$M$288,K$3,FALSE)=$B1498,cbalR2LOB2AvgBaseProdClinician11,0))</f>
        <v>0</v>
      </c>
      <c r="L1498" s="560">
        <f>IF(VLOOKUP($C1498,cbal!$J$273:$M$288,L$3,FALSE)=$D1498,cbalR2LOB2AvgBaseProdClinician11,IF(VLOOKUP($C1498,cbal!$J$273:$M$288,L$3,FALSE)=$B1498,cbalR2LOB2AvgBaseProdClinician11,0))</f>
        <v>0</v>
      </c>
      <c r="M1498" s="560">
        <f>IF(VLOOKUP($C1498,cbal!$J$273:$M$288,M$3,FALSE)=$D1498,cbalR2LOB2AvgBaseProdClinician11,IF(VLOOKUP($C1498,cbal!$J$273:$M$288,M$3,FALSE)=$B1498,cbalR2LOB2AvgBaseProdClinician11,0))</f>
        <v>0</v>
      </c>
      <c r="N1498" s="131" t="s">
        <v>6990</v>
      </c>
    </row>
    <row r="1499" spans="1:14" ht="12.75" customHeight="1" thickBot="1">
      <c r="A1499" s="478"/>
      <c r="B1499" s="792" t="s">
        <v>8486</v>
      </c>
      <c r="C1499" s="170">
        <v>12</v>
      </c>
      <c r="D1499" s="131" t="s">
        <v>555</v>
      </c>
      <c r="E1499" s="636">
        <f>IF(VLOOKUP($C1499,cbal!$D$273:$G$288,E$3,FALSE)=$D1499,cbalLOB2AvgBaseProdClinician12,IF(VLOOKUP($C1499,cbal!$D$273:$G$288,E$3,FALSE)=$B1499,cbalLOB2AvgBaseProdClinician12,0))</f>
        <v>0</v>
      </c>
      <c r="F1499" s="636">
        <f>IF(VLOOKUP($C1499,cbal!$D$273:$G$288,F$3,FALSE)=$D1499,cbalLOB2AvgBaseProdClinician12,IF(VLOOKUP($C1499,cbal!$D$273:$G$288,F$3,FALSE)=$B1499,cbalLOB2AvgBaseProdClinician12,0))</f>
        <v>0</v>
      </c>
      <c r="G1499" s="636">
        <f>IF(VLOOKUP($C1499,cbal!$D$273:$G$288,G$3,FALSE)=$D1499,cbalLOB2AvgBaseProdClinician12,IF(VLOOKUP($C1499,cbal!$D$273:$G$288,G$3,FALSE)=$B1499,cbalLOB2AvgBaseProdClinician12,0))</f>
        <v>0</v>
      </c>
      <c r="H1499" s="131" t="s">
        <v>2441</v>
      </c>
      <c r="J1499" s="131" t="s">
        <v>555</v>
      </c>
      <c r="K1499" s="560">
        <f>IF(VLOOKUP($C1499,cbal!$J$273:$M$288,K$3,FALSE)=$D1499,cbalR2LOB2AvgBaseProdClinician12,IF(VLOOKUP($C1499,cbal!$J$273:$M$288,K$3,FALSE)=$B1499,cbalR2LOB2AvgBaseProdClinician12,0))</f>
        <v>0</v>
      </c>
      <c r="L1499" s="560">
        <f>IF(VLOOKUP($C1499,cbal!$J$273:$M$288,L$3,FALSE)=$D1499,cbalR2LOB2AvgBaseProdClinician12,IF(VLOOKUP($C1499,cbal!$J$273:$M$288,L$3,FALSE)=$B1499,cbalR2LOB2AvgBaseProdClinician12,0))</f>
        <v>0</v>
      </c>
      <c r="M1499" s="560">
        <f>IF(VLOOKUP($C1499,cbal!$J$273:$M$288,M$3,FALSE)=$D1499,cbalR2LOB2AvgBaseProdClinician12,IF(VLOOKUP($C1499,cbal!$J$273:$M$288,M$3,FALSE)=$B1499,cbalR2LOB2AvgBaseProdClinician12,0))</f>
        <v>0</v>
      </c>
      <c r="N1499" s="131" t="s">
        <v>6991</v>
      </c>
    </row>
    <row r="1500" spans="1:14" ht="12.75" customHeight="1">
      <c r="A1500" s="478"/>
      <c r="B1500" s="458"/>
      <c r="C1500" s="170">
        <v>22</v>
      </c>
      <c r="D1500" s="131" t="s">
        <v>555</v>
      </c>
      <c r="E1500" s="748">
        <f>obalLOB2AvgProdClinician16</f>
        <v>35</v>
      </c>
      <c r="F1500" s="748">
        <f>obalLOB2AvgProdClinician16</f>
        <v>30</v>
      </c>
      <c r="G1500" s="748">
        <f>obalLOB2AvgProdClinician16</f>
        <v>55.000000000000007</v>
      </c>
      <c r="H1500" s="131" t="s">
        <v>4113</v>
      </c>
      <c r="J1500" s="131" t="s">
        <v>555</v>
      </c>
      <c r="K1500" s="747">
        <f>obalR2LOB2AvgProdClinician16</f>
        <v>33.25</v>
      </c>
      <c r="L1500" s="747">
        <f>obalR2LOB2AvgProdClinician16</f>
        <v>30</v>
      </c>
      <c r="M1500" s="747">
        <f>obalR2LOB2AvgProdClinician16</f>
        <v>55.000000000000007</v>
      </c>
      <c r="N1500" s="131" t="s">
        <v>6992</v>
      </c>
    </row>
    <row r="1501" spans="1:14" ht="1.5" customHeight="1">
      <c r="A1501" s="478"/>
      <c r="B1501" s="458"/>
      <c r="D1501" s="449"/>
      <c r="E1501" s="450"/>
      <c r="F1501" s="450"/>
      <c r="G1501" s="450"/>
      <c r="H1501" s="131"/>
      <c r="J1501" s="449"/>
      <c r="K1501" s="450"/>
      <c r="L1501" s="450"/>
      <c r="M1501" s="450"/>
      <c r="N1501" s="131"/>
    </row>
    <row r="1502" spans="1:14" ht="12.75" customHeight="1">
      <c r="A1502" s="478"/>
      <c r="B1502" s="458"/>
      <c r="D1502" s="131" t="s">
        <v>1587</v>
      </c>
      <c r="E1502" s="448">
        <f>SUM(E1488:E1501)</f>
        <v>57.680412371134025</v>
      </c>
      <c r="F1502" s="448">
        <f>SUM(F1488:F1501)</f>
        <v>52.680412371134025</v>
      </c>
      <c r="G1502" s="448">
        <f>SUM(G1488:G1501)</f>
        <v>77.680412371134025</v>
      </c>
      <c r="H1502" s="131" t="s">
        <v>2442</v>
      </c>
      <c r="J1502" s="131" t="s">
        <v>1587</v>
      </c>
      <c r="K1502" s="448">
        <f>SUM(K1488:K1501)</f>
        <v>55.930412371134025</v>
      </c>
      <c r="L1502" s="448">
        <f>SUM(L1488:L1501)</f>
        <v>52.680412371134025</v>
      </c>
      <c r="M1502" s="448">
        <f>SUM(M1488:M1501)</f>
        <v>77.680412371134025</v>
      </c>
      <c r="N1502" s="131" t="s">
        <v>6993</v>
      </c>
    </row>
    <row r="1503" spans="1:14" ht="12.75" customHeight="1">
      <c r="A1503" s="478"/>
      <c r="B1503" s="458"/>
    </row>
    <row r="1504" spans="1:14" ht="12.75" customHeight="1">
      <c r="A1504" s="478"/>
      <c r="B1504" s="458"/>
      <c r="C1504" s="131" t="s">
        <v>1616</v>
      </c>
    </row>
    <row r="1505" spans="1:14" ht="12.75" customHeight="1">
      <c r="A1505" s="478"/>
      <c r="B1505" s="458"/>
      <c r="C1505" s="170">
        <v>1</v>
      </c>
      <c r="D1505" s="131" t="s">
        <v>555</v>
      </c>
      <c r="E1505" s="452">
        <f>calcLOB2Clinician1Emp2BaseProd/calcLOB2Emp2BaseProdCapacity</f>
        <v>0</v>
      </c>
      <c r="F1505" s="452">
        <f>calcLOB2Clinician1Emp2BaseProd/calcLOB2Emp2BaseProdCapacity</f>
        <v>0</v>
      </c>
      <c r="G1505" s="452">
        <f>calcLOB2Clinician1Emp2BaseProd/calcLOB2Emp2BaseProdCapacity</f>
        <v>0</v>
      </c>
      <c r="H1505" s="131" t="s">
        <v>2443</v>
      </c>
      <c r="J1505" s="131" t="s">
        <v>555</v>
      </c>
      <c r="K1505" s="452">
        <f>calcR2LOB2Clinician1Emp2BaseProd/calcR2LOB2Emp2BaseProdCapacity</f>
        <v>0</v>
      </c>
      <c r="L1505" s="452">
        <f>calcR2LOB2Clinician1Emp2BaseProd/calcR2LOB2Emp2BaseProdCapacity</f>
        <v>0</v>
      </c>
      <c r="M1505" s="452">
        <f>calcR2LOB2Clinician1Emp2BaseProd/calcR2LOB2Emp2BaseProdCapacity</f>
        <v>0</v>
      </c>
      <c r="N1505" s="131" t="s">
        <v>6994</v>
      </c>
    </row>
    <row r="1506" spans="1:14" ht="12.75" customHeight="1">
      <c r="A1506" s="478"/>
      <c r="B1506" s="458"/>
      <c r="C1506" s="170">
        <v>2</v>
      </c>
      <c r="D1506" s="131" t="s">
        <v>555</v>
      </c>
      <c r="E1506" s="452">
        <f>calcLOB2Clinician2Emp2BaseProd/calcLOB2Emp2BaseProdCapacity</f>
        <v>0</v>
      </c>
      <c r="F1506" s="452">
        <f>calcLOB2Clinician2Emp2BaseProd/calcLOB2Emp2BaseProdCapacity</f>
        <v>0</v>
      </c>
      <c r="G1506" s="452">
        <f>calcLOB2Clinician2Emp2BaseProd/calcLOB2Emp2BaseProdCapacity</f>
        <v>0</v>
      </c>
      <c r="H1506" s="131" t="s">
        <v>2444</v>
      </c>
      <c r="J1506" s="131" t="s">
        <v>555</v>
      </c>
      <c r="K1506" s="452">
        <f>calcR2LOB2Clinician2Emp2BaseProd/calcR2LOB2Emp2BaseProdCapacity</f>
        <v>0</v>
      </c>
      <c r="L1506" s="452">
        <f>calcR2LOB2Clinician2Emp2BaseProd/calcR2LOB2Emp2BaseProdCapacity</f>
        <v>0</v>
      </c>
      <c r="M1506" s="452">
        <f>calcR2LOB2Clinician2Emp2BaseProd/calcR2LOB2Emp2BaseProdCapacity</f>
        <v>0</v>
      </c>
      <c r="N1506" s="131" t="s">
        <v>6995</v>
      </c>
    </row>
    <row r="1507" spans="1:14" ht="12.75" customHeight="1">
      <c r="A1507" s="478"/>
      <c r="B1507" s="458"/>
      <c r="C1507" s="170">
        <v>3</v>
      </c>
      <c r="D1507" s="131" t="s">
        <v>555</v>
      </c>
      <c r="E1507" s="452">
        <f>calcLOB2Clinician3Emp2BaseProd/calcLOB2Emp2BaseProdCapacity</f>
        <v>0</v>
      </c>
      <c r="F1507" s="452">
        <f>calcLOB2Clinician3Emp2BaseProd/calcLOB2Emp2BaseProdCapacity</f>
        <v>0</v>
      </c>
      <c r="G1507" s="452">
        <f>calcLOB2Clinician3Emp2BaseProd/calcLOB2Emp2BaseProdCapacity</f>
        <v>0</v>
      </c>
      <c r="H1507" s="131" t="s">
        <v>2445</v>
      </c>
      <c r="J1507" s="131" t="s">
        <v>555</v>
      </c>
      <c r="K1507" s="452">
        <f>calcR2LOB2Clinician3Emp2BaseProd/calcR2LOB2Emp2BaseProdCapacity</f>
        <v>0</v>
      </c>
      <c r="L1507" s="452">
        <f>calcR2LOB2Clinician3Emp2BaseProd/calcR2LOB2Emp2BaseProdCapacity</f>
        <v>0</v>
      </c>
      <c r="M1507" s="452">
        <f>calcR2LOB2Clinician3Emp2BaseProd/calcR2LOB2Emp2BaseProdCapacity</f>
        <v>0</v>
      </c>
      <c r="N1507" s="131" t="s">
        <v>6996</v>
      </c>
    </row>
    <row r="1508" spans="1:14" ht="12.75" customHeight="1">
      <c r="A1508" s="478"/>
      <c r="B1508" s="458"/>
      <c r="C1508" s="170">
        <v>4</v>
      </c>
      <c r="D1508" s="131" t="s">
        <v>555</v>
      </c>
      <c r="E1508" s="452">
        <f>calcLOB2Clinician4Emp2BaseProd/calcLOB2Emp2BaseProdCapacity</f>
        <v>0</v>
      </c>
      <c r="F1508" s="452">
        <f>calcLOB2Clinician4Emp2BaseProd/calcLOB2Emp2BaseProdCapacity</f>
        <v>0</v>
      </c>
      <c r="G1508" s="452">
        <f>calcLOB2Clinician4Emp2BaseProd/calcLOB2Emp2BaseProdCapacity</f>
        <v>0</v>
      </c>
      <c r="H1508" s="131" t="s">
        <v>2446</v>
      </c>
      <c r="J1508" s="131" t="s">
        <v>555</v>
      </c>
      <c r="K1508" s="452">
        <f>calcR2LOB2Clinician4Emp2BaseProd/calcR2LOB2Emp2BaseProdCapacity</f>
        <v>0</v>
      </c>
      <c r="L1508" s="452">
        <f>calcR2LOB2Clinician4Emp2BaseProd/calcR2LOB2Emp2BaseProdCapacity</f>
        <v>0</v>
      </c>
      <c r="M1508" s="452">
        <f>calcR2LOB2Clinician4Emp2BaseProd/calcR2LOB2Emp2BaseProdCapacity</f>
        <v>0</v>
      </c>
      <c r="N1508" s="131" t="s">
        <v>6997</v>
      </c>
    </row>
    <row r="1509" spans="1:14" ht="12.75" customHeight="1">
      <c r="A1509" s="478"/>
      <c r="B1509" s="458"/>
      <c r="C1509" s="170">
        <v>5</v>
      </c>
      <c r="D1509" s="131" t="s">
        <v>555</v>
      </c>
      <c r="E1509" s="452">
        <f>calcLOB2Clinician5Emp2BaseProd/calcLOB2Emp2BaseProdCapacity</f>
        <v>0</v>
      </c>
      <c r="F1509" s="452">
        <f>calcLOB2Clinician5Emp2BaseProd/calcLOB2Emp2BaseProdCapacity</f>
        <v>0</v>
      </c>
      <c r="G1509" s="452">
        <f>calcLOB2Clinician5Emp2BaseProd/calcLOB2Emp2BaseProdCapacity</f>
        <v>0</v>
      </c>
      <c r="H1509" s="131" t="s">
        <v>2447</v>
      </c>
      <c r="J1509" s="131" t="s">
        <v>555</v>
      </c>
      <c r="K1509" s="452">
        <f>calcR2LOB2Clinician5Emp2BaseProd/calcR2LOB2Emp2BaseProdCapacity</f>
        <v>0</v>
      </c>
      <c r="L1509" s="452">
        <f>calcR2LOB2Clinician5Emp2BaseProd/calcR2LOB2Emp2BaseProdCapacity</f>
        <v>0</v>
      </c>
      <c r="M1509" s="452">
        <f>calcR2LOB2Clinician5Emp2BaseProd/calcR2LOB2Emp2BaseProdCapacity</f>
        <v>0</v>
      </c>
      <c r="N1509" s="131" t="s">
        <v>6998</v>
      </c>
    </row>
    <row r="1510" spans="1:14" ht="12.75" customHeight="1">
      <c r="A1510" s="478"/>
      <c r="B1510" s="458"/>
      <c r="C1510" s="170">
        <v>6</v>
      </c>
      <c r="D1510" s="131" t="s">
        <v>555</v>
      </c>
      <c r="E1510" s="452">
        <f>calcLOB2Clinician6Emp2BaseProd/calcLOB2Emp2BaseProdCapacity</f>
        <v>0</v>
      </c>
      <c r="F1510" s="452">
        <f>calcLOB2Clinician6Emp2BaseProd/calcLOB2Emp2BaseProdCapacity</f>
        <v>0</v>
      </c>
      <c r="G1510" s="452">
        <f>calcLOB2Clinician6Emp2BaseProd/calcLOB2Emp2BaseProdCapacity</f>
        <v>0</v>
      </c>
      <c r="H1510" s="131" t="s">
        <v>2448</v>
      </c>
      <c r="J1510" s="131" t="s">
        <v>555</v>
      </c>
      <c r="K1510" s="452">
        <f>calcR2LOB2Clinician6Emp2BaseProd/calcR2LOB2Emp2BaseProdCapacity</f>
        <v>0</v>
      </c>
      <c r="L1510" s="452">
        <f>calcR2LOB2Clinician6Emp2BaseProd/calcR2LOB2Emp2BaseProdCapacity</f>
        <v>0</v>
      </c>
      <c r="M1510" s="452">
        <f>calcR2LOB2Clinician6Emp2BaseProd/calcR2LOB2Emp2BaseProdCapacity</f>
        <v>0</v>
      </c>
      <c r="N1510" s="131" t="s">
        <v>6999</v>
      </c>
    </row>
    <row r="1511" spans="1:14" ht="12.75" customHeight="1">
      <c r="A1511" s="478"/>
      <c r="B1511" s="458"/>
      <c r="C1511" s="170">
        <v>7</v>
      </c>
      <c r="D1511" s="131" t="s">
        <v>555</v>
      </c>
      <c r="E1511" s="452">
        <f>calcLOB2Clinician7Emp2BaseProd/calcLOB2Emp2BaseProdCapacity</f>
        <v>0</v>
      </c>
      <c r="F1511" s="452">
        <f>calcLOB2Clinician7Emp2BaseProd/calcLOB2Emp2BaseProdCapacity</f>
        <v>0</v>
      </c>
      <c r="G1511" s="452">
        <f>calcLOB2Clinician7Emp2BaseProd/calcLOB2Emp2BaseProdCapacity</f>
        <v>0</v>
      </c>
      <c r="H1511" s="131" t="s">
        <v>2449</v>
      </c>
      <c r="J1511" s="131" t="s">
        <v>555</v>
      </c>
      <c r="K1511" s="452">
        <f>calcR2LOB2Clinician7Emp2BaseProd/calcR2LOB2Emp2BaseProdCapacity</f>
        <v>0</v>
      </c>
      <c r="L1511" s="452">
        <f>calcR2LOB2Clinician7Emp2BaseProd/calcR2LOB2Emp2BaseProdCapacity</f>
        <v>0</v>
      </c>
      <c r="M1511" s="452">
        <f>calcR2LOB2Clinician7Emp2BaseProd/calcR2LOB2Emp2BaseProdCapacity</f>
        <v>0</v>
      </c>
      <c r="N1511" s="131" t="s">
        <v>7000</v>
      </c>
    </row>
    <row r="1512" spans="1:14" ht="12.75" customHeight="1">
      <c r="A1512" s="478"/>
      <c r="B1512" s="458"/>
      <c r="C1512" s="170">
        <v>8</v>
      </c>
      <c r="D1512" s="131" t="s">
        <v>555</v>
      </c>
      <c r="E1512" s="452">
        <f>calcLOB2Clinician8Emp2BaseProd/calcLOB2Emp2BaseProdCapacity</f>
        <v>0</v>
      </c>
      <c r="F1512" s="452">
        <f>calcLOB2Clinician8Emp2BaseProd/calcLOB2Emp2BaseProdCapacity</f>
        <v>0</v>
      </c>
      <c r="G1512" s="452">
        <f>calcLOB2Clinician8Emp2BaseProd/calcLOB2Emp2BaseProdCapacity</f>
        <v>0</v>
      </c>
      <c r="H1512" s="131" t="s">
        <v>2450</v>
      </c>
      <c r="J1512" s="131" t="s">
        <v>555</v>
      </c>
      <c r="K1512" s="452">
        <f>calcR2LOB2Clinician8Emp2BaseProd/calcR2LOB2Emp2BaseProdCapacity</f>
        <v>0</v>
      </c>
      <c r="L1512" s="452">
        <f>calcR2LOB2Clinician8Emp2BaseProd/calcR2LOB2Emp2BaseProdCapacity</f>
        <v>0</v>
      </c>
      <c r="M1512" s="452">
        <f>calcR2LOB2Clinician8Emp2BaseProd/calcR2LOB2Emp2BaseProdCapacity</f>
        <v>0</v>
      </c>
      <c r="N1512" s="131" t="s">
        <v>7001</v>
      </c>
    </row>
    <row r="1513" spans="1:14" ht="12.75" customHeight="1">
      <c r="A1513" s="478"/>
      <c r="B1513" s="458"/>
      <c r="C1513" s="170">
        <v>9</v>
      </c>
      <c r="D1513" s="131" t="s">
        <v>555</v>
      </c>
      <c r="E1513" s="452">
        <f>calcLOB2Clinician9Emp2BaseProd/calcLOB2Emp2BaseProdCapacity</f>
        <v>0</v>
      </c>
      <c r="F1513" s="452">
        <f>calcLOB2Clinician9Emp2BaseProd/calcLOB2Emp2BaseProdCapacity</f>
        <v>0</v>
      </c>
      <c r="G1513" s="452">
        <f>calcLOB2Clinician9Emp2BaseProd/calcLOB2Emp2BaseProdCapacity</f>
        <v>0</v>
      </c>
      <c r="H1513" s="131" t="s">
        <v>2451</v>
      </c>
      <c r="J1513" s="131" t="s">
        <v>555</v>
      </c>
      <c r="K1513" s="452">
        <f>calcR2LOB2Clinician9Emp2BaseProd/calcR2LOB2Emp2BaseProdCapacity</f>
        <v>0</v>
      </c>
      <c r="L1513" s="452">
        <f>calcR2LOB2Clinician9Emp2BaseProd/calcR2LOB2Emp2BaseProdCapacity</f>
        <v>0</v>
      </c>
      <c r="M1513" s="452">
        <f>calcR2LOB2Clinician9Emp2BaseProd/calcR2LOB2Emp2BaseProdCapacity</f>
        <v>0</v>
      </c>
      <c r="N1513" s="131" t="s">
        <v>7002</v>
      </c>
    </row>
    <row r="1514" spans="1:14" ht="12.75" customHeight="1">
      <c r="A1514" s="478"/>
      <c r="B1514" s="458"/>
      <c r="C1514" s="170">
        <v>10</v>
      </c>
      <c r="D1514" s="131" t="s">
        <v>555</v>
      </c>
      <c r="E1514" s="452">
        <f>calcLOB2Clinician10Emp2BaseProd/calcLOB2Emp2BaseProdCapacity</f>
        <v>0.39320822162645219</v>
      </c>
      <c r="F1514" s="452">
        <f>calcLOB2Clinician10Emp2BaseProd/calcLOB2Emp2BaseProdCapacity</f>
        <v>0.43052837573385516</v>
      </c>
      <c r="G1514" s="452">
        <f>calcLOB2Clinician10Emp2BaseProd/calcLOB2Emp2BaseProdCapacity</f>
        <v>0.29197080291970801</v>
      </c>
      <c r="H1514" s="131" t="s">
        <v>2452</v>
      </c>
      <c r="J1514" s="131" t="s">
        <v>555</v>
      </c>
      <c r="K1514" s="452">
        <f>calcR2LOB2Clinician10Emp2BaseProd/calcR2LOB2Emp2BaseProdCapacity</f>
        <v>0.40551126676190036</v>
      </c>
      <c r="L1514" s="452">
        <f>calcR2LOB2Clinician10Emp2BaseProd/calcR2LOB2Emp2BaseProdCapacity</f>
        <v>0.43052837573385516</v>
      </c>
      <c r="M1514" s="452">
        <f>calcR2LOB2Clinician10Emp2BaseProd/calcR2LOB2Emp2BaseProdCapacity</f>
        <v>0.29197080291970801</v>
      </c>
      <c r="N1514" s="131" t="s">
        <v>7003</v>
      </c>
    </row>
    <row r="1515" spans="1:14" ht="12.75" customHeight="1">
      <c r="A1515" s="478"/>
      <c r="B1515" s="458"/>
      <c r="C1515" s="170">
        <v>11</v>
      </c>
      <c r="D1515" s="131" t="s">
        <v>555</v>
      </c>
      <c r="E1515" s="452">
        <f>calcLOB2Clinician11Emp2BaseProd/calcLOB2Emp2BaseProdCapacity</f>
        <v>0</v>
      </c>
      <c r="F1515" s="452">
        <f>calcLOB2Clinician11Emp2BaseProd/calcLOB2Emp2BaseProdCapacity</f>
        <v>0</v>
      </c>
      <c r="G1515" s="452">
        <f>calcLOB2Clinician11Emp2BaseProd/calcLOB2Emp2BaseProdCapacity</f>
        <v>0</v>
      </c>
      <c r="H1515" s="131" t="s">
        <v>2453</v>
      </c>
      <c r="J1515" s="131" t="s">
        <v>555</v>
      </c>
      <c r="K1515" s="452">
        <f>calcR2LOB2Clinician11Emp2BaseProd/calcR2LOB2Emp2BaseProdCapacity</f>
        <v>0</v>
      </c>
      <c r="L1515" s="452">
        <f>calcR2LOB2Clinician11Emp2BaseProd/calcR2LOB2Emp2BaseProdCapacity</f>
        <v>0</v>
      </c>
      <c r="M1515" s="452">
        <f>calcR2LOB2Clinician11Emp2BaseProd/calcR2LOB2Emp2BaseProdCapacity</f>
        <v>0</v>
      </c>
      <c r="N1515" s="131" t="s">
        <v>7004</v>
      </c>
    </row>
    <row r="1516" spans="1:14" ht="12.75" customHeight="1">
      <c r="A1516" s="478"/>
      <c r="B1516" s="458"/>
      <c r="C1516" s="170">
        <v>12</v>
      </c>
      <c r="D1516" s="131" t="s">
        <v>555</v>
      </c>
      <c r="E1516" s="452">
        <f>calcLOB2Clinician12Emp2BaseProd/calcLOB2Emp2BaseProdCapacity</f>
        <v>0</v>
      </c>
      <c r="F1516" s="452">
        <f>calcLOB2Clinician12Emp2BaseProd/calcLOB2Emp2BaseProdCapacity</f>
        <v>0</v>
      </c>
      <c r="G1516" s="452">
        <f>calcLOB2Clinician12Emp2BaseProd/calcLOB2Emp2BaseProdCapacity</f>
        <v>0</v>
      </c>
      <c r="H1516" s="131" t="s">
        <v>2454</v>
      </c>
      <c r="J1516" s="131" t="s">
        <v>555</v>
      </c>
      <c r="K1516" s="452">
        <f>calcR2LOB2Clinician12Emp2BaseProd/calcR2LOB2Emp2BaseProdCapacity</f>
        <v>0</v>
      </c>
      <c r="L1516" s="452">
        <f>calcR2LOB2Clinician12Emp2BaseProd/calcR2LOB2Emp2BaseProdCapacity</f>
        <v>0</v>
      </c>
      <c r="M1516" s="452">
        <f>calcR2LOB2Clinician12Emp2BaseProd/calcR2LOB2Emp2BaseProdCapacity</f>
        <v>0</v>
      </c>
      <c r="N1516" s="131" t="s">
        <v>7005</v>
      </c>
    </row>
    <row r="1517" spans="1:14" ht="12.75" customHeight="1">
      <c r="A1517" s="478"/>
      <c r="B1517" s="458"/>
      <c r="D1517" s="131" t="s">
        <v>555</v>
      </c>
      <c r="E1517" s="452">
        <f>calcLOB2Clinician16Emp2BaseProd/calcLOB2Emp2BaseProdCapacity</f>
        <v>0.60679177837354781</v>
      </c>
      <c r="F1517" s="452">
        <f>calcLOB2Clinician16Emp2BaseProd/calcLOB2Emp2BaseProdCapacity</f>
        <v>0.56947162426614473</v>
      </c>
      <c r="G1517" s="452">
        <f>calcLOB2Clinician16Emp2BaseProd/calcLOB2Emp2BaseProdCapacity</f>
        <v>0.70802919708029199</v>
      </c>
      <c r="H1517" s="131" t="s">
        <v>4114</v>
      </c>
      <c r="J1517" s="131" t="s">
        <v>555</v>
      </c>
      <c r="K1517" s="452">
        <f>calcR2LOB2Clinician16Emp2BaseProd/calcR2LOB2Emp2BaseProdCapacity</f>
        <v>0.59448873323809959</v>
      </c>
      <c r="L1517" s="452">
        <f>calcR2LOB2Clinician16Emp2BaseProd/calcR2LOB2Emp2BaseProdCapacity</f>
        <v>0.56947162426614473</v>
      </c>
      <c r="M1517" s="452">
        <f>calcR2LOB2Clinician16Emp2BaseProd/calcR2LOB2Emp2BaseProdCapacity</f>
        <v>0.70802919708029199</v>
      </c>
      <c r="N1517" s="131" t="s">
        <v>7006</v>
      </c>
    </row>
    <row r="1518" spans="1:14" ht="12.75" customHeight="1">
      <c r="A1518" s="478"/>
      <c r="B1518" s="458"/>
    </row>
    <row r="1519" spans="1:14" ht="12.75" customHeight="1">
      <c r="A1519" s="478"/>
      <c r="B1519" s="458"/>
      <c r="C1519" s="131" t="s">
        <v>3589</v>
      </c>
    </row>
    <row r="1520" spans="1:14" ht="12.75" customHeight="1">
      <c r="A1520" s="478"/>
      <c r="B1520" s="458"/>
      <c r="C1520" s="170">
        <v>1</v>
      </c>
      <c r="D1520" s="131" t="s">
        <v>555</v>
      </c>
      <c r="E1520" s="453">
        <f>calcLOB2Emp2Visits/paramWorkWeeksPYear*calcLOB2Clinician1Emp2AllowPerc</f>
        <v>0</v>
      </c>
      <c r="F1520" s="453">
        <f>calcLOB2Emp2Visits/paramWorkWeeksPYear*calcLOB2Clinician1Emp2AllowPerc</f>
        <v>0</v>
      </c>
      <c r="G1520" s="453">
        <f>calcLOB2Emp2Visits/paramWorkWeeksPYear*calcLOB2Clinician1Emp2AllowPerc</f>
        <v>0</v>
      </c>
      <c r="H1520" s="131" t="s">
        <v>3639</v>
      </c>
      <c r="J1520" s="131" t="s">
        <v>555</v>
      </c>
      <c r="K1520" s="453">
        <f>calcR2LOB2Emp2Visits/paramR2WorkWeeksPYear*calcR2LOB2Clinician1Emp2AllowPerc</f>
        <v>0</v>
      </c>
      <c r="L1520" s="453">
        <f>calcR2LOB2Emp2Visits/paramR2WorkWeeksPYear*calcR2LOB2Clinician1Emp2AllowPerc</f>
        <v>0</v>
      </c>
      <c r="M1520" s="453">
        <f>calcR2LOB2Emp2Visits/paramR2WorkWeeksPYear*calcR2LOB2Clinician1Emp2AllowPerc</f>
        <v>0</v>
      </c>
      <c r="N1520" s="131" t="s">
        <v>7007</v>
      </c>
    </row>
    <row r="1521" spans="1:14" ht="12.75" customHeight="1">
      <c r="A1521" s="478"/>
      <c r="B1521" s="458"/>
      <c r="C1521" s="170">
        <v>2</v>
      </c>
      <c r="D1521" s="131" t="s">
        <v>555</v>
      </c>
      <c r="E1521" s="453">
        <f>calcLOB2Emp2Visits/paramWorkWeeksPYear*calcLOB2Clinician2Emp2AllowPerc</f>
        <v>0</v>
      </c>
      <c r="F1521" s="453">
        <f>calcLOB2Emp2Visits/paramWorkWeeksPYear*calcLOB2Clinician2Emp2AllowPerc</f>
        <v>0</v>
      </c>
      <c r="G1521" s="453">
        <f>calcLOB2Emp2Visits/paramWorkWeeksPYear*calcLOB2Clinician2Emp2AllowPerc</f>
        <v>0</v>
      </c>
      <c r="H1521" s="131" t="s">
        <v>3640</v>
      </c>
      <c r="J1521" s="131" t="s">
        <v>555</v>
      </c>
      <c r="K1521" s="453">
        <f>calcR2LOB2Emp2Visits/paramR2WorkWeeksPYear*calcR2LOB2Clinician2Emp2AllowPerc</f>
        <v>0</v>
      </c>
      <c r="L1521" s="453">
        <f>calcR2LOB2Emp2Visits/paramR2WorkWeeksPYear*calcR2LOB2Clinician2Emp2AllowPerc</f>
        <v>0</v>
      </c>
      <c r="M1521" s="453">
        <f>calcR2LOB2Emp2Visits/paramR2WorkWeeksPYear*calcR2LOB2Clinician2Emp2AllowPerc</f>
        <v>0</v>
      </c>
      <c r="N1521" s="131" t="s">
        <v>7008</v>
      </c>
    </row>
    <row r="1522" spans="1:14" ht="12.75" customHeight="1">
      <c r="A1522" s="478"/>
      <c r="B1522" s="458"/>
      <c r="C1522" s="170">
        <v>3</v>
      </c>
      <c r="D1522" s="131" t="s">
        <v>555</v>
      </c>
      <c r="E1522" s="453">
        <f>calcLOB2Emp2Visits/paramWorkWeeksPYear*calcLOB2Clinician3Emp2AllowPerc</f>
        <v>0</v>
      </c>
      <c r="F1522" s="453">
        <f>calcLOB2Emp2Visits/paramWorkWeeksPYear*calcLOB2Clinician3Emp2AllowPerc</f>
        <v>0</v>
      </c>
      <c r="G1522" s="453">
        <f>calcLOB2Emp2Visits/paramWorkWeeksPYear*calcLOB2Clinician3Emp2AllowPerc</f>
        <v>0</v>
      </c>
      <c r="H1522" s="131" t="s">
        <v>3641</v>
      </c>
      <c r="J1522" s="131" t="s">
        <v>555</v>
      </c>
      <c r="K1522" s="453">
        <f>calcR2LOB2Emp2Visits/paramR2WorkWeeksPYear*calcR2LOB2Clinician3Emp2AllowPerc</f>
        <v>0</v>
      </c>
      <c r="L1522" s="453">
        <f>calcR2LOB2Emp2Visits/paramR2WorkWeeksPYear*calcR2LOB2Clinician3Emp2AllowPerc</f>
        <v>0</v>
      </c>
      <c r="M1522" s="453">
        <f>calcR2LOB2Emp2Visits/paramR2WorkWeeksPYear*calcR2LOB2Clinician3Emp2AllowPerc</f>
        <v>0</v>
      </c>
      <c r="N1522" s="131" t="s">
        <v>7009</v>
      </c>
    </row>
    <row r="1523" spans="1:14" ht="12.75" customHeight="1">
      <c r="A1523" s="478"/>
      <c r="B1523" s="458"/>
      <c r="C1523" s="170">
        <v>4</v>
      </c>
      <c r="D1523" s="131" t="s">
        <v>555</v>
      </c>
      <c r="E1523" s="453">
        <f>calcLOB2Emp2Visits/paramWorkWeeksPYear*calcLOB2Clinician4Emp2AllowPerc</f>
        <v>0</v>
      </c>
      <c r="F1523" s="453">
        <f>calcLOB2Emp2Visits/paramWorkWeeksPYear*calcLOB2Clinician4Emp2AllowPerc</f>
        <v>0</v>
      </c>
      <c r="G1523" s="453">
        <f>calcLOB2Emp2Visits/paramWorkWeeksPYear*calcLOB2Clinician4Emp2AllowPerc</f>
        <v>0</v>
      </c>
      <c r="H1523" s="131" t="s">
        <v>3642</v>
      </c>
      <c r="J1523" s="131" t="s">
        <v>555</v>
      </c>
      <c r="K1523" s="453">
        <f>calcR2LOB2Emp2Visits/paramR2WorkWeeksPYear*calcR2LOB2Clinician4Emp2AllowPerc</f>
        <v>0</v>
      </c>
      <c r="L1523" s="453">
        <f>calcR2LOB2Emp2Visits/paramR2WorkWeeksPYear*calcR2LOB2Clinician4Emp2AllowPerc</f>
        <v>0</v>
      </c>
      <c r="M1523" s="453">
        <f>calcR2LOB2Emp2Visits/paramR2WorkWeeksPYear*calcR2LOB2Clinician4Emp2AllowPerc</f>
        <v>0</v>
      </c>
      <c r="N1523" s="131" t="s">
        <v>7010</v>
      </c>
    </row>
    <row r="1524" spans="1:14" ht="12.75" customHeight="1">
      <c r="A1524" s="478"/>
      <c r="B1524" s="458"/>
      <c r="C1524" s="170">
        <v>5</v>
      </c>
      <c r="D1524" s="131" t="s">
        <v>555</v>
      </c>
      <c r="E1524" s="453">
        <f>calcLOB2Emp2Visits/paramWorkWeeksPYear*calcLOB2Clinician5Emp2AllowPerc</f>
        <v>0</v>
      </c>
      <c r="F1524" s="453">
        <f>calcLOB2Emp2Visits/paramWorkWeeksPYear*calcLOB2Clinician5Emp2AllowPerc</f>
        <v>0</v>
      </c>
      <c r="G1524" s="453">
        <f>calcLOB2Emp2Visits/paramWorkWeeksPYear*calcLOB2Clinician5Emp2AllowPerc</f>
        <v>0</v>
      </c>
      <c r="H1524" s="131" t="s">
        <v>3643</v>
      </c>
      <c r="J1524" s="131" t="s">
        <v>555</v>
      </c>
      <c r="K1524" s="453">
        <f>calcR2LOB2Emp2Visits/paramR2WorkWeeksPYear*calcR2LOB2Clinician5Emp2AllowPerc</f>
        <v>0</v>
      </c>
      <c r="L1524" s="453">
        <f>calcR2LOB2Emp2Visits/paramR2WorkWeeksPYear*calcR2LOB2Clinician5Emp2AllowPerc</f>
        <v>0</v>
      </c>
      <c r="M1524" s="453">
        <f>calcR2LOB2Emp2Visits/paramR2WorkWeeksPYear*calcR2LOB2Clinician5Emp2AllowPerc</f>
        <v>0</v>
      </c>
      <c r="N1524" s="131" t="s">
        <v>7011</v>
      </c>
    </row>
    <row r="1525" spans="1:14" ht="12.75" customHeight="1">
      <c r="A1525" s="478"/>
      <c r="B1525" s="458"/>
      <c r="C1525" s="170">
        <v>6</v>
      </c>
      <c r="D1525" s="131" t="s">
        <v>555</v>
      </c>
      <c r="E1525" s="453">
        <f>calcLOB2Emp2Visits/paramWorkWeeksPYear*calcLOB2Clinician6Emp2AllowPerc</f>
        <v>0</v>
      </c>
      <c r="F1525" s="453">
        <f>calcLOB2Emp2Visits/paramWorkWeeksPYear*calcLOB2Clinician6Emp2AllowPerc</f>
        <v>0</v>
      </c>
      <c r="G1525" s="453">
        <f>calcLOB2Emp2Visits/paramWorkWeeksPYear*calcLOB2Clinician6Emp2AllowPerc</f>
        <v>0</v>
      </c>
      <c r="H1525" s="131" t="s">
        <v>3644</v>
      </c>
      <c r="J1525" s="131" t="s">
        <v>555</v>
      </c>
      <c r="K1525" s="453">
        <f>calcR2LOB2Emp2Visits/paramR2WorkWeeksPYear*calcR2LOB2Clinician6Emp2AllowPerc</f>
        <v>0</v>
      </c>
      <c r="L1525" s="453">
        <f>calcR2LOB2Emp2Visits/paramR2WorkWeeksPYear*calcR2LOB2Clinician6Emp2AllowPerc</f>
        <v>0</v>
      </c>
      <c r="M1525" s="453">
        <f>calcR2LOB2Emp2Visits/paramR2WorkWeeksPYear*calcR2LOB2Clinician6Emp2AllowPerc</f>
        <v>0</v>
      </c>
      <c r="N1525" s="131" t="s">
        <v>7012</v>
      </c>
    </row>
    <row r="1526" spans="1:14" ht="12.75" customHeight="1">
      <c r="A1526" s="478"/>
      <c r="B1526" s="458"/>
      <c r="C1526" s="170">
        <v>7</v>
      </c>
      <c r="D1526" s="131" t="s">
        <v>555</v>
      </c>
      <c r="E1526" s="453">
        <f>calcLOB2Emp2Visits/paramWorkWeeksPYear*calcLOB2Clinician7Emp2AllowPerc</f>
        <v>0</v>
      </c>
      <c r="F1526" s="453">
        <f>calcLOB2Emp2Visits/paramWorkWeeksPYear*calcLOB2Clinician7Emp2AllowPerc</f>
        <v>0</v>
      </c>
      <c r="G1526" s="453">
        <f>calcLOB2Emp2Visits/paramWorkWeeksPYear*calcLOB2Clinician7Emp2AllowPerc</f>
        <v>0</v>
      </c>
      <c r="H1526" s="131" t="s">
        <v>3645</v>
      </c>
      <c r="J1526" s="131" t="s">
        <v>555</v>
      </c>
      <c r="K1526" s="453">
        <f>calcR2LOB2Emp2Visits/paramR2WorkWeeksPYear*calcR2LOB2Clinician7Emp2AllowPerc</f>
        <v>0</v>
      </c>
      <c r="L1526" s="453">
        <f>calcR2LOB2Emp2Visits/paramR2WorkWeeksPYear*calcR2LOB2Clinician7Emp2AllowPerc</f>
        <v>0</v>
      </c>
      <c r="M1526" s="453">
        <f>calcR2LOB2Emp2Visits/paramR2WorkWeeksPYear*calcR2LOB2Clinician7Emp2AllowPerc</f>
        <v>0</v>
      </c>
      <c r="N1526" s="131" t="s">
        <v>7013</v>
      </c>
    </row>
    <row r="1527" spans="1:14" ht="12.75" customHeight="1">
      <c r="A1527" s="478"/>
      <c r="B1527" s="458"/>
      <c r="C1527" s="170">
        <v>8</v>
      </c>
      <c r="D1527" s="131" t="s">
        <v>555</v>
      </c>
      <c r="E1527" s="453">
        <f>calcLOB2Emp2Visits/paramWorkWeeksPYear*calcLOB2Clinician8Emp2AllowPerc</f>
        <v>0</v>
      </c>
      <c r="F1527" s="453">
        <f>calcLOB2Emp2Visits/paramWorkWeeksPYear*calcLOB2Clinician8Emp2AllowPerc</f>
        <v>0</v>
      </c>
      <c r="G1527" s="453">
        <f>calcLOB2Emp2Visits/paramWorkWeeksPYear*calcLOB2Clinician8Emp2AllowPerc</f>
        <v>0</v>
      </c>
      <c r="H1527" s="131" t="s">
        <v>3646</v>
      </c>
      <c r="J1527" s="131" t="s">
        <v>555</v>
      </c>
      <c r="K1527" s="453">
        <f>calcR2LOB2Emp2Visits/paramR2WorkWeeksPYear*calcR2LOB2Clinician8Emp2AllowPerc</f>
        <v>0</v>
      </c>
      <c r="L1527" s="453">
        <f>calcR2LOB2Emp2Visits/paramR2WorkWeeksPYear*calcR2LOB2Clinician8Emp2AllowPerc</f>
        <v>0</v>
      </c>
      <c r="M1527" s="453">
        <f>calcR2LOB2Emp2Visits/paramR2WorkWeeksPYear*calcR2LOB2Clinician8Emp2AllowPerc</f>
        <v>0</v>
      </c>
      <c r="N1527" s="131" t="s">
        <v>7014</v>
      </c>
    </row>
    <row r="1528" spans="1:14" ht="12.75" customHeight="1">
      <c r="A1528" s="478"/>
      <c r="B1528" s="458"/>
      <c r="C1528" s="170">
        <v>9</v>
      </c>
      <c r="D1528" s="131" t="s">
        <v>555</v>
      </c>
      <c r="E1528" s="453">
        <f>calcLOB2Emp2Visits/paramWorkWeeksPYear*calcLOB2Clinician9Emp2AllowPerc</f>
        <v>0</v>
      </c>
      <c r="F1528" s="453">
        <f>calcLOB2Emp2Visits/paramWorkWeeksPYear*calcLOB2Clinician9Emp2AllowPerc</f>
        <v>0</v>
      </c>
      <c r="G1528" s="453">
        <f>calcLOB2Emp2Visits/paramWorkWeeksPYear*calcLOB2Clinician9Emp2AllowPerc</f>
        <v>0</v>
      </c>
      <c r="H1528" s="131" t="s">
        <v>3647</v>
      </c>
      <c r="J1528" s="131" t="s">
        <v>555</v>
      </c>
      <c r="K1528" s="453">
        <f>calcR2LOB2Emp2Visits/paramR2WorkWeeksPYear*calcR2LOB2Clinician9Emp2AllowPerc</f>
        <v>0</v>
      </c>
      <c r="L1528" s="453">
        <f>calcR2LOB2Emp2Visits/paramR2WorkWeeksPYear*calcR2LOB2Clinician9Emp2AllowPerc</f>
        <v>0</v>
      </c>
      <c r="M1528" s="453">
        <f>calcR2LOB2Emp2Visits/paramR2WorkWeeksPYear*calcR2LOB2Clinician9Emp2AllowPerc</f>
        <v>0</v>
      </c>
      <c r="N1528" s="131" t="s">
        <v>7015</v>
      </c>
    </row>
    <row r="1529" spans="1:14" ht="12.75" customHeight="1">
      <c r="A1529" s="478"/>
      <c r="B1529" s="458"/>
      <c r="C1529" s="170">
        <v>10</v>
      </c>
      <c r="D1529" s="131" t="s">
        <v>555</v>
      </c>
      <c r="E1529" s="453">
        <f>calcLOB2Emp2Visits/paramWorkWeeksPYear*calcLOB2Clinician10Emp2AllowPerc</f>
        <v>22.176943699731908</v>
      </c>
      <c r="F1529" s="453">
        <f>calcLOB2Emp2Visits/paramWorkWeeksPYear*calcLOB2Clinician10Emp2AllowPerc</f>
        <v>18.598825831702548</v>
      </c>
      <c r="G1529" s="453">
        <f>calcLOB2Emp2Visits/paramWorkWeeksPYear*calcLOB2Clinician10Emp2AllowPerc</f>
        <v>25.138686131386862</v>
      </c>
      <c r="H1529" s="131" t="s">
        <v>3648</v>
      </c>
      <c r="J1529" s="131" t="s">
        <v>555</v>
      </c>
      <c r="K1529" s="453">
        <f>calcR2LOB2Emp2Visits/paramR2WorkWeeksPYear*calcR2LOB2Clinician10Emp2AllowPerc</f>
        <v>23.844062485599743</v>
      </c>
      <c r="L1529" s="453">
        <f>calcR2LOB2Emp2Visits/paramR2WorkWeeksPYear*calcR2LOB2Clinician10Emp2AllowPerc</f>
        <v>18.598825831702548</v>
      </c>
      <c r="M1529" s="453">
        <f>calcR2LOB2Emp2Visits/paramR2WorkWeeksPYear*calcR2LOB2Clinician10Emp2AllowPerc</f>
        <v>25.138686131386862</v>
      </c>
      <c r="N1529" s="131" t="s">
        <v>7016</v>
      </c>
    </row>
    <row r="1530" spans="1:14" ht="12.75" customHeight="1">
      <c r="A1530" s="478"/>
      <c r="B1530" s="458"/>
      <c r="C1530" s="170">
        <v>11</v>
      </c>
      <c r="D1530" s="131" t="s">
        <v>555</v>
      </c>
      <c r="E1530" s="453">
        <f>calcLOB2Emp2Visits/paramWorkWeeksPYear*calcLOB2Clinician11Emp2AllowPerc</f>
        <v>0</v>
      </c>
      <c r="F1530" s="453">
        <f>calcLOB2Emp2Visits/paramWorkWeeksPYear*calcLOB2Clinician11Emp2AllowPerc</f>
        <v>0</v>
      </c>
      <c r="G1530" s="453">
        <f>calcLOB2Emp2Visits/paramWorkWeeksPYear*calcLOB2Clinician11Emp2AllowPerc</f>
        <v>0</v>
      </c>
      <c r="H1530" s="131" t="s">
        <v>3649</v>
      </c>
      <c r="J1530" s="131" t="s">
        <v>555</v>
      </c>
      <c r="K1530" s="453">
        <f>calcR2LOB2Emp2Visits/paramR2WorkWeeksPYear*calcR2LOB2Clinician11Emp2AllowPerc</f>
        <v>0</v>
      </c>
      <c r="L1530" s="453">
        <f>calcR2LOB2Emp2Visits/paramR2WorkWeeksPYear*calcR2LOB2Clinician11Emp2AllowPerc</f>
        <v>0</v>
      </c>
      <c r="M1530" s="453">
        <f>calcR2LOB2Emp2Visits/paramR2WorkWeeksPYear*calcR2LOB2Clinician11Emp2AllowPerc</f>
        <v>0</v>
      </c>
      <c r="N1530" s="131" t="s">
        <v>7017</v>
      </c>
    </row>
    <row r="1531" spans="1:14" ht="12.75" customHeight="1">
      <c r="A1531" s="478"/>
      <c r="B1531" s="458"/>
      <c r="C1531" s="170">
        <v>12</v>
      </c>
      <c r="D1531" s="131" t="s">
        <v>555</v>
      </c>
      <c r="E1531" s="453">
        <f>calcLOB2Emp2Visits/paramWorkWeeksPYear*calcLOB2Clinician12Emp2AllowPerc</f>
        <v>0</v>
      </c>
      <c r="F1531" s="453">
        <f>calcLOB2Emp2Visits/paramWorkWeeksPYear*calcLOB2Clinician12Emp2AllowPerc</f>
        <v>0</v>
      </c>
      <c r="G1531" s="453">
        <f>calcLOB2Emp2Visits/paramWorkWeeksPYear*calcLOB2Clinician12Emp2AllowPerc</f>
        <v>0</v>
      </c>
      <c r="H1531" s="131" t="s">
        <v>3650</v>
      </c>
      <c r="J1531" s="131" t="s">
        <v>555</v>
      </c>
      <c r="K1531" s="453">
        <f>calcR2LOB2Emp2Visits/paramR2WorkWeeksPYear*calcR2LOB2Clinician12Emp2AllowPerc</f>
        <v>0</v>
      </c>
      <c r="L1531" s="453">
        <f>calcR2LOB2Emp2Visits/paramR2WorkWeeksPYear*calcR2LOB2Clinician12Emp2AllowPerc</f>
        <v>0</v>
      </c>
      <c r="M1531" s="453">
        <f>calcR2LOB2Emp2Visits/paramR2WorkWeeksPYear*calcR2LOB2Clinician12Emp2AllowPerc</f>
        <v>0</v>
      </c>
      <c r="N1531" s="131" t="s">
        <v>7018</v>
      </c>
    </row>
    <row r="1532" spans="1:14" ht="12.75" customHeight="1">
      <c r="A1532" s="478"/>
      <c r="B1532" s="458"/>
      <c r="D1532" s="131" t="s">
        <v>555</v>
      </c>
      <c r="E1532" s="453">
        <f>calcLOB2Emp2Visits/paramWorkWeeksPYear*calcLOB2Clinician16Emp2AllowPerc</f>
        <v>34.223056300268098</v>
      </c>
      <c r="F1532" s="453">
        <f>calcLOB2Emp2Visits/paramWorkWeeksPYear*calcLOB2Clinician16Emp2AllowPerc</f>
        <v>24.601174168297458</v>
      </c>
      <c r="G1532" s="453">
        <f>calcLOB2Emp2Visits/paramWorkWeeksPYear*calcLOB2Clinician16Emp2AllowPerc</f>
        <v>60.961313868613146</v>
      </c>
      <c r="H1532" s="131" t="s">
        <v>4115</v>
      </c>
      <c r="J1532" s="131" t="s">
        <v>555</v>
      </c>
      <c r="K1532" s="453">
        <f>calcR2LOB2Emp2Visits/paramR2WorkWeeksPYear*calcR2LOB2Clinician16Emp2AllowPerc</f>
        <v>34.955937514400262</v>
      </c>
      <c r="L1532" s="453">
        <f>calcR2LOB2Emp2Visits/paramR2WorkWeeksPYear*calcR2LOB2Clinician16Emp2AllowPerc</f>
        <v>24.601174168297458</v>
      </c>
      <c r="M1532" s="453">
        <f>calcR2LOB2Emp2Visits/paramR2WorkWeeksPYear*calcR2LOB2Clinician16Emp2AllowPerc</f>
        <v>60.961313868613146</v>
      </c>
      <c r="N1532" s="131" t="s">
        <v>7019</v>
      </c>
    </row>
    <row r="1533" spans="1:14" ht="1.5" customHeight="1">
      <c r="A1533" s="461"/>
      <c r="B1533" s="459"/>
      <c r="D1533" s="449"/>
      <c r="E1533" s="751"/>
      <c r="F1533" s="751"/>
      <c r="G1533" s="751"/>
      <c r="H1533" s="131"/>
      <c r="J1533" s="449"/>
      <c r="K1533" s="450"/>
      <c r="L1533" s="450"/>
      <c r="M1533" s="450"/>
      <c r="N1533" s="131"/>
    </row>
    <row r="1534" spans="1:14" ht="12.75" customHeight="1">
      <c r="A1534" s="461"/>
      <c r="B1534" s="459"/>
      <c r="D1534" s="131" t="s">
        <v>13</v>
      </c>
      <c r="E1534" s="453">
        <f>SUM(E1520:E1533)</f>
        <v>56.400000000000006</v>
      </c>
      <c r="F1534" s="453">
        <f t="shared" ref="F1534:G1534" si="202">SUM(F1520:F1533)</f>
        <v>43.2</v>
      </c>
      <c r="G1534" s="453">
        <f t="shared" si="202"/>
        <v>86.100000000000009</v>
      </c>
      <c r="H1534" s="131" t="s">
        <v>8355</v>
      </c>
      <c r="J1534" s="131"/>
      <c r="K1534" s="453">
        <f>SUM(K1520:K1533)</f>
        <v>58.800000000000004</v>
      </c>
      <c r="L1534" s="453">
        <f t="shared" ref="L1534" si="203">SUM(L1520:L1533)</f>
        <v>43.2</v>
      </c>
      <c r="M1534" s="453">
        <f t="shared" ref="M1534" si="204">SUM(M1520:M1533)</f>
        <v>86.100000000000009</v>
      </c>
      <c r="N1534" s="131" t="s">
        <v>8356</v>
      </c>
    </row>
    <row r="1535" spans="1:14" ht="12.75" customHeight="1">
      <c r="A1535" s="478"/>
      <c r="B1535" s="458"/>
    </row>
    <row r="1536" spans="1:14" ht="12.75" customHeight="1">
      <c r="A1536" s="478"/>
      <c r="B1536" s="458"/>
      <c r="C1536" s="131" t="s">
        <v>3638</v>
      </c>
    </row>
    <row r="1537" spans="1:14" ht="12.75" customHeight="1">
      <c r="A1537" s="478"/>
      <c r="B1537" s="458"/>
      <c r="C1537" s="170">
        <v>1</v>
      </c>
      <c r="D1537" s="131" t="s">
        <v>555</v>
      </c>
      <c r="E1537" s="453">
        <f>decLOB2Cln1WeekProdMod_R1</f>
        <v>0</v>
      </c>
      <c r="F1537" s="453">
        <f>decLOB2Cln1WeekProdMod_R1</f>
        <v>0</v>
      </c>
      <c r="G1537" s="453">
        <f>decLOB2Cln1WeekProdMod_R1</f>
        <v>0</v>
      </c>
      <c r="H1537" s="131" t="s">
        <v>3651</v>
      </c>
      <c r="J1537" s="131" t="s">
        <v>555</v>
      </c>
      <c r="K1537" s="453">
        <f>decLOB2Cln1WeekProdMod_R2</f>
        <v>0</v>
      </c>
      <c r="L1537" s="453">
        <f>decLOB2Cln1WeekProdMod_R2</f>
        <v>0</v>
      </c>
      <c r="M1537" s="453">
        <f>decLOB2Cln1WeekProdMod_R2</f>
        <v>0</v>
      </c>
      <c r="N1537" s="131" t="s">
        <v>7020</v>
      </c>
    </row>
    <row r="1538" spans="1:14" ht="12.75" customHeight="1">
      <c r="A1538" s="478"/>
      <c r="B1538" s="458"/>
      <c r="C1538" s="170">
        <v>2</v>
      </c>
      <c r="D1538" s="131" t="s">
        <v>555</v>
      </c>
      <c r="E1538" s="453">
        <f>decLOB2Cln2WeekProdMod_R1</f>
        <v>0</v>
      </c>
      <c r="F1538" s="453">
        <f>decLOB2Cln2WeekProdMod_R1</f>
        <v>0</v>
      </c>
      <c r="G1538" s="453">
        <f>decLOB2Cln2WeekProdMod_R1</f>
        <v>0</v>
      </c>
      <c r="H1538" s="131" t="s">
        <v>3652</v>
      </c>
      <c r="J1538" s="131" t="s">
        <v>555</v>
      </c>
      <c r="K1538" s="453">
        <f>decLOB2Cln2WeekProdMod_R2</f>
        <v>0</v>
      </c>
      <c r="L1538" s="453">
        <f>decLOB2Cln2WeekProdMod_R2</f>
        <v>0</v>
      </c>
      <c r="M1538" s="453">
        <f>decLOB2Cln2WeekProdMod_R2</f>
        <v>0</v>
      </c>
      <c r="N1538" s="131" t="s">
        <v>7021</v>
      </c>
    </row>
    <row r="1539" spans="1:14" ht="12.75" customHeight="1">
      <c r="A1539" s="478"/>
      <c r="B1539" s="458"/>
      <c r="C1539" s="170">
        <v>3</v>
      </c>
      <c r="D1539" s="131" t="s">
        <v>555</v>
      </c>
      <c r="E1539" s="453">
        <f>decLOB2Cln3WeekProdMod_R1</f>
        <v>0</v>
      </c>
      <c r="F1539" s="453">
        <f>decLOB2Cln3WeekProdMod_R1</f>
        <v>0</v>
      </c>
      <c r="G1539" s="453">
        <f>decLOB2Cln3WeekProdMod_R1</f>
        <v>0</v>
      </c>
      <c r="H1539" s="131" t="s">
        <v>3653</v>
      </c>
      <c r="J1539" s="131" t="s">
        <v>555</v>
      </c>
      <c r="K1539" s="453">
        <f>decLOB2Cln3WeekProdMod_R2</f>
        <v>0</v>
      </c>
      <c r="L1539" s="453">
        <f>decLOB2Cln3WeekProdMod_R2</f>
        <v>0</v>
      </c>
      <c r="M1539" s="453">
        <f>decLOB2Cln3WeekProdMod_R2</f>
        <v>0</v>
      </c>
      <c r="N1539" s="131" t="s">
        <v>7022</v>
      </c>
    </row>
    <row r="1540" spans="1:14" ht="12.75" customHeight="1">
      <c r="A1540" s="478"/>
      <c r="B1540" s="458"/>
      <c r="C1540" s="170">
        <v>4</v>
      </c>
      <c r="D1540" s="131" t="s">
        <v>555</v>
      </c>
      <c r="E1540" s="453">
        <f>decLOB2Cln4WeekProdMod_R1</f>
        <v>0</v>
      </c>
      <c r="F1540" s="453">
        <f>decLOB2Cln4WeekProdMod_R1</f>
        <v>0</v>
      </c>
      <c r="G1540" s="453">
        <f>decLOB2Cln4WeekProdMod_R1</f>
        <v>0</v>
      </c>
      <c r="H1540" s="131" t="s">
        <v>3654</v>
      </c>
      <c r="J1540" s="131" t="s">
        <v>555</v>
      </c>
      <c r="K1540" s="453">
        <f>decLOB2Cln4WeekProdMod_R2</f>
        <v>0</v>
      </c>
      <c r="L1540" s="453">
        <f>decLOB2Cln4WeekProdMod_R2</f>
        <v>0</v>
      </c>
      <c r="M1540" s="453">
        <f>decLOB2Cln4WeekProdMod_R2</f>
        <v>0</v>
      </c>
      <c r="N1540" s="131" t="s">
        <v>7023</v>
      </c>
    </row>
    <row r="1541" spans="1:14" ht="12.75" customHeight="1">
      <c r="A1541" s="478"/>
      <c r="B1541" s="458"/>
      <c r="C1541" s="170">
        <v>5</v>
      </c>
      <c r="D1541" s="131" t="s">
        <v>555</v>
      </c>
      <c r="E1541" s="453">
        <f>decLOB2Cln5WeekProdMod_R1</f>
        <v>0</v>
      </c>
      <c r="F1541" s="453">
        <f>decLOB2Cln5WeekProdMod_R1</f>
        <v>0</v>
      </c>
      <c r="G1541" s="453">
        <f>decLOB2Cln5WeekProdMod_R1</f>
        <v>0</v>
      </c>
      <c r="H1541" s="131" t="s">
        <v>3655</v>
      </c>
      <c r="J1541" s="131" t="s">
        <v>555</v>
      </c>
      <c r="K1541" s="453">
        <f>decLOB2Cln5WeekProdMod_R2</f>
        <v>0</v>
      </c>
      <c r="L1541" s="453">
        <f>decLOB2Cln5WeekProdMod_R2</f>
        <v>0</v>
      </c>
      <c r="M1541" s="453">
        <f>decLOB2Cln5WeekProdMod_R2</f>
        <v>0</v>
      </c>
      <c r="N1541" s="131" t="s">
        <v>7024</v>
      </c>
    </row>
    <row r="1542" spans="1:14" ht="12.75" customHeight="1">
      <c r="A1542" s="478"/>
      <c r="B1542" s="458"/>
      <c r="C1542" s="170">
        <v>6</v>
      </c>
      <c r="D1542" s="131" t="s">
        <v>555</v>
      </c>
      <c r="E1542" s="453">
        <f>decLOB2Cln6WeekProdMod_R1</f>
        <v>0</v>
      </c>
      <c r="F1542" s="453">
        <f>decLOB2Cln6WeekProdMod_R1</f>
        <v>0</v>
      </c>
      <c r="G1542" s="453">
        <f>decLOB2Cln6WeekProdMod_R1</f>
        <v>0</v>
      </c>
      <c r="H1542" s="131" t="s">
        <v>3656</v>
      </c>
      <c r="J1542" s="131" t="s">
        <v>555</v>
      </c>
      <c r="K1542" s="453">
        <f>decLOB2Cln6WeekProdMod_R2</f>
        <v>0</v>
      </c>
      <c r="L1542" s="453">
        <f>decLOB2Cln6WeekProdMod_R2</f>
        <v>0</v>
      </c>
      <c r="M1542" s="453">
        <f>decLOB2Cln6WeekProdMod_R2</f>
        <v>0</v>
      </c>
      <c r="N1542" s="131" t="s">
        <v>7025</v>
      </c>
    </row>
    <row r="1543" spans="1:14" ht="12.75" customHeight="1">
      <c r="A1543" s="478"/>
      <c r="B1543" s="458"/>
      <c r="C1543" s="170">
        <v>7</v>
      </c>
      <c r="D1543" s="131" t="s">
        <v>555</v>
      </c>
      <c r="E1543" s="453">
        <f>decLOB2Cln7WeekProdMod_R1</f>
        <v>0</v>
      </c>
      <c r="F1543" s="453">
        <f>decLOB2Cln7WeekProdMod_R1</f>
        <v>0</v>
      </c>
      <c r="G1543" s="453">
        <f>decLOB2Cln7WeekProdMod_R1</f>
        <v>0</v>
      </c>
      <c r="H1543" s="131" t="s">
        <v>3657</v>
      </c>
      <c r="J1543" s="131" t="s">
        <v>555</v>
      </c>
      <c r="K1543" s="453">
        <f>decLOB2Cln7WeekProdMod_R2</f>
        <v>0</v>
      </c>
      <c r="L1543" s="453">
        <f>decLOB2Cln7WeekProdMod_R2</f>
        <v>0</v>
      </c>
      <c r="M1543" s="453">
        <f>decLOB2Cln7WeekProdMod_R2</f>
        <v>0</v>
      </c>
      <c r="N1543" s="131" t="s">
        <v>7026</v>
      </c>
    </row>
    <row r="1544" spans="1:14" ht="12.75" customHeight="1">
      <c r="A1544" s="478"/>
      <c r="B1544" s="458"/>
      <c r="C1544" s="170">
        <v>8</v>
      </c>
      <c r="D1544" s="131" t="s">
        <v>555</v>
      </c>
      <c r="E1544" s="453">
        <f>decLOB2Cln8WeekProdMod_R1</f>
        <v>0</v>
      </c>
      <c r="F1544" s="453">
        <f>decLOB2Cln8WeekProdMod_R1</f>
        <v>0</v>
      </c>
      <c r="G1544" s="453">
        <f>decLOB2Cln8WeekProdMod_R1</f>
        <v>0</v>
      </c>
      <c r="H1544" s="131" t="s">
        <v>3658</v>
      </c>
      <c r="J1544" s="131" t="s">
        <v>555</v>
      </c>
      <c r="K1544" s="453">
        <f>decLOB2Cln8WeekProdMod_R2</f>
        <v>0</v>
      </c>
      <c r="L1544" s="453">
        <f>decLOB2Cln8WeekProdMod_R2</f>
        <v>0</v>
      </c>
      <c r="M1544" s="453">
        <f>decLOB2Cln8WeekProdMod_R2</f>
        <v>0</v>
      </c>
      <c r="N1544" s="131" t="s">
        <v>7027</v>
      </c>
    </row>
    <row r="1545" spans="1:14" ht="12.75" customHeight="1">
      <c r="A1545" s="478"/>
      <c r="B1545" s="458"/>
      <c r="C1545" s="170">
        <v>9</v>
      </c>
      <c r="D1545" s="131" t="s">
        <v>555</v>
      </c>
      <c r="E1545" s="453">
        <f>decLOB2Cln9WeekProdMod_R1</f>
        <v>0</v>
      </c>
      <c r="F1545" s="453">
        <f>decLOB2Cln9WeekProdMod_R1</f>
        <v>0</v>
      </c>
      <c r="G1545" s="453">
        <f>decLOB2Cln9WeekProdMod_R1</f>
        <v>0</v>
      </c>
      <c r="H1545" s="131" t="s">
        <v>3659</v>
      </c>
      <c r="J1545" s="131" t="s">
        <v>555</v>
      </c>
      <c r="K1545" s="453">
        <f>decLOB2Cln9WeekProdMod_R2</f>
        <v>0</v>
      </c>
      <c r="L1545" s="453">
        <f>decLOB2Cln9WeekProdMod_R2</f>
        <v>0</v>
      </c>
      <c r="M1545" s="453">
        <f>decLOB2Cln9WeekProdMod_R2</f>
        <v>0</v>
      </c>
      <c r="N1545" s="131" t="s">
        <v>7028</v>
      </c>
    </row>
    <row r="1546" spans="1:14" ht="12.75" customHeight="1">
      <c r="A1546" s="478"/>
      <c r="B1546" s="458"/>
      <c r="C1546" s="170">
        <v>10</v>
      </c>
      <c r="D1546" s="131" t="s">
        <v>555</v>
      </c>
      <c r="E1546" s="453">
        <f>decLOB2Cln10WeekProdMod_R1</f>
        <v>0</v>
      </c>
      <c r="F1546" s="453">
        <f>decLOB2Cln10WeekProdMod_R1</f>
        <v>0</v>
      </c>
      <c r="G1546" s="453">
        <f>decLOB2Cln10WeekProdMod_R1</f>
        <v>0</v>
      </c>
      <c r="H1546" s="131" t="s">
        <v>3660</v>
      </c>
      <c r="J1546" s="131" t="s">
        <v>555</v>
      </c>
      <c r="K1546" s="453">
        <f>decLOB2Cln10WeekProdMod_R2</f>
        <v>0</v>
      </c>
      <c r="L1546" s="453">
        <f>decLOB2Cln10WeekProdMod_R2</f>
        <v>0</v>
      </c>
      <c r="M1546" s="453">
        <f>decLOB2Cln10WeekProdMod_R2</f>
        <v>0</v>
      </c>
      <c r="N1546" s="131" t="s">
        <v>7029</v>
      </c>
    </row>
    <row r="1547" spans="1:14" ht="12.75" customHeight="1">
      <c r="A1547" s="478"/>
      <c r="B1547" s="458"/>
      <c r="C1547" s="170">
        <v>11</v>
      </c>
      <c r="D1547" s="131" t="s">
        <v>555</v>
      </c>
      <c r="E1547" s="453">
        <f>decLOB2Cln11WeekProdMod_R1</f>
        <v>0</v>
      </c>
      <c r="F1547" s="453">
        <f>decLOB2Cln11WeekProdMod_R1</f>
        <v>0</v>
      </c>
      <c r="G1547" s="453">
        <f>decLOB2Cln11WeekProdMod_R1</f>
        <v>0</v>
      </c>
      <c r="H1547" s="131" t="s">
        <v>3661</v>
      </c>
      <c r="J1547" s="131" t="s">
        <v>555</v>
      </c>
      <c r="K1547" s="453">
        <f>decLOB2Cln11WeekProdMod_R2</f>
        <v>0</v>
      </c>
      <c r="L1547" s="453">
        <f>decLOB2Cln11WeekProdMod_R2</f>
        <v>0</v>
      </c>
      <c r="M1547" s="453">
        <f>decLOB2Cln11WeekProdMod_R2</f>
        <v>0</v>
      </c>
      <c r="N1547" s="131" t="s">
        <v>7030</v>
      </c>
    </row>
    <row r="1548" spans="1:14" ht="12.75" customHeight="1">
      <c r="A1548" s="478"/>
      <c r="B1548" s="458"/>
      <c r="C1548" s="170">
        <v>12</v>
      </c>
      <c r="D1548" s="131" t="s">
        <v>555</v>
      </c>
      <c r="E1548" s="453">
        <f>decLOB2Cln12WeekProdMod_R1</f>
        <v>0</v>
      </c>
      <c r="F1548" s="453">
        <f>decLOB2Cln12WeekProdMod_R1</f>
        <v>0</v>
      </c>
      <c r="G1548" s="453">
        <f>decLOB2Cln12WeekProdMod_R1</f>
        <v>0</v>
      </c>
      <c r="H1548" s="131" t="s">
        <v>3662</v>
      </c>
      <c r="J1548" s="131" t="s">
        <v>555</v>
      </c>
      <c r="K1548" s="453">
        <f>decLOB2Cln12WeekProdMod_R2</f>
        <v>0</v>
      </c>
      <c r="L1548" s="453">
        <f>decLOB2Cln12WeekProdMod_R2</f>
        <v>0</v>
      </c>
      <c r="M1548" s="453">
        <f>decLOB2Cln12WeekProdMod_R2</f>
        <v>0</v>
      </c>
      <c r="N1548" s="131" t="s">
        <v>7031</v>
      </c>
    </row>
    <row r="1549" spans="1:14" ht="12.75" customHeight="1">
      <c r="A1549" s="478"/>
      <c r="B1549" s="458"/>
    </row>
    <row r="1550" spans="1:14" ht="12.75" customHeight="1">
      <c r="A1550" s="478"/>
      <c r="B1550" s="458"/>
      <c r="C1550" s="131" t="s">
        <v>1588</v>
      </c>
    </row>
    <row r="1551" spans="1:14" ht="12.75" customHeight="1">
      <c r="A1551" s="478"/>
      <c r="B1551" s="458"/>
      <c r="C1551" s="170">
        <v>1</v>
      </c>
      <c r="D1551" s="131" t="s">
        <v>555</v>
      </c>
      <c r="E1551" s="453">
        <f>IF(calcLOB2Clinician1Emp2BaseProd=0,0,IF(calcLOB2Clinician1Emp2ModifiedProd=0,calcLOB2Clinician1Emp2BaseProd*paramLOB2Disc3Meetings*paramLOB2Meetings*paramLOB2Clinician1Meetings,calcLOB2Clinician1Emp2ModifiedProd))</f>
        <v>0</v>
      </c>
      <c r="F1551" s="453">
        <f>IF(calcLOB2Clinician1Emp2BaseProd=0,0,IF(calcLOB2Clinician1Emp2ModifiedProd=0,calcLOB2Clinician1Emp2BaseProd*paramLOB2Disc3Meetings*paramLOB2Meetings*paramLOB2Clinician1Meetings,calcLOB2Clinician1Emp2ModifiedProd))</f>
        <v>0</v>
      </c>
      <c r="G1551" s="453">
        <f>IF(calcLOB2Clinician1Emp2BaseProd=0,0,IF(calcLOB2Clinician1Emp2ModifiedProd=0,calcLOB2Clinician1Emp2BaseProd*paramLOB2Disc3Meetings*paramLOB2Meetings*paramLOB2Clinician1Meetings,calcLOB2Clinician1Emp2ModifiedProd))</f>
        <v>0</v>
      </c>
      <c r="H1551" s="131" t="s">
        <v>2455</v>
      </c>
      <c r="J1551" s="131" t="s">
        <v>555</v>
      </c>
      <c r="K1551" s="453">
        <f>IF(calcR2LOB2Clinician1Emp2BaseProd=0,0,IF(calcR2LOB2Clinician1Emp2ModifiedProd=0,calcR2LOB2Clinician1Emp2BaseProd*paramR2LOB2Disc3Meetings*paramR2LOB2Meetings*paramR2LOB2Clinician1Meetings,calcR2LOB2Clinician1Emp2ModifiedProd))</f>
        <v>0</v>
      </c>
      <c r="L1551" s="453">
        <f>IF(calcR2LOB2Clinician1Emp2BaseProd=0,0,IF(calcR2LOB2Clinician1Emp2ModifiedProd=0,calcR2LOB2Clinician1Emp2BaseProd*paramR2LOB2Disc3Meetings*paramR2LOB2Meetings*paramR2LOB2Clinician1Meetings,calcR2LOB2Clinician1Emp2ModifiedProd))</f>
        <v>0</v>
      </c>
      <c r="M1551" s="453">
        <f>IF(calcR2LOB2Clinician1Emp2BaseProd=0,0,IF(calcR2LOB2Clinician1Emp2ModifiedProd=0,calcR2LOB2Clinician1Emp2BaseProd*paramR2LOB2Disc3Meetings*paramR2LOB2Meetings*paramR2LOB2Clinician1Meetings,calcR2LOB2Clinician1Emp2ModifiedProd))</f>
        <v>0</v>
      </c>
      <c r="N1551" s="131" t="s">
        <v>7032</v>
      </c>
    </row>
    <row r="1552" spans="1:14" ht="12.75" customHeight="1">
      <c r="A1552" s="478"/>
      <c r="B1552" s="458"/>
      <c r="C1552" s="170">
        <v>2</v>
      </c>
      <c r="D1552" s="131" t="s">
        <v>555</v>
      </c>
      <c r="E1552" s="453">
        <f>IF(calcLOB2Clinician2Emp2BaseProd=0,0,IF(calcLOB2Clinician2Emp2ModifiedProd=0,calcLOB2Clinician2Emp2BaseProd*paramLOB2Disc3Meetings*paramLOB2Meetings*paramLOB2Clinician2Meetings,calcLOB2Clinician2Emp2ModifiedProd))</f>
        <v>0</v>
      </c>
      <c r="F1552" s="453">
        <f>IF(calcLOB2Clinician2Emp2BaseProd=0,0,IF(calcLOB2Clinician2Emp2ModifiedProd=0,calcLOB2Clinician2Emp2BaseProd*paramLOB2Disc3Meetings*paramLOB2Meetings*paramLOB2Clinician2Meetings,calcLOB2Clinician2Emp2ModifiedProd))</f>
        <v>0</v>
      </c>
      <c r="G1552" s="453">
        <f>IF(calcLOB2Clinician2Emp2BaseProd=0,0,IF(calcLOB2Clinician2Emp2ModifiedProd=0,calcLOB2Clinician2Emp2BaseProd*paramLOB2Disc3Meetings*paramLOB2Meetings*paramLOB2Clinician2Meetings,calcLOB2Clinician2Emp2ModifiedProd))</f>
        <v>0</v>
      </c>
      <c r="H1552" s="131" t="s">
        <v>2456</v>
      </c>
      <c r="J1552" s="131" t="s">
        <v>555</v>
      </c>
      <c r="K1552" s="453">
        <f>IF(calcR2LOB2Clinician2Emp2BaseProd=0,0,IF(calcR2LOB2Clinician2Emp2ModifiedProd=0,calcR2LOB2Clinician2Emp2BaseProd*paramR2LOB2Disc3Meetings*paramR2LOB2Meetings*paramR2LOB2Clinician2Meetings,calcR2LOB2Clinician2Emp2ModifiedProd))</f>
        <v>0</v>
      </c>
      <c r="L1552" s="453">
        <f>IF(calcR2LOB2Clinician2Emp2BaseProd=0,0,IF(calcR2LOB2Clinician2Emp2ModifiedProd=0,calcR2LOB2Clinician2Emp2BaseProd*paramR2LOB2Disc3Meetings*paramR2LOB2Meetings*paramR2LOB2Clinician2Meetings,calcR2LOB2Clinician2Emp2ModifiedProd))</f>
        <v>0</v>
      </c>
      <c r="M1552" s="453">
        <f>IF(calcR2LOB2Clinician2Emp2BaseProd=0,0,IF(calcR2LOB2Clinician2Emp2ModifiedProd=0,calcR2LOB2Clinician2Emp2BaseProd*paramR2LOB2Disc3Meetings*paramR2LOB2Meetings*paramR2LOB2Clinician2Meetings,calcR2LOB2Clinician2Emp2ModifiedProd))</f>
        <v>0</v>
      </c>
      <c r="N1552" s="131" t="s">
        <v>7033</v>
      </c>
    </row>
    <row r="1553" spans="1:14" ht="12.75" customHeight="1">
      <c r="A1553" s="478"/>
      <c r="B1553" s="458"/>
      <c r="C1553" s="170">
        <v>3</v>
      </c>
      <c r="D1553" s="131" t="s">
        <v>555</v>
      </c>
      <c r="E1553" s="453">
        <f>IF(calcLOB2Clinician3Emp2BaseProd=0,0,IF(calcLOB2Clinician3Emp2ModifiedProd=0,calcLOB2Clinician3Emp2BaseProd*paramLOB2Disc3Meetings*paramLOB2Meetings*paramLOB2Clinician3Meetings,calcLOB2Clinician3Emp2ModifiedProd))</f>
        <v>0</v>
      </c>
      <c r="F1553" s="453">
        <f>IF(calcLOB2Clinician3Emp2BaseProd=0,0,IF(calcLOB2Clinician3Emp2ModifiedProd=0,calcLOB2Clinician3Emp2BaseProd*paramLOB2Disc3Meetings*paramLOB2Meetings*paramLOB2Clinician3Meetings,calcLOB2Clinician3Emp2ModifiedProd))</f>
        <v>0</v>
      </c>
      <c r="G1553" s="453">
        <f>IF(calcLOB2Clinician3Emp2BaseProd=0,0,IF(calcLOB2Clinician3Emp2ModifiedProd=0,calcLOB2Clinician3Emp2BaseProd*paramLOB2Disc3Meetings*paramLOB2Meetings*paramLOB2Clinician3Meetings,calcLOB2Clinician3Emp2ModifiedProd))</f>
        <v>0</v>
      </c>
      <c r="H1553" s="131" t="s">
        <v>2457</v>
      </c>
      <c r="J1553" s="131" t="s">
        <v>555</v>
      </c>
      <c r="K1553" s="453">
        <f>IF(calcR2LOB2Clinician3Emp2BaseProd=0,0,IF(calcR2LOB2Clinician3Emp2ModifiedProd=0,calcR2LOB2Clinician3Emp2BaseProd*paramR2LOB2Disc3Meetings*paramR2LOB2Meetings*paramR2LOB2Clinician3Meetings,calcR2LOB2Clinician3Emp2ModifiedProd))</f>
        <v>0</v>
      </c>
      <c r="L1553" s="453">
        <f>IF(calcR2LOB2Clinician3Emp2BaseProd=0,0,IF(calcR2LOB2Clinician3Emp2ModifiedProd=0,calcR2LOB2Clinician3Emp2BaseProd*paramR2LOB2Disc3Meetings*paramR2LOB2Meetings*paramR2LOB2Clinician3Meetings,calcR2LOB2Clinician3Emp2ModifiedProd))</f>
        <v>0</v>
      </c>
      <c r="M1553" s="453">
        <f>IF(calcR2LOB2Clinician3Emp2BaseProd=0,0,IF(calcR2LOB2Clinician3Emp2ModifiedProd=0,calcR2LOB2Clinician3Emp2BaseProd*paramR2LOB2Disc3Meetings*paramR2LOB2Meetings*paramR2LOB2Clinician3Meetings,calcR2LOB2Clinician3Emp2ModifiedProd))</f>
        <v>0</v>
      </c>
      <c r="N1553" s="131" t="s">
        <v>7034</v>
      </c>
    </row>
    <row r="1554" spans="1:14" ht="12.75" customHeight="1">
      <c r="A1554" s="478"/>
      <c r="B1554" s="458"/>
      <c r="C1554" s="170">
        <v>4</v>
      </c>
      <c r="D1554" s="131" t="s">
        <v>555</v>
      </c>
      <c r="E1554" s="453">
        <f>IF(calcLOB2Clinician4Emp2BaseProd=0,0,IF(calcLOB2Clinician4Emp2ModifiedProd=0,calcLOB2Clinician4Emp2BaseProd*paramLOB2Disc3Meetings*paramLOB2Meetings*paramLOB2Clinician4Meetings,calcLOB2Clinician4Emp2ModifiedProd))</f>
        <v>0</v>
      </c>
      <c r="F1554" s="453">
        <f>IF(calcLOB2Clinician4Emp2BaseProd=0,0,IF(calcLOB2Clinician4Emp2ModifiedProd=0,calcLOB2Clinician4Emp2BaseProd*paramLOB2Disc3Meetings*paramLOB2Meetings*paramLOB2Clinician4Meetings,calcLOB2Clinician4Emp2ModifiedProd))</f>
        <v>0</v>
      </c>
      <c r="G1554" s="453">
        <f>IF(calcLOB2Clinician4Emp2BaseProd=0,0,IF(calcLOB2Clinician4Emp2ModifiedProd=0,calcLOB2Clinician4Emp2BaseProd*paramLOB2Disc3Meetings*paramLOB2Meetings*paramLOB2Clinician4Meetings,calcLOB2Clinician4Emp2ModifiedProd))</f>
        <v>0</v>
      </c>
      <c r="H1554" s="131" t="s">
        <v>2458</v>
      </c>
      <c r="J1554" s="131" t="s">
        <v>555</v>
      </c>
      <c r="K1554" s="453">
        <f>IF(calcR2LOB2Clinician4Emp2BaseProd=0,0,IF(calcR2LOB2Clinician4Emp2ModifiedProd=0,calcR2LOB2Clinician4Emp2BaseProd*paramR2LOB2Disc3Meetings*paramR2LOB2Meetings*paramR2LOB2Clinician4Meetings,calcR2LOB2Clinician4Emp2ModifiedProd))</f>
        <v>0</v>
      </c>
      <c r="L1554" s="453">
        <f>IF(calcR2LOB2Clinician4Emp2BaseProd=0,0,IF(calcR2LOB2Clinician4Emp2ModifiedProd=0,calcR2LOB2Clinician4Emp2BaseProd*paramR2LOB2Disc3Meetings*paramR2LOB2Meetings*paramR2LOB2Clinician4Meetings,calcR2LOB2Clinician4Emp2ModifiedProd))</f>
        <v>0</v>
      </c>
      <c r="M1554" s="453">
        <f>IF(calcR2LOB2Clinician4Emp2BaseProd=0,0,IF(calcR2LOB2Clinician4Emp2ModifiedProd=0,calcR2LOB2Clinician4Emp2BaseProd*paramR2LOB2Disc3Meetings*paramR2LOB2Meetings*paramR2LOB2Clinician4Meetings,calcR2LOB2Clinician4Emp2ModifiedProd))</f>
        <v>0</v>
      </c>
      <c r="N1554" s="131" t="s">
        <v>7035</v>
      </c>
    </row>
    <row r="1555" spans="1:14" ht="12.75" customHeight="1">
      <c r="A1555" s="478"/>
      <c r="B1555" s="458"/>
      <c r="C1555" s="170">
        <v>5</v>
      </c>
      <c r="D1555" s="131" t="s">
        <v>555</v>
      </c>
      <c r="E1555" s="453">
        <f>IF(calcLOB2Clinician5Emp2BaseProd=0,0,IF(calcLOB2Clinician5Emp2ModifiedProd=0,calcLOB2Clinician5Emp2BaseProd*paramLOB2Disc3Meetings*paramLOB2Meetings*paramLOB2Clinician5Meetings,calcLOB2Clinician5Emp2ModifiedProd))</f>
        <v>0</v>
      </c>
      <c r="F1555" s="453">
        <f>IF(calcLOB2Clinician5Emp2BaseProd=0,0,IF(calcLOB2Clinician5Emp2ModifiedProd=0,calcLOB2Clinician5Emp2BaseProd*paramLOB2Disc3Meetings*paramLOB2Meetings*paramLOB2Clinician5Meetings,calcLOB2Clinician5Emp2ModifiedProd))</f>
        <v>0</v>
      </c>
      <c r="G1555" s="453">
        <f>IF(calcLOB2Clinician5Emp2BaseProd=0,0,IF(calcLOB2Clinician5Emp2ModifiedProd=0,calcLOB2Clinician5Emp2BaseProd*paramLOB2Disc3Meetings*paramLOB2Meetings*paramLOB2Clinician5Meetings,calcLOB2Clinician5Emp2ModifiedProd))</f>
        <v>0</v>
      </c>
      <c r="H1555" s="131" t="s">
        <v>2459</v>
      </c>
      <c r="J1555" s="131" t="s">
        <v>555</v>
      </c>
      <c r="K1555" s="453">
        <f>IF(calcR2LOB2Clinician5Emp2BaseProd=0,0,IF(calcR2LOB2Clinician5Emp2ModifiedProd=0,calcR2LOB2Clinician5Emp2BaseProd*paramR2LOB2Disc3Meetings*paramR2LOB2Meetings*paramR2LOB2Clinician5Meetings,calcR2LOB2Clinician5Emp2ModifiedProd))</f>
        <v>0</v>
      </c>
      <c r="L1555" s="453">
        <f>IF(calcR2LOB2Clinician5Emp2BaseProd=0,0,IF(calcR2LOB2Clinician5Emp2ModifiedProd=0,calcR2LOB2Clinician5Emp2BaseProd*paramR2LOB2Disc3Meetings*paramR2LOB2Meetings*paramR2LOB2Clinician5Meetings,calcR2LOB2Clinician5Emp2ModifiedProd))</f>
        <v>0</v>
      </c>
      <c r="M1555" s="453">
        <f>IF(calcR2LOB2Clinician5Emp2BaseProd=0,0,IF(calcR2LOB2Clinician5Emp2ModifiedProd=0,calcR2LOB2Clinician5Emp2BaseProd*paramR2LOB2Disc3Meetings*paramR2LOB2Meetings*paramR2LOB2Clinician5Meetings,calcR2LOB2Clinician5Emp2ModifiedProd))</f>
        <v>0</v>
      </c>
      <c r="N1555" s="131" t="s">
        <v>7036</v>
      </c>
    </row>
    <row r="1556" spans="1:14" ht="12.75" customHeight="1">
      <c r="A1556" s="478"/>
      <c r="B1556" s="458"/>
      <c r="C1556" s="170">
        <v>6</v>
      </c>
      <c r="D1556" s="131" t="s">
        <v>555</v>
      </c>
      <c r="E1556" s="453">
        <f>IF(calcLOB2Clinician6Emp2BaseProd=0,0,IF(calcLOB2Clinician6Emp2ModifiedProd=0,calcLOB2Clinician6Emp2BaseProd*paramLOB2Disc3Meetings*paramLOB2Meetings*paramLOB2Clinician6Meetings,calcLOB2Clinician6Emp2ModifiedProd))</f>
        <v>0</v>
      </c>
      <c r="F1556" s="453">
        <f>IF(calcLOB2Clinician6Emp2BaseProd=0,0,IF(calcLOB2Clinician6Emp2ModifiedProd=0,calcLOB2Clinician6Emp2BaseProd*paramLOB2Disc3Meetings*paramLOB2Meetings*paramLOB2Clinician6Meetings,calcLOB2Clinician6Emp2ModifiedProd))</f>
        <v>0</v>
      </c>
      <c r="G1556" s="453">
        <f>IF(calcLOB2Clinician6Emp2BaseProd=0,0,IF(calcLOB2Clinician6Emp2ModifiedProd=0,calcLOB2Clinician6Emp2BaseProd*paramLOB2Disc3Meetings*paramLOB2Meetings*paramLOB2Clinician6Meetings,calcLOB2Clinician6Emp2ModifiedProd))</f>
        <v>0</v>
      </c>
      <c r="H1556" s="131" t="s">
        <v>2460</v>
      </c>
      <c r="J1556" s="131" t="s">
        <v>555</v>
      </c>
      <c r="K1556" s="453">
        <f>IF(calcR2LOB2Clinician6Emp2BaseProd=0,0,IF(calcR2LOB2Clinician6Emp2ModifiedProd=0,calcR2LOB2Clinician6Emp2BaseProd*paramR2LOB2Disc3Meetings*paramR2LOB2Meetings*paramR2LOB2Clinician6Meetings,calcR2LOB2Clinician6Emp2ModifiedProd))</f>
        <v>0</v>
      </c>
      <c r="L1556" s="453">
        <f>IF(calcR2LOB2Clinician6Emp2BaseProd=0,0,IF(calcR2LOB2Clinician6Emp2ModifiedProd=0,calcR2LOB2Clinician6Emp2BaseProd*paramR2LOB2Disc3Meetings*paramR2LOB2Meetings*paramR2LOB2Clinician6Meetings,calcR2LOB2Clinician6Emp2ModifiedProd))</f>
        <v>0</v>
      </c>
      <c r="M1556" s="453">
        <f>IF(calcR2LOB2Clinician6Emp2BaseProd=0,0,IF(calcR2LOB2Clinician6Emp2ModifiedProd=0,calcR2LOB2Clinician6Emp2BaseProd*paramR2LOB2Disc3Meetings*paramR2LOB2Meetings*paramR2LOB2Clinician6Meetings,calcR2LOB2Clinician6Emp2ModifiedProd))</f>
        <v>0</v>
      </c>
      <c r="N1556" s="131" t="s">
        <v>7037</v>
      </c>
    </row>
    <row r="1557" spans="1:14" ht="12.75" customHeight="1">
      <c r="A1557" s="478"/>
      <c r="B1557" s="458"/>
      <c r="C1557" s="170">
        <v>7</v>
      </c>
      <c r="D1557" s="131" t="s">
        <v>555</v>
      </c>
      <c r="E1557" s="453">
        <f>IF(calcLOB2Clinician7Emp2BaseProd=0,0,IF(calcLOB2Clinician7Emp2ModifiedProd=0,calcLOB2Clinician7Emp2BaseProd*paramLOB2Disc3Meetings*paramLOB2Meetings*paramLOB2Clinician7Meetings,calcLOB2Clinician7Emp2ModifiedProd))</f>
        <v>0</v>
      </c>
      <c r="F1557" s="453">
        <f>IF(calcLOB2Clinician7Emp2BaseProd=0,0,IF(calcLOB2Clinician7Emp2ModifiedProd=0,calcLOB2Clinician7Emp2BaseProd*paramLOB2Disc3Meetings*paramLOB2Meetings*paramLOB2Clinician7Meetings,calcLOB2Clinician7Emp2ModifiedProd))</f>
        <v>0</v>
      </c>
      <c r="G1557" s="453">
        <f>IF(calcLOB2Clinician7Emp2BaseProd=0,0,IF(calcLOB2Clinician7Emp2ModifiedProd=0,calcLOB2Clinician7Emp2BaseProd*paramLOB2Disc3Meetings*paramLOB2Meetings*paramLOB2Clinician7Meetings,calcLOB2Clinician7Emp2ModifiedProd))</f>
        <v>0</v>
      </c>
      <c r="H1557" s="131" t="s">
        <v>2461</v>
      </c>
      <c r="J1557" s="131" t="s">
        <v>555</v>
      </c>
      <c r="K1557" s="453">
        <f>IF(calcR2LOB2Clinician7Emp2BaseProd=0,0,IF(calcR2LOB2Clinician7Emp2ModifiedProd=0,calcR2LOB2Clinician7Emp2BaseProd*paramR2LOB2Disc3Meetings*paramR2LOB2Meetings*paramR2LOB2Clinician7Meetings,calcR2LOB2Clinician7Emp2ModifiedProd))</f>
        <v>0</v>
      </c>
      <c r="L1557" s="453">
        <f>IF(calcR2LOB2Clinician7Emp2BaseProd=0,0,IF(calcR2LOB2Clinician7Emp2ModifiedProd=0,calcR2LOB2Clinician7Emp2BaseProd*paramR2LOB2Disc3Meetings*paramR2LOB2Meetings*paramR2LOB2Clinician7Meetings,calcR2LOB2Clinician7Emp2ModifiedProd))</f>
        <v>0</v>
      </c>
      <c r="M1557" s="453">
        <f>IF(calcR2LOB2Clinician7Emp2BaseProd=0,0,IF(calcR2LOB2Clinician7Emp2ModifiedProd=0,calcR2LOB2Clinician7Emp2BaseProd*paramR2LOB2Disc3Meetings*paramR2LOB2Meetings*paramR2LOB2Clinician7Meetings,calcR2LOB2Clinician7Emp2ModifiedProd))</f>
        <v>0</v>
      </c>
      <c r="N1557" s="131" t="s">
        <v>7038</v>
      </c>
    </row>
    <row r="1558" spans="1:14" ht="12.75" customHeight="1">
      <c r="A1558" s="478"/>
      <c r="B1558" s="458"/>
      <c r="C1558" s="170">
        <v>8</v>
      </c>
      <c r="D1558" s="131" t="s">
        <v>555</v>
      </c>
      <c r="E1558" s="453">
        <f>IF(calcLOB2Clinician8Emp2BaseProd=0,0,IF(calcLOB2Clinician8Emp2ModifiedProd=0,calcLOB2Clinician8Emp2BaseProd*paramLOB2Disc3Meetings*paramLOB2Meetings*paramLOB2Clinician8Meetings,calcLOB2Clinician8Emp2ModifiedProd))</f>
        <v>0</v>
      </c>
      <c r="F1558" s="453">
        <f>IF(calcLOB2Clinician8Emp2BaseProd=0,0,IF(calcLOB2Clinician8Emp2ModifiedProd=0,calcLOB2Clinician8Emp2BaseProd*paramLOB2Disc3Meetings*paramLOB2Meetings*paramLOB2Clinician8Meetings,calcLOB2Clinician8Emp2ModifiedProd))</f>
        <v>0</v>
      </c>
      <c r="G1558" s="453">
        <f>IF(calcLOB2Clinician8Emp2BaseProd=0,0,IF(calcLOB2Clinician8Emp2ModifiedProd=0,calcLOB2Clinician8Emp2BaseProd*paramLOB2Disc3Meetings*paramLOB2Meetings*paramLOB2Clinician8Meetings,calcLOB2Clinician8Emp2ModifiedProd))</f>
        <v>0</v>
      </c>
      <c r="H1558" s="131" t="s">
        <v>2462</v>
      </c>
      <c r="J1558" s="131" t="s">
        <v>555</v>
      </c>
      <c r="K1558" s="453">
        <f>IF(calcR2LOB2Clinician8Emp2BaseProd=0,0,IF(calcR2LOB2Clinician8Emp2ModifiedProd=0,calcR2LOB2Clinician8Emp2BaseProd*paramR2LOB2Disc3Meetings*paramR2LOB2Meetings*paramR2LOB2Clinician8Meetings,calcR2LOB2Clinician8Emp2ModifiedProd))</f>
        <v>0</v>
      </c>
      <c r="L1558" s="453">
        <f>IF(calcR2LOB2Clinician8Emp2BaseProd=0,0,IF(calcR2LOB2Clinician8Emp2ModifiedProd=0,calcR2LOB2Clinician8Emp2BaseProd*paramR2LOB2Disc3Meetings*paramR2LOB2Meetings*paramR2LOB2Clinician8Meetings,calcR2LOB2Clinician8Emp2ModifiedProd))</f>
        <v>0</v>
      </c>
      <c r="M1558" s="453">
        <f>IF(calcR2LOB2Clinician8Emp2BaseProd=0,0,IF(calcR2LOB2Clinician8Emp2ModifiedProd=0,calcR2LOB2Clinician8Emp2BaseProd*paramR2LOB2Disc3Meetings*paramR2LOB2Meetings*paramR2LOB2Clinician8Meetings,calcR2LOB2Clinician8Emp2ModifiedProd))</f>
        <v>0</v>
      </c>
      <c r="N1558" s="131" t="s">
        <v>7039</v>
      </c>
    </row>
    <row r="1559" spans="1:14" ht="12.75" customHeight="1">
      <c r="A1559" s="478"/>
      <c r="B1559" s="458"/>
      <c r="C1559" s="170">
        <v>9</v>
      </c>
      <c r="D1559" s="131" t="s">
        <v>555</v>
      </c>
      <c r="E1559" s="453">
        <f>IF(calcLOB2Clinician9Emp2BaseProd=0,0,IF(calcLOB2Clinician9Emp2ModifiedProd=0,calcLOB2Clinician9Emp2BaseProd*paramLOB2Disc3Meetings*paramLOB2Meetings*paramLOB2Clinician9Meetings,calcLOB2Clinician9Emp2ModifiedProd))</f>
        <v>0</v>
      </c>
      <c r="F1559" s="453">
        <f>IF(calcLOB2Clinician9Emp2BaseProd=0,0,IF(calcLOB2Clinician9Emp2ModifiedProd=0,calcLOB2Clinician9Emp2BaseProd*paramLOB2Disc3Meetings*paramLOB2Meetings*paramLOB2Clinician9Meetings,calcLOB2Clinician9Emp2ModifiedProd))</f>
        <v>0</v>
      </c>
      <c r="G1559" s="453">
        <f>IF(calcLOB2Clinician9Emp2BaseProd=0,0,IF(calcLOB2Clinician9Emp2ModifiedProd=0,calcLOB2Clinician9Emp2BaseProd*paramLOB2Disc3Meetings*paramLOB2Meetings*paramLOB2Clinician9Meetings,calcLOB2Clinician9Emp2ModifiedProd))</f>
        <v>0</v>
      </c>
      <c r="H1559" s="131" t="s">
        <v>2463</v>
      </c>
      <c r="J1559" s="131" t="s">
        <v>555</v>
      </c>
      <c r="K1559" s="453">
        <f>IF(calcR2LOB2Clinician9Emp2BaseProd=0,0,IF(calcR2LOB2Clinician9Emp2ModifiedProd=0,calcR2LOB2Clinician9Emp2BaseProd*paramR2LOB2Disc3Meetings*paramR2LOB2Meetings*paramR2LOB2Clinician9Meetings,calcR2LOB2Clinician9Emp2ModifiedProd))</f>
        <v>0</v>
      </c>
      <c r="L1559" s="453">
        <f>IF(calcR2LOB2Clinician9Emp2BaseProd=0,0,IF(calcR2LOB2Clinician9Emp2ModifiedProd=0,calcR2LOB2Clinician9Emp2BaseProd*paramR2LOB2Disc3Meetings*paramR2LOB2Meetings*paramR2LOB2Clinician9Meetings,calcR2LOB2Clinician9Emp2ModifiedProd))</f>
        <v>0</v>
      </c>
      <c r="M1559" s="453">
        <f>IF(calcR2LOB2Clinician9Emp2BaseProd=0,0,IF(calcR2LOB2Clinician9Emp2ModifiedProd=0,calcR2LOB2Clinician9Emp2BaseProd*paramR2LOB2Disc3Meetings*paramR2LOB2Meetings*paramR2LOB2Clinician9Meetings,calcR2LOB2Clinician9Emp2ModifiedProd))</f>
        <v>0</v>
      </c>
      <c r="N1559" s="131" t="s">
        <v>7040</v>
      </c>
    </row>
    <row r="1560" spans="1:14" ht="12.75" customHeight="1">
      <c r="A1560" s="478"/>
      <c r="B1560" s="458"/>
      <c r="C1560" s="170">
        <v>10</v>
      </c>
      <c r="D1560" s="131" t="s">
        <v>555</v>
      </c>
      <c r="E1560" s="453">
        <f>IF(calcLOB2Clinician10Emp2BaseProd=0,0,IF(calcLOB2Clinician10Emp2ModifiedProd=0,calcLOB2Clinician10Emp2BaseProd*paramLOB2Disc3Meetings*paramLOB2Meetings*paramLOB2Clinician10Meetings,calcLOB2Clinician10Emp2ModifiedProd))</f>
        <v>22.680412371134022</v>
      </c>
      <c r="F1560" s="453">
        <f>IF(calcLOB2Clinician10Emp2BaseProd=0,0,IF(calcLOB2Clinician10Emp2ModifiedProd=0,calcLOB2Clinician10Emp2BaseProd*paramLOB2Disc3Meetings*paramLOB2Meetings*paramLOB2Clinician10Meetings,calcLOB2Clinician10Emp2ModifiedProd))</f>
        <v>22.680412371134022</v>
      </c>
      <c r="G1560" s="453">
        <f>IF(calcLOB2Clinician10Emp2BaseProd=0,0,IF(calcLOB2Clinician10Emp2ModifiedProd=0,calcLOB2Clinician10Emp2BaseProd*paramLOB2Disc3Meetings*paramLOB2Meetings*paramLOB2Clinician10Meetings,calcLOB2Clinician10Emp2ModifiedProd))</f>
        <v>22.680412371134022</v>
      </c>
      <c r="H1560" s="131" t="s">
        <v>2464</v>
      </c>
      <c r="J1560" s="131" t="s">
        <v>555</v>
      </c>
      <c r="K1560" s="453">
        <f>IF(calcR2LOB2Clinician10Emp2BaseProd=0,0,IF(calcR2LOB2Clinician10Emp2ModifiedProd=0,calcR2LOB2Clinician10Emp2BaseProd*paramR2LOB2Disc3Meetings*paramR2LOB2Meetings*paramR2LOB2Clinician10Meetings,calcR2LOB2Clinician10Emp2ModifiedProd))</f>
        <v>22.680412371134022</v>
      </c>
      <c r="L1560" s="453">
        <f>IF(calcR2LOB2Clinician10Emp2BaseProd=0,0,IF(calcR2LOB2Clinician10Emp2ModifiedProd=0,calcR2LOB2Clinician10Emp2BaseProd*paramR2LOB2Disc3Meetings*paramR2LOB2Meetings*paramR2LOB2Clinician10Meetings,calcR2LOB2Clinician10Emp2ModifiedProd))</f>
        <v>22.680412371134022</v>
      </c>
      <c r="M1560" s="453">
        <f>IF(calcR2LOB2Clinician10Emp2BaseProd=0,0,IF(calcR2LOB2Clinician10Emp2ModifiedProd=0,calcR2LOB2Clinician10Emp2BaseProd*paramR2LOB2Disc3Meetings*paramR2LOB2Meetings*paramR2LOB2Clinician10Meetings,calcR2LOB2Clinician10Emp2ModifiedProd))</f>
        <v>22.680412371134022</v>
      </c>
      <c r="N1560" s="131" t="s">
        <v>7041</v>
      </c>
    </row>
    <row r="1561" spans="1:14" ht="12.75" customHeight="1">
      <c r="A1561" s="478"/>
      <c r="B1561" s="458"/>
      <c r="C1561" s="170">
        <v>11</v>
      </c>
      <c r="D1561" s="131" t="s">
        <v>555</v>
      </c>
      <c r="E1561" s="453">
        <f>IF(calcLOB2Clinician11Emp2BaseProd=0,0,IF(calcLOB2Clinician11Emp2ModifiedProd=0,calcLOB2Clinician11Emp2BaseProd*paramLOB2Disc3Meetings*paramLOB2Meetings*paramLOB2Clinician11Meetings,calcLOB2Clinician11Emp2ModifiedProd))</f>
        <v>0</v>
      </c>
      <c r="F1561" s="453">
        <f>IF(calcLOB2Clinician11Emp2BaseProd=0,0,IF(calcLOB2Clinician11Emp2ModifiedProd=0,calcLOB2Clinician11Emp2BaseProd*paramLOB2Disc3Meetings*paramLOB2Meetings*paramLOB2Clinician11Meetings,calcLOB2Clinician11Emp2ModifiedProd))</f>
        <v>0</v>
      </c>
      <c r="G1561" s="453">
        <f>IF(calcLOB2Clinician11Emp2BaseProd=0,0,IF(calcLOB2Clinician11Emp2ModifiedProd=0,calcLOB2Clinician11Emp2BaseProd*paramLOB2Disc3Meetings*paramLOB2Meetings*paramLOB2Clinician11Meetings,calcLOB2Clinician11Emp2ModifiedProd))</f>
        <v>0</v>
      </c>
      <c r="H1561" s="131" t="s">
        <v>2465</v>
      </c>
      <c r="J1561" s="131" t="s">
        <v>555</v>
      </c>
      <c r="K1561" s="453">
        <f>IF(calcR2LOB2Clinician11Emp2BaseProd=0,0,IF(calcR2LOB2Clinician11Emp2ModifiedProd=0,calcR2LOB2Clinician11Emp2BaseProd*paramR2LOB2Disc3Meetings*paramR2LOB2Meetings*paramR2LOB2Clinician11Meetings,calcR2LOB2Clinician11Emp2ModifiedProd))</f>
        <v>0</v>
      </c>
      <c r="L1561" s="453">
        <f>IF(calcR2LOB2Clinician11Emp2BaseProd=0,0,IF(calcR2LOB2Clinician11Emp2ModifiedProd=0,calcR2LOB2Clinician11Emp2BaseProd*paramR2LOB2Disc3Meetings*paramR2LOB2Meetings*paramR2LOB2Clinician11Meetings,calcR2LOB2Clinician11Emp2ModifiedProd))</f>
        <v>0</v>
      </c>
      <c r="M1561" s="453">
        <f>IF(calcR2LOB2Clinician11Emp2BaseProd=0,0,IF(calcR2LOB2Clinician11Emp2ModifiedProd=0,calcR2LOB2Clinician11Emp2BaseProd*paramR2LOB2Disc3Meetings*paramR2LOB2Meetings*paramR2LOB2Clinician11Meetings,calcR2LOB2Clinician11Emp2ModifiedProd))</f>
        <v>0</v>
      </c>
      <c r="N1561" s="131" t="s">
        <v>7042</v>
      </c>
    </row>
    <row r="1562" spans="1:14" ht="12.75" customHeight="1">
      <c r="A1562" s="478"/>
      <c r="B1562" s="458"/>
      <c r="C1562" s="170">
        <v>12</v>
      </c>
      <c r="D1562" s="131" t="s">
        <v>555</v>
      </c>
      <c r="E1562" s="453">
        <f>IF(calcLOB2Clinician12Emp2BaseProd=0,0,IF(calcLOB2Clinician12Emp2ModifiedProd=0,calcLOB2Clinician12Emp2BaseProd*paramLOB2Disc3Meetings*paramLOB2Meetings*paramLOB2Clinician12Meetings,calcLOB2Clinician12Emp2ModifiedProd))</f>
        <v>0</v>
      </c>
      <c r="F1562" s="453">
        <f>IF(calcLOB2Clinician12Emp2BaseProd=0,0,IF(calcLOB2Clinician12Emp2ModifiedProd=0,calcLOB2Clinician12Emp2BaseProd*paramLOB2Disc3Meetings*paramLOB2Meetings*paramLOB2Clinician12Meetings,calcLOB2Clinician12Emp2ModifiedProd))</f>
        <v>0</v>
      </c>
      <c r="G1562" s="453">
        <f>IF(calcLOB2Clinician12Emp2BaseProd=0,0,IF(calcLOB2Clinician12Emp2ModifiedProd=0,calcLOB2Clinician12Emp2BaseProd*paramLOB2Disc3Meetings*paramLOB2Meetings*paramLOB2Clinician12Meetings,calcLOB2Clinician12Emp2ModifiedProd))</f>
        <v>0</v>
      </c>
      <c r="H1562" s="131" t="s">
        <v>2466</v>
      </c>
      <c r="J1562" s="131" t="s">
        <v>555</v>
      </c>
      <c r="K1562" s="453">
        <f>IF(calcR2LOB2Clinician12Emp2BaseProd=0,0,IF(calcR2LOB2Clinician12Emp2ModifiedProd=0,calcR2LOB2Clinician12Emp2BaseProd*paramR2LOB2Disc3Meetings*paramR2LOB2Meetings*paramR2LOB2Clinician12Meetings,calcR2LOB2Clinician12Emp2ModifiedProd))</f>
        <v>0</v>
      </c>
      <c r="L1562" s="453">
        <f>IF(calcR2LOB2Clinician12Emp2BaseProd=0,0,IF(calcR2LOB2Clinician12Emp2ModifiedProd=0,calcR2LOB2Clinician12Emp2BaseProd*paramR2LOB2Disc3Meetings*paramR2LOB2Meetings*paramR2LOB2Clinician12Meetings,calcR2LOB2Clinician12Emp2ModifiedProd))</f>
        <v>0</v>
      </c>
      <c r="M1562" s="453">
        <f>IF(calcR2LOB2Clinician12Emp2BaseProd=0,0,IF(calcR2LOB2Clinician12Emp2ModifiedProd=0,calcR2LOB2Clinician12Emp2BaseProd*paramR2LOB2Disc3Meetings*paramR2LOB2Meetings*paramR2LOB2Clinician12Meetings,calcR2LOB2Clinician12Emp2ModifiedProd))</f>
        <v>0</v>
      </c>
      <c r="N1562" s="131" t="s">
        <v>7043</v>
      </c>
    </row>
    <row r="1563" spans="1:14" ht="12.75" customHeight="1">
      <c r="A1563" s="478"/>
      <c r="B1563" s="458"/>
      <c r="D1563" s="131" t="s">
        <v>555</v>
      </c>
      <c r="E1563" s="453">
        <f>cbalLOB2AvgProdClinician16</f>
        <v>33.25</v>
      </c>
      <c r="F1563" s="453">
        <f>cbalLOB2AvgProdClinician16</f>
        <v>30</v>
      </c>
      <c r="G1563" s="453">
        <f>cbalLOB2AvgProdClinician16</f>
        <v>55.000000000000007</v>
      </c>
      <c r="H1563" s="131" t="s">
        <v>4116</v>
      </c>
      <c r="J1563" s="131" t="s">
        <v>555</v>
      </c>
      <c r="K1563" s="453">
        <f>cbalR2LOB2AvgProdClinician16</f>
        <v>31.446178186997855</v>
      </c>
      <c r="L1563" s="453">
        <f>cbalR2LOB2AvgProdClinician16</f>
        <v>30</v>
      </c>
      <c r="M1563" s="453">
        <f>cbalR2LOB2AvgProdClinician16</f>
        <v>55.000000000000007</v>
      </c>
      <c r="N1563" s="131" t="s">
        <v>7044</v>
      </c>
    </row>
    <row r="1564" spans="1:14" ht="1.5" customHeight="1">
      <c r="A1564" s="461"/>
      <c r="B1564" s="459"/>
      <c r="D1564" s="449"/>
      <c r="E1564" s="450"/>
      <c r="F1564" s="450"/>
      <c r="G1564" s="450"/>
      <c r="H1564" s="131"/>
      <c r="J1564" s="449"/>
      <c r="K1564" s="450"/>
      <c r="L1564" s="450"/>
      <c r="M1564" s="450"/>
      <c r="N1564" s="131"/>
    </row>
    <row r="1565" spans="1:14" ht="12.75" customHeight="1">
      <c r="A1565" s="461"/>
      <c r="B1565" s="459"/>
      <c r="D1565" s="131" t="s">
        <v>1587</v>
      </c>
      <c r="E1565" s="448">
        <f>SUM(E1551:E1564)</f>
        <v>55.930412371134025</v>
      </c>
      <c r="F1565" s="448">
        <f t="shared" ref="F1565:G1565" si="205">SUM(F1551:F1564)</f>
        <v>52.680412371134025</v>
      </c>
      <c r="G1565" s="448">
        <f t="shared" si="205"/>
        <v>77.680412371134025</v>
      </c>
      <c r="H1565" s="131" t="s">
        <v>8359</v>
      </c>
      <c r="J1565" s="131" t="s">
        <v>1587</v>
      </c>
      <c r="K1565" s="448">
        <f>SUM(K1551:K1564)</f>
        <v>54.12659055813188</v>
      </c>
      <c r="L1565" s="448">
        <f t="shared" ref="L1565" si="206">SUM(L1551:L1564)</f>
        <v>52.680412371134025</v>
      </c>
      <c r="M1565" s="448">
        <f t="shared" ref="M1565" si="207">SUM(M1551:M1564)</f>
        <v>77.680412371134025</v>
      </c>
      <c r="N1565" s="131" t="s">
        <v>8360</v>
      </c>
    </row>
    <row r="1566" spans="1:14" ht="12.75" customHeight="1">
      <c r="A1566" s="478"/>
      <c r="B1566" s="458"/>
    </row>
    <row r="1567" spans="1:14" ht="12.75" customHeight="1">
      <c r="A1567" s="478"/>
      <c r="B1567" s="635"/>
      <c r="C1567" s="131" t="s">
        <v>1615</v>
      </c>
    </row>
    <row r="1568" spans="1:14" ht="12.75" customHeight="1">
      <c r="A1568" s="478"/>
      <c r="B1568" s="635"/>
      <c r="C1568" s="170">
        <v>1</v>
      </c>
      <c r="D1568" s="131" t="s">
        <v>555</v>
      </c>
      <c r="E1568" s="539">
        <f>IF(calcLOB2Clinician1Emp2BaseProd=0,0,cbalLOB2AvgMissPercClinician1*paramLOB2Disc3Missed*paramLOB2Clinician1Missed)</f>
        <v>0</v>
      </c>
      <c r="F1568" s="539">
        <f>IF(calcLOB2Clinician1Emp2BaseProd=0,0,cbalLOB2AvgMissPercClinician1*paramLOB2Disc3Missed*paramLOB2Clinician1Missed)</f>
        <v>0</v>
      </c>
      <c r="G1568" s="539">
        <f>IF(calcLOB2Clinician1Emp2BaseProd=0,0,cbalLOB2AvgMissPercClinician1*paramLOB2Disc3Missed*paramLOB2Clinician1Missed)</f>
        <v>0</v>
      </c>
      <c r="H1568" s="131" t="s">
        <v>5188</v>
      </c>
      <c r="J1568" s="131" t="s">
        <v>555</v>
      </c>
      <c r="K1568" s="539">
        <f>IF(calcR2LOB2Clinician1Emp2BaseProd=0,0,cbalR2LOB2AvgMissPercClinician1*paramR2LOB2Disc3Missed*paramR2LOB2Clinician1Missed)</f>
        <v>0</v>
      </c>
      <c r="L1568" s="539">
        <f>IF(calcR2LOB2Clinician1Emp2BaseProd=0,0,cbalR2LOB2AvgMissPercClinician1*paramR2LOB2Disc3Missed*paramR2LOB2Clinician1Missed)</f>
        <v>0</v>
      </c>
      <c r="M1568" s="539">
        <f>IF(calcR2LOB2Clinician1Emp2BaseProd=0,0,cbalR2LOB2AvgMissPercClinician1*paramR2LOB2Disc3Missed*paramR2LOB2Clinician1Missed)</f>
        <v>0</v>
      </c>
      <c r="N1568" s="131" t="s">
        <v>7045</v>
      </c>
    </row>
    <row r="1569" spans="1:14" ht="12.75" customHeight="1">
      <c r="A1569" s="478"/>
      <c r="B1569" s="635"/>
      <c r="C1569" s="170">
        <v>2</v>
      </c>
      <c r="D1569" s="131" t="s">
        <v>555</v>
      </c>
      <c r="E1569" s="539">
        <f>IF(calcLOB2Clinician2Emp2BaseProd=0,0,cbalLOB2AvgMissPercClinician2*paramLOB2Disc3Missed*paramLOB2Clinician2Missed)</f>
        <v>0</v>
      </c>
      <c r="F1569" s="539">
        <f>IF(calcLOB2Clinician2Emp2BaseProd=0,0,cbalLOB2AvgMissPercClinician2*paramLOB2Disc3Missed*paramLOB2Clinician2Missed)</f>
        <v>0</v>
      </c>
      <c r="G1569" s="539">
        <f>IF(calcLOB2Clinician2Emp2BaseProd=0,0,cbalLOB2AvgMissPercClinician2*paramLOB2Disc3Missed*paramLOB2Clinician2Missed)</f>
        <v>0</v>
      </c>
      <c r="H1569" s="131" t="s">
        <v>5189</v>
      </c>
      <c r="J1569" s="131" t="s">
        <v>555</v>
      </c>
      <c r="K1569" s="539">
        <f>IF(calcR2LOB2Clinician2Emp2BaseProd=0,0,cbalR2LOB2AvgMissPercClinician2*paramR2LOB2Disc3Missed*paramR2LOB2Clinician2Missed)</f>
        <v>0</v>
      </c>
      <c r="L1569" s="539">
        <f>IF(calcR2LOB2Clinician2Emp2BaseProd=0,0,cbalR2LOB2AvgMissPercClinician2*paramR2LOB2Disc3Missed*paramR2LOB2Clinician2Missed)</f>
        <v>0</v>
      </c>
      <c r="M1569" s="539">
        <f>IF(calcR2LOB2Clinician2Emp2BaseProd=0,0,cbalR2LOB2AvgMissPercClinician2*paramR2LOB2Disc3Missed*paramR2LOB2Clinician2Missed)</f>
        <v>0</v>
      </c>
      <c r="N1569" s="131" t="s">
        <v>7046</v>
      </c>
    </row>
    <row r="1570" spans="1:14" ht="12.75" customHeight="1">
      <c r="A1570" s="478"/>
      <c r="B1570" s="635"/>
      <c r="C1570" s="170">
        <v>3</v>
      </c>
      <c r="D1570" s="131" t="s">
        <v>555</v>
      </c>
      <c r="E1570" s="539">
        <f>IF(calcLOB2Clinician3Emp2BaseProd=0,0,cbalLOB2AvgMissPercClinician3*paramLOB2Disc3Missed*paramLOB2Clinician3Missed)</f>
        <v>0</v>
      </c>
      <c r="F1570" s="539">
        <f>IF(calcLOB2Clinician3Emp2BaseProd=0,0,cbalLOB2AvgMissPercClinician3*paramLOB2Disc3Missed*paramLOB2Clinician3Missed)</f>
        <v>0</v>
      </c>
      <c r="G1570" s="539">
        <f>IF(calcLOB2Clinician3Emp2BaseProd=0,0,cbalLOB2AvgMissPercClinician3*paramLOB2Disc3Missed*paramLOB2Clinician3Missed)</f>
        <v>0</v>
      </c>
      <c r="H1570" s="131" t="s">
        <v>5190</v>
      </c>
      <c r="J1570" s="131" t="s">
        <v>555</v>
      </c>
      <c r="K1570" s="539">
        <f>IF(calcR2LOB2Clinician3Emp2BaseProd=0,0,cbalR2LOB2AvgMissPercClinician3*paramR2LOB2Disc3Missed*paramR2LOB2Clinician3Missed)</f>
        <v>0</v>
      </c>
      <c r="L1570" s="539">
        <f>IF(calcR2LOB2Clinician3Emp2BaseProd=0,0,cbalR2LOB2AvgMissPercClinician3*paramR2LOB2Disc3Missed*paramR2LOB2Clinician3Missed)</f>
        <v>0</v>
      </c>
      <c r="M1570" s="539">
        <f>IF(calcR2LOB2Clinician3Emp2BaseProd=0,0,cbalR2LOB2AvgMissPercClinician3*paramR2LOB2Disc3Missed*paramR2LOB2Clinician3Missed)</f>
        <v>0</v>
      </c>
      <c r="N1570" s="131" t="s">
        <v>7047</v>
      </c>
    </row>
    <row r="1571" spans="1:14" ht="12.75" customHeight="1">
      <c r="A1571" s="478"/>
      <c r="B1571" s="635"/>
      <c r="C1571" s="170">
        <v>4</v>
      </c>
      <c r="D1571" s="131" t="s">
        <v>555</v>
      </c>
      <c r="E1571" s="539">
        <f>IF(calcLOB2Clinician4Emp2BaseProd=0,0,cbalLOB2AvgMissPercClinician4*paramLOB2Disc3Missed*paramLOB2Clinician4Missed)</f>
        <v>0</v>
      </c>
      <c r="F1571" s="539">
        <f>IF(calcLOB2Clinician4Emp2BaseProd=0,0,cbalLOB2AvgMissPercClinician4*paramLOB2Disc3Missed*paramLOB2Clinician4Missed)</f>
        <v>0</v>
      </c>
      <c r="G1571" s="539">
        <f>IF(calcLOB2Clinician4Emp2BaseProd=0,0,cbalLOB2AvgMissPercClinician4*paramLOB2Disc3Missed*paramLOB2Clinician4Missed)</f>
        <v>0</v>
      </c>
      <c r="H1571" s="131" t="s">
        <v>5191</v>
      </c>
      <c r="J1571" s="131" t="s">
        <v>555</v>
      </c>
      <c r="K1571" s="539">
        <f>IF(calcR2LOB2Clinician4Emp2BaseProd=0,0,cbalR2LOB2AvgMissPercClinician4*paramR2LOB2Disc3Missed*paramR2LOB2Clinician4Missed)</f>
        <v>0</v>
      </c>
      <c r="L1571" s="539">
        <f>IF(calcR2LOB2Clinician4Emp2BaseProd=0,0,cbalR2LOB2AvgMissPercClinician4*paramR2LOB2Disc3Missed*paramR2LOB2Clinician4Missed)</f>
        <v>0</v>
      </c>
      <c r="M1571" s="539">
        <f>IF(calcR2LOB2Clinician4Emp2BaseProd=0,0,cbalR2LOB2AvgMissPercClinician4*paramR2LOB2Disc3Missed*paramR2LOB2Clinician4Missed)</f>
        <v>0</v>
      </c>
      <c r="N1571" s="131" t="s">
        <v>7048</v>
      </c>
    </row>
    <row r="1572" spans="1:14" ht="12.75" customHeight="1">
      <c r="A1572" s="478"/>
      <c r="B1572" s="635"/>
      <c r="C1572" s="170">
        <v>5</v>
      </c>
      <c r="D1572" s="131" t="s">
        <v>555</v>
      </c>
      <c r="E1572" s="539">
        <f>IF(calcLOB2Clinician5Emp2BaseProd=0,0,cbalLOB2AvgMissPercClinician5*paramLOB2Disc3Missed*paramLOB2Clinician5Missed)</f>
        <v>0</v>
      </c>
      <c r="F1572" s="539">
        <f>IF(calcLOB2Clinician5Emp2BaseProd=0,0,cbalLOB2AvgMissPercClinician5*paramLOB2Disc3Missed*paramLOB2Clinician5Missed)</f>
        <v>0</v>
      </c>
      <c r="G1572" s="539">
        <f>IF(calcLOB2Clinician5Emp2BaseProd=0,0,cbalLOB2AvgMissPercClinician5*paramLOB2Disc3Missed*paramLOB2Clinician5Missed)</f>
        <v>0</v>
      </c>
      <c r="H1572" s="131" t="s">
        <v>5192</v>
      </c>
      <c r="J1572" s="131" t="s">
        <v>555</v>
      </c>
      <c r="K1572" s="539">
        <f>IF(calcR2LOB2Clinician5Emp2BaseProd=0,0,cbalR2LOB2AvgMissPercClinician5*paramR2LOB2Disc3Missed*paramR2LOB2Clinician5Missed)</f>
        <v>0</v>
      </c>
      <c r="L1572" s="539">
        <f>IF(calcR2LOB2Clinician5Emp2BaseProd=0,0,cbalR2LOB2AvgMissPercClinician5*paramR2LOB2Disc3Missed*paramR2LOB2Clinician5Missed)</f>
        <v>0</v>
      </c>
      <c r="M1572" s="539">
        <f>IF(calcR2LOB2Clinician5Emp2BaseProd=0,0,cbalR2LOB2AvgMissPercClinician5*paramR2LOB2Disc3Missed*paramR2LOB2Clinician5Missed)</f>
        <v>0</v>
      </c>
      <c r="N1572" s="131" t="s">
        <v>7049</v>
      </c>
    </row>
    <row r="1573" spans="1:14" ht="12.75" customHeight="1">
      <c r="A1573" s="478"/>
      <c r="B1573" s="635"/>
      <c r="C1573" s="170">
        <v>6</v>
      </c>
      <c r="D1573" s="131" t="s">
        <v>555</v>
      </c>
      <c r="E1573" s="539">
        <f>IF(calcLOB2Clinician6Emp2BaseProd=0,0,cbalLOB2AvgMissPercClinician6*paramLOB2Disc3Missed*paramLOB2Clinician6Missed)</f>
        <v>0</v>
      </c>
      <c r="F1573" s="539">
        <f>IF(calcLOB2Clinician6Emp2BaseProd=0,0,cbalLOB2AvgMissPercClinician6*paramLOB2Disc3Missed*paramLOB2Clinician6Missed)</f>
        <v>0</v>
      </c>
      <c r="G1573" s="539">
        <f>IF(calcLOB2Clinician6Emp2BaseProd=0,0,cbalLOB2AvgMissPercClinician6*paramLOB2Disc3Missed*paramLOB2Clinician6Missed)</f>
        <v>0</v>
      </c>
      <c r="H1573" s="131" t="s">
        <v>5193</v>
      </c>
      <c r="J1573" s="131" t="s">
        <v>555</v>
      </c>
      <c r="K1573" s="539">
        <f>IF(calcR2LOB2Clinician6Emp2BaseProd=0,0,cbalR2LOB2AvgMissPercClinician6*paramR2LOB2Disc3Missed*paramR2LOB2Clinician6Missed)</f>
        <v>0</v>
      </c>
      <c r="L1573" s="539">
        <f>IF(calcR2LOB2Clinician6Emp2BaseProd=0,0,cbalR2LOB2AvgMissPercClinician6*paramR2LOB2Disc3Missed*paramR2LOB2Clinician6Missed)</f>
        <v>0</v>
      </c>
      <c r="M1573" s="539">
        <f>IF(calcR2LOB2Clinician6Emp2BaseProd=0,0,cbalR2LOB2AvgMissPercClinician6*paramR2LOB2Disc3Missed*paramR2LOB2Clinician6Missed)</f>
        <v>0</v>
      </c>
      <c r="N1573" s="131" t="s">
        <v>7050</v>
      </c>
    </row>
    <row r="1574" spans="1:14" ht="12.75" customHeight="1">
      <c r="A1574" s="478"/>
      <c r="B1574" s="635"/>
      <c r="C1574" s="170">
        <v>7</v>
      </c>
      <c r="D1574" s="131" t="s">
        <v>555</v>
      </c>
      <c r="E1574" s="539">
        <f>IF(calcLOB2Clinician7Emp2BaseProd=0,0,cbalLOB2AvgMissPercClinician7*paramLOB2Disc3Missed*paramLOB2Clinician7Missed)</f>
        <v>0</v>
      </c>
      <c r="F1574" s="539">
        <f>IF(calcLOB2Clinician7Emp2BaseProd=0,0,cbalLOB2AvgMissPercClinician7*paramLOB2Disc3Missed*paramLOB2Clinician7Missed)</f>
        <v>0</v>
      </c>
      <c r="G1574" s="539">
        <f>IF(calcLOB2Clinician7Emp2BaseProd=0,0,cbalLOB2AvgMissPercClinician7*paramLOB2Disc3Missed*paramLOB2Clinician7Missed)</f>
        <v>0</v>
      </c>
      <c r="H1574" s="131" t="s">
        <v>5194</v>
      </c>
      <c r="J1574" s="131" t="s">
        <v>555</v>
      </c>
      <c r="K1574" s="539">
        <f>IF(calcR2LOB2Clinician7Emp2BaseProd=0,0,cbalR2LOB2AvgMissPercClinician7*paramR2LOB2Disc3Missed*paramR2LOB2Clinician7Missed)</f>
        <v>0</v>
      </c>
      <c r="L1574" s="539">
        <f>IF(calcR2LOB2Clinician7Emp2BaseProd=0,0,cbalR2LOB2AvgMissPercClinician7*paramR2LOB2Disc3Missed*paramR2LOB2Clinician7Missed)</f>
        <v>0</v>
      </c>
      <c r="M1574" s="539">
        <f>IF(calcR2LOB2Clinician7Emp2BaseProd=0,0,cbalR2LOB2AvgMissPercClinician7*paramR2LOB2Disc3Missed*paramR2LOB2Clinician7Missed)</f>
        <v>0</v>
      </c>
      <c r="N1574" s="131" t="s">
        <v>7051</v>
      </c>
    </row>
    <row r="1575" spans="1:14" ht="12.75" customHeight="1">
      <c r="A1575" s="478"/>
      <c r="B1575" s="635"/>
      <c r="C1575" s="170">
        <v>8</v>
      </c>
      <c r="D1575" s="131" t="s">
        <v>555</v>
      </c>
      <c r="E1575" s="539">
        <f>IF(calcLOB2Clinician8Emp2BaseProd=0,0,cbalLOB2AvgMissPercClinician8*paramLOB2Disc3Missed*paramLOB2Clinician8Missed)</f>
        <v>0</v>
      </c>
      <c r="F1575" s="539">
        <f>IF(calcLOB2Clinician8Emp2BaseProd=0,0,cbalLOB2AvgMissPercClinician8*paramLOB2Disc3Missed*paramLOB2Clinician8Missed)</f>
        <v>0</v>
      </c>
      <c r="G1575" s="539">
        <f>IF(calcLOB2Clinician8Emp2BaseProd=0,0,cbalLOB2AvgMissPercClinician8*paramLOB2Disc3Missed*paramLOB2Clinician8Missed)</f>
        <v>0</v>
      </c>
      <c r="H1575" s="131" t="s">
        <v>5195</v>
      </c>
      <c r="J1575" s="131" t="s">
        <v>555</v>
      </c>
      <c r="K1575" s="539">
        <f>IF(calcR2LOB2Clinician8Emp2BaseProd=0,0,cbalR2LOB2AvgMissPercClinician8*paramR2LOB2Disc3Missed*paramR2LOB2Clinician8Missed)</f>
        <v>0</v>
      </c>
      <c r="L1575" s="539">
        <f>IF(calcR2LOB2Clinician8Emp2BaseProd=0,0,cbalR2LOB2AvgMissPercClinician8*paramR2LOB2Disc3Missed*paramR2LOB2Clinician8Missed)</f>
        <v>0</v>
      </c>
      <c r="M1575" s="539">
        <f>IF(calcR2LOB2Clinician8Emp2BaseProd=0,0,cbalR2LOB2AvgMissPercClinician8*paramR2LOB2Disc3Missed*paramR2LOB2Clinician8Missed)</f>
        <v>0</v>
      </c>
      <c r="N1575" s="131" t="s">
        <v>7052</v>
      </c>
    </row>
    <row r="1576" spans="1:14" ht="12.75" customHeight="1">
      <c r="A1576" s="478"/>
      <c r="B1576" s="635"/>
      <c r="C1576" s="170">
        <v>9</v>
      </c>
      <c r="D1576" s="131" t="s">
        <v>555</v>
      </c>
      <c r="E1576" s="539">
        <f>IF(calcLOB2Clinician9Emp2BaseProd=0,0,cbalLOB2AvgMissPercClinician9*paramLOB2Disc3Missed*paramLOB2Clinician9Missed)</f>
        <v>0</v>
      </c>
      <c r="F1576" s="539">
        <f>IF(calcLOB2Clinician9Emp2BaseProd=0,0,cbalLOB2AvgMissPercClinician9*paramLOB2Disc3Missed*paramLOB2Clinician9Missed)</f>
        <v>0</v>
      </c>
      <c r="G1576" s="539">
        <f>IF(calcLOB2Clinician9Emp2BaseProd=0,0,cbalLOB2AvgMissPercClinician9*paramLOB2Disc3Missed*paramLOB2Clinician9Missed)</f>
        <v>0</v>
      </c>
      <c r="H1576" s="131" t="s">
        <v>5196</v>
      </c>
      <c r="J1576" s="131" t="s">
        <v>555</v>
      </c>
      <c r="K1576" s="539">
        <f>IF(calcR2LOB2Clinician9Emp2BaseProd=0,0,cbalR2LOB2AvgMissPercClinician9*paramR2LOB2Disc3Missed*paramR2LOB2Clinician9Missed)</f>
        <v>0</v>
      </c>
      <c r="L1576" s="539">
        <f>IF(calcR2LOB2Clinician9Emp2BaseProd=0,0,cbalR2LOB2AvgMissPercClinician9*paramR2LOB2Disc3Missed*paramR2LOB2Clinician9Missed)</f>
        <v>0</v>
      </c>
      <c r="M1576" s="539">
        <f>IF(calcR2LOB2Clinician9Emp2BaseProd=0,0,cbalR2LOB2AvgMissPercClinician9*paramR2LOB2Disc3Missed*paramR2LOB2Clinician9Missed)</f>
        <v>0</v>
      </c>
      <c r="N1576" s="131" t="s">
        <v>7053</v>
      </c>
    </row>
    <row r="1577" spans="1:14" ht="12.75" customHeight="1">
      <c r="A1577" s="478"/>
      <c r="B1577" s="635"/>
      <c r="C1577" s="170">
        <v>10</v>
      </c>
      <c r="D1577" s="131" t="s">
        <v>555</v>
      </c>
      <c r="E1577" s="539">
        <f>IF(calcLOB2Clinician10Emp2BaseProd=0,0,cbalLOB2AvgMissPercClinician10*paramLOB2Disc3Missed*paramLOB2Clinician10Missed)</f>
        <v>3.7499999999999999E-2</v>
      </c>
      <c r="F1577" s="539">
        <f>IF(calcLOB2Clinician10Emp2BaseProd=0,0,cbalLOB2AvgMissPercClinician10*paramLOB2Disc3Missed*paramLOB2Clinician10Missed)</f>
        <v>3.7499999999999999E-2</v>
      </c>
      <c r="G1577" s="539">
        <f>IF(calcLOB2Clinician10Emp2BaseProd=0,0,cbalLOB2AvgMissPercClinician10*paramLOB2Disc3Missed*paramLOB2Clinician10Missed)</f>
        <v>3.7499999999999999E-2</v>
      </c>
      <c r="H1577" s="131" t="s">
        <v>5197</v>
      </c>
      <c r="J1577" s="131" t="s">
        <v>555</v>
      </c>
      <c r="K1577" s="539">
        <f>IF(calcR2LOB2Clinician10Emp2BaseProd=0,0,cbalR2LOB2AvgMissPercClinician10*paramR2LOB2Disc3Missed*paramR2LOB2Clinician10Missed)</f>
        <v>3.7499999999999999E-2</v>
      </c>
      <c r="L1577" s="539">
        <f>IF(calcR2LOB2Clinician10Emp2BaseProd=0,0,cbalR2LOB2AvgMissPercClinician10*paramR2LOB2Disc3Missed*paramR2LOB2Clinician10Missed)</f>
        <v>3.7499999999999999E-2</v>
      </c>
      <c r="M1577" s="539">
        <f>IF(calcR2LOB2Clinician10Emp2BaseProd=0,0,cbalR2LOB2AvgMissPercClinician10*paramR2LOB2Disc3Missed*paramR2LOB2Clinician10Missed)</f>
        <v>3.7499999999999999E-2</v>
      </c>
      <c r="N1577" s="131" t="s">
        <v>7054</v>
      </c>
    </row>
    <row r="1578" spans="1:14" ht="12.75" customHeight="1">
      <c r="A1578" s="478"/>
      <c r="B1578" s="635"/>
      <c r="C1578" s="170">
        <v>11</v>
      </c>
      <c r="D1578" s="131" t="s">
        <v>555</v>
      </c>
      <c r="E1578" s="539">
        <f>IF(calcLOB2Clinician11Emp2BaseProd=0,0,cbalLOB2AvgMissPercClinician11*paramLOB2Disc3Missed*paramLOB2Clinician11Missed)</f>
        <v>0</v>
      </c>
      <c r="F1578" s="539">
        <f>IF(calcLOB2Clinician11Emp2BaseProd=0,0,cbalLOB2AvgMissPercClinician11*paramLOB2Disc3Missed*paramLOB2Clinician11Missed)</f>
        <v>0</v>
      </c>
      <c r="G1578" s="539">
        <f>IF(calcLOB2Clinician11Emp2BaseProd=0,0,cbalLOB2AvgMissPercClinician11*paramLOB2Disc3Missed*paramLOB2Clinician11Missed)</f>
        <v>0</v>
      </c>
      <c r="H1578" s="131" t="s">
        <v>5198</v>
      </c>
      <c r="J1578" s="131" t="s">
        <v>555</v>
      </c>
      <c r="K1578" s="539">
        <f>IF(calcR2LOB2Clinician11Emp2BaseProd=0,0,cbalR2LOB2AvgMissPercClinician11*paramR2LOB2Disc3Missed*paramR2LOB2Clinician11Missed)</f>
        <v>0</v>
      </c>
      <c r="L1578" s="539">
        <f>IF(calcR2LOB2Clinician11Emp2BaseProd=0,0,cbalR2LOB2AvgMissPercClinician11*paramR2LOB2Disc3Missed*paramR2LOB2Clinician11Missed)</f>
        <v>0</v>
      </c>
      <c r="M1578" s="539">
        <f>IF(calcR2LOB2Clinician11Emp2BaseProd=0,0,cbalR2LOB2AvgMissPercClinician11*paramR2LOB2Disc3Missed*paramR2LOB2Clinician11Missed)</f>
        <v>0</v>
      </c>
      <c r="N1578" s="131" t="s">
        <v>7055</v>
      </c>
    </row>
    <row r="1579" spans="1:14" ht="12.75" customHeight="1">
      <c r="A1579" s="478"/>
      <c r="B1579" s="635"/>
      <c r="C1579" s="170">
        <v>12</v>
      </c>
      <c r="D1579" s="131" t="s">
        <v>555</v>
      </c>
      <c r="E1579" s="539">
        <f>IF(calcLOB2Clinician12Emp2BaseProd=0,0,cbalLOB2AvgMissPercClinician12*paramLOB2Disc3Missed*paramLOB2Clinician12Missed)</f>
        <v>0</v>
      </c>
      <c r="F1579" s="539">
        <f>IF(calcLOB2Clinician12Emp2BaseProd=0,0,cbalLOB2AvgMissPercClinician12*paramLOB2Disc3Missed*paramLOB2Clinician12Missed)</f>
        <v>0</v>
      </c>
      <c r="G1579" s="539">
        <f>IF(calcLOB2Clinician12Emp2BaseProd=0,0,cbalLOB2AvgMissPercClinician12*paramLOB2Disc3Missed*paramLOB2Clinician12Missed)</f>
        <v>0</v>
      </c>
      <c r="H1579" s="131" t="s">
        <v>5199</v>
      </c>
      <c r="J1579" s="131" t="s">
        <v>555</v>
      </c>
      <c r="K1579" s="539">
        <f>IF(calcR2LOB2Clinician12Emp2BaseProd=0,0,cbalR2LOB2AvgMissPercClinician12*paramR2LOB2Disc3Missed*paramR2LOB2Clinician12Missed)</f>
        <v>0</v>
      </c>
      <c r="L1579" s="539">
        <f>IF(calcR2LOB2Clinician12Emp2BaseProd=0,0,cbalR2LOB2AvgMissPercClinician12*paramR2LOB2Disc3Missed*paramR2LOB2Clinician12Missed)</f>
        <v>0</v>
      </c>
      <c r="M1579" s="539">
        <f>IF(calcR2LOB2Clinician12Emp2BaseProd=0,0,cbalR2LOB2AvgMissPercClinician12*paramR2LOB2Disc3Missed*paramR2LOB2Clinician12Missed)</f>
        <v>0</v>
      </c>
      <c r="N1579" s="131" t="s">
        <v>7056</v>
      </c>
    </row>
    <row r="1580" spans="1:14" ht="12.75" customHeight="1">
      <c r="A1580" s="478"/>
      <c r="B1580" s="635"/>
      <c r="D1580" s="131" t="s">
        <v>555</v>
      </c>
      <c r="E1580" s="644">
        <f>IF(calcLOB2Clinician16Emp2BaseProd=0,0,cbalLOB2AvgMissPercClinician16*paramLOB2Disc3Missed)</f>
        <v>6.25E-2</v>
      </c>
      <c r="F1580" s="644">
        <f>IF(calcLOB2Clinician16Emp2BaseProd=0,0,cbalLOB2AvgMissPercClinician16*paramLOB2Disc3Missed)</f>
        <v>6.25E-2</v>
      </c>
      <c r="G1580" s="644">
        <f>IF(calcLOB2Clinician16Emp2BaseProd=0,0,cbalLOB2AvgMissPercClinician16*paramLOB2Disc3Missed)</f>
        <v>6.25E-2</v>
      </c>
      <c r="H1580" s="131" t="s">
        <v>5200</v>
      </c>
      <c r="J1580" s="131" t="s">
        <v>555</v>
      </c>
      <c r="K1580" s="644">
        <f>IF(calcR2LOB2Clinician16Emp2BaseProd=0,0,cbalR2LOB2AvgMissPercClinician16*paramR2LOB2Disc3Missed)</f>
        <v>6.25E-2</v>
      </c>
      <c r="L1580" s="644">
        <f>IF(calcR2LOB2Clinician16Emp2BaseProd=0,0,cbalR2LOB2AvgMissPercClinician16*paramR2LOB2Disc3Missed)</f>
        <v>6.25E-2</v>
      </c>
      <c r="M1580" s="644">
        <f>IF(calcR2LOB2Clinician16Emp2BaseProd=0,0,cbalR2LOB2AvgMissPercClinician16*paramR2LOB2Disc3Missed)</f>
        <v>6.25E-2</v>
      </c>
      <c r="N1580" s="131" t="s">
        <v>7057</v>
      </c>
    </row>
    <row r="1581" spans="1:14" ht="12.75" customHeight="1">
      <c r="A1581" s="478"/>
      <c r="B1581" s="635"/>
      <c r="D1581" s="131"/>
      <c r="E1581" s="452"/>
      <c r="F1581" s="452"/>
      <c r="G1581" s="452"/>
      <c r="J1581" s="131"/>
      <c r="K1581" s="452"/>
      <c r="L1581" s="452"/>
      <c r="M1581" s="452"/>
    </row>
    <row r="1582" spans="1:14" ht="12.75" customHeight="1">
      <c r="A1582" s="478"/>
      <c r="B1582" s="458"/>
      <c r="C1582" s="131" t="s">
        <v>1615</v>
      </c>
    </row>
    <row r="1583" spans="1:14" ht="12.75" customHeight="1">
      <c r="A1583" s="478"/>
      <c r="B1583" s="458"/>
      <c r="C1583" s="170">
        <v>1</v>
      </c>
      <c r="D1583" s="131" t="s">
        <v>555</v>
      </c>
      <c r="E1583" s="539">
        <f>IF(calcLOB2Clinician1Emp2BaseProd=0,0,cbalLOB2AvgMissPercClinician1+(calcLOB2Clinician1Emp2GrossProd/calcLOB2Clinician1Emp2BaseProd-1)/paramTimeConversion)</f>
        <v>0</v>
      </c>
      <c r="F1583" s="539">
        <f>IF(calcLOB2Clinician1Emp2BaseProd=0,0,cbalLOB2AvgMissPercClinician1+(calcLOB2Clinician1Emp2GrossProd/calcLOB2Clinician1Emp2BaseProd-1)/paramTimeConversion)</f>
        <v>0</v>
      </c>
      <c r="G1583" s="539">
        <f>IF(calcLOB2Clinician1Emp2BaseProd=0,0,cbalLOB2AvgMissPercClinician1+(calcLOB2Clinician1Emp2GrossProd/calcLOB2Clinician1Emp2BaseProd-1)/paramTimeConversion)</f>
        <v>0</v>
      </c>
      <c r="H1583" s="131" t="s">
        <v>3915</v>
      </c>
      <c r="J1583" s="131" t="s">
        <v>555</v>
      </c>
      <c r="K1583" s="539">
        <f>IF(calcR2LOB2Clinician1Emp2BaseProd=0,0,cbalR2LOB2AvgMissPercClinician1+(calcR2LOB2Clinician1Emp2GrossProd/calcR2LOB2Clinician1Emp2BaseProd-1)/paramR2TimeConversion)</f>
        <v>0</v>
      </c>
      <c r="L1583" s="539">
        <f>IF(calcR2LOB2Clinician1Emp2BaseProd=0,0,cbalR2LOB2AvgMissPercClinician1+(calcR2LOB2Clinician1Emp2GrossProd/calcR2LOB2Clinician1Emp2BaseProd-1)/paramR2TimeConversion)</f>
        <v>0</v>
      </c>
      <c r="M1583" s="539">
        <f>IF(calcR2LOB2Clinician1Emp2BaseProd=0,0,cbalR2LOB2AvgMissPercClinician1+(calcR2LOB2Clinician1Emp2GrossProd/calcR2LOB2Clinician1Emp2BaseProd-1)/paramR2TimeConversion)</f>
        <v>0</v>
      </c>
      <c r="N1583" s="131" t="s">
        <v>7058</v>
      </c>
    </row>
    <row r="1584" spans="1:14" ht="12.75" customHeight="1">
      <c r="A1584" s="478"/>
      <c r="B1584" s="458"/>
      <c r="C1584" s="170">
        <v>2</v>
      </c>
      <c r="D1584" s="131" t="s">
        <v>555</v>
      </c>
      <c r="E1584" s="539">
        <f>IF(calcLOB2Clinician2Emp2BaseProd=0,0,cbalLOB2AvgMissPercClinician2+(calcLOB2Clinician2Emp2GrossProd/calcLOB2Clinician2Emp2BaseProd-1)/paramTimeConversion)</f>
        <v>0</v>
      </c>
      <c r="F1584" s="539">
        <f>IF(calcLOB2Clinician2Emp2BaseProd=0,0,cbalLOB2AvgMissPercClinician2+(calcLOB2Clinician2Emp2GrossProd/calcLOB2Clinician2Emp2BaseProd-1)/paramTimeConversion)</f>
        <v>0</v>
      </c>
      <c r="G1584" s="539">
        <f>IF(calcLOB2Clinician2Emp2BaseProd=0,0,cbalLOB2AvgMissPercClinician2+(calcLOB2Clinician2Emp2GrossProd/calcLOB2Clinician2Emp2BaseProd-1)/paramTimeConversion)</f>
        <v>0</v>
      </c>
      <c r="H1584" s="131" t="s">
        <v>3916</v>
      </c>
      <c r="J1584" s="131" t="s">
        <v>555</v>
      </c>
      <c r="K1584" s="539">
        <f>IF(calcR2LOB2Clinician2Emp2BaseProd=0,0,cbalR2LOB2AvgMissPercClinician2+(calcR2LOB2Clinician2Emp2GrossProd/calcR2LOB2Clinician2Emp2BaseProd-1)/paramR2TimeConversion)</f>
        <v>0</v>
      </c>
      <c r="L1584" s="539">
        <f>IF(calcR2LOB2Clinician2Emp2BaseProd=0,0,cbalR2LOB2AvgMissPercClinician2+(calcR2LOB2Clinician2Emp2GrossProd/calcR2LOB2Clinician2Emp2BaseProd-1)/paramR2TimeConversion)</f>
        <v>0</v>
      </c>
      <c r="M1584" s="539">
        <f>IF(calcR2LOB2Clinician2Emp2BaseProd=0,0,cbalR2LOB2AvgMissPercClinician2+(calcR2LOB2Clinician2Emp2GrossProd/calcR2LOB2Clinician2Emp2BaseProd-1)/paramR2TimeConversion)</f>
        <v>0</v>
      </c>
      <c r="N1584" s="131" t="s">
        <v>7059</v>
      </c>
    </row>
    <row r="1585" spans="1:14" ht="12.75" customHeight="1">
      <c r="A1585" s="478"/>
      <c r="B1585" s="458"/>
      <c r="C1585" s="170">
        <v>3</v>
      </c>
      <c r="D1585" s="131" t="s">
        <v>555</v>
      </c>
      <c r="E1585" s="539">
        <f>IF(calcLOB2Clinician3Emp2BaseProd=0,0,cbalLOB2AvgMissPercClinician3+(calcLOB2Clinician3Emp2GrossProd/calcLOB2Clinician3Emp2BaseProd-1)/paramTimeConversion)</f>
        <v>0</v>
      </c>
      <c r="F1585" s="539">
        <f>IF(calcLOB2Clinician3Emp2BaseProd=0,0,cbalLOB2AvgMissPercClinician3+(calcLOB2Clinician3Emp2GrossProd/calcLOB2Clinician3Emp2BaseProd-1)/paramTimeConversion)</f>
        <v>0</v>
      </c>
      <c r="G1585" s="539">
        <f>IF(calcLOB2Clinician3Emp2BaseProd=0,0,cbalLOB2AvgMissPercClinician3+(calcLOB2Clinician3Emp2GrossProd/calcLOB2Clinician3Emp2BaseProd-1)/paramTimeConversion)</f>
        <v>0</v>
      </c>
      <c r="H1585" s="131" t="s">
        <v>3917</v>
      </c>
      <c r="J1585" s="131" t="s">
        <v>555</v>
      </c>
      <c r="K1585" s="539">
        <f>IF(calcR2LOB2Clinician3Emp2BaseProd=0,0,cbalR2LOB2AvgMissPercClinician3+(calcR2LOB2Clinician3Emp2GrossProd/calcR2LOB2Clinician3Emp2BaseProd-1)/paramR2TimeConversion)</f>
        <v>0</v>
      </c>
      <c r="L1585" s="539">
        <f>IF(calcR2LOB2Clinician3Emp2BaseProd=0,0,cbalR2LOB2AvgMissPercClinician3+(calcR2LOB2Clinician3Emp2GrossProd/calcR2LOB2Clinician3Emp2BaseProd-1)/paramR2TimeConversion)</f>
        <v>0</v>
      </c>
      <c r="M1585" s="539">
        <f>IF(calcR2LOB2Clinician3Emp2BaseProd=0,0,cbalR2LOB2AvgMissPercClinician3+(calcR2LOB2Clinician3Emp2GrossProd/calcR2LOB2Clinician3Emp2BaseProd-1)/paramR2TimeConversion)</f>
        <v>0</v>
      </c>
      <c r="N1585" s="131" t="s">
        <v>7060</v>
      </c>
    </row>
    <row r="1586" spans="1:14" ht="12.75" customHeight="1">
      <c r="A1586" s="478"/>
      <c r="B1586" s="458"/>
      <c r="C1586" s="170">
        <v>4</v>
      </c>
      <c r="D1586" s="131" t="s">
        <v>555</v>
      </c>
      <c r="E1586" s="539">
        <f>IF(calcLOB2Clinician4Emp2BaseProd=0,0,cbalLOB2AvgMissPercClinician4+(calcLOB2Clinician4Emp2GrossProd/calcLOB2Clinician4Emp2BaseProd-1)/paramTimeConversion)</f>
        <v>0</v>
      </c>
      <c r="F1586" s="539">
        <f>IF(calcLOB2Clinician4Emp2BaseProd=0,0,cbalLOB2AvgMissPercClinician4+(calcLOB2Clinician4Emp2GrossProd/calcLOB2Clinician4Emp2BaseProd-1)/paramTimeConversion)</f>
        <v>0</v>
      </c>
      <c r="G1586" s="539">
        <f>IF(calcLOB2Clinician4Emp2BaseProd=0,0,cbalLOB2AvgMissPercClinician4+(calcLOB2Clinician4Emp2GrossProd/calcLOB2Clinician4Emp2BaseProd-1)/paramTimeConversion)</f>
        <v>0</v>
      </c>
      <c r="H1586" s="131" t="s">
        <v>3918</v>
      </c>
      <c r="J1586" s="131" t="s">
        <v>555</v>
      </c>
      <c r="K1586" s="539">
        <f>IF(calcR2LOB2Clinician4Emp2BaseProd=0,0,cbalR2LOB2AvgMissPercClinician4+(calcR2LOB2Clinician4Emp2GrossProd/calcR2LOB2Clinician4Emp2BaseProd-1)/paramR2TimeConversion)</f>
        <v>0</v>
      </c>
      <c r="L1586" s="539">
        <f>IF(calcR2LOB2Clinician4Emp2BaseProd=0,0,cbalR2LOB2AvgMissPercClinician4+(calcR2LOB2Clinician4Emp2GrossProd/calcR2LOB2Clinician4Emp2BaseProd-1)/paramR2TimeConversion)</f>
        <v>0</v>
      </c>
      <c r="M1586" s="539">
        <f>IF(calcR2LOB2Clinician4Emp2BaseProd=0,0,cbalR2LOB2AvgMissPercClinician4+(calcR2LOB2Clinician4Emp2GrossProd/calcR2LOB2Clinician4Emp2BaseProd-1)/paramR2TimeConversion)</f>
        <v>0</v>
      </c>
      <c r="N1586" s="131" t="s">
        <v>7061</v>
      </c>
    </row>
    <row r="1587" spans="1:14" ht="12.75" customHeight="1">
      <c r="A1587" s="478"/>
      <c r="B1587" s="458"/>
      <c r="C1587" s="170">
        <v>5</v>
      </c>
      <c r="D1587" s="131" t="s">
        <v>555</v>
      </c>
      <c r="E1587" s="539">
        <f>IF(calcLOB2Clinician5Emp2BaseProd=0,0,cbalLOB2AvgMissPercClinician5+(calcLOB2Clinician5Emp2GrossProd/calcLOB2Clinician5Emp2BaseProd-1)/paramTimeConversion)</f>
        <v>0</v>
      </c>
      <c r="F1587" s="539">
        <f>IF(calcLOB2Clinician5Emp2BaseProd=0,0,cbalLOB2AvgMissPercClinician5+(calcLOB2Clinician5Emp2GrossProd/calcLOB2Clinician5Emp2BaseProd-1)/paramTimeConversion)</f>
        <v>0</v>
      </c>
      <c r="G1587" s="539">
        <f>IF(calcLOB2Clinician5Emp2BaseProd=0,0,cbalLOB2AvgMissPercClinician5+(calcLOB2Clinician5Emp2GrossProd/calcLOB2Clinician5Emp2BaseProd-1)/paramTimeConversion)</f>
        <v>0</v>
      </c>
      <c r="H1587" s="131" t="s">
        <v>3919</v>
      </c>
      <c r="J1587" s="131" t="s">
        <v>555</v>
      </c>
      <c r="K1587" s="539">
        <f>IF(calcR2LOB2Clinician5Emp2BaseProd=0,0,cbalR2LOB2AvgMissPercClinician5+(calcR2LOB2Clinician5Emp2GrossProd/calcR2LOB2Clinician5Emp2BaseProd-1)/paramR2TimeConversion)</f>
        <v>0</v>
      </c>
      <c r="L1587" s="539">
        <f>IF(calcR2LOB2Clinician5Emp2BaseProd=0,0,cbalR2LOB2AvgMissPercClinician5+(calcR2LOB2Clinician5Emp2GrossProd/calcR2LOB2Clinician5Emp2BaseProd-1)/paramR2TimeConversion)</f>
        <v>0</v>
      </c>
      <c r="M1587" s="539">
        <f>IF(calcR2LOB2Clinician5Emp2BaseProd=0,0,cbalR2LOB2AvgMissPercClinician5+(calcR2LOB2Clinician5Emp2GrossProd/calcR2LOB2Clinician5Emp2BaseProd-1)/paramR2TimeConversion)</f>
        <v>0</v>
      </c>
      <c r="N1587" s="131" t="s">
        <v>7062</v>
      </c>
    </row>
    <row r="1588" spans="1:14" ht="12.75" customHeight="1">
      <c r="A1588" s="478"/>
      <c r="B1588" s="458"/>
      <c r="C1588" s="170">
        <v>6</v>
      </c>
      <c r="D1588" s="131" t="s">
        <v>555</v>
      </c>
      <c r="E1588" s="539">
        <f>IF(calcLOB2Clinician6Emp2BaseProd=0,0,cbalLOB2AvgMissPercClinician6+(calcLOB2Clinician6Emp2GrossProd/calcLOB2Clinician6Emp2BaseProd-1)/paramTimeConversion)</f>
        <v>0</v>
      </c>
      <c r="F1588" s="539">
        <f>IF(calcLOB2Clinician6Emp2BaseProd=0,0,cbalLOB2AvgMissPercClinician6+(calcLOB2Clinician6Emp2GrossProd/calcLOB2Clinician6Emp2BaseProd-1)/paramTimeConversion)</f>
        <v>0</v>
      </c>
      <c r="G1588" s="539">
        <f>IF(calcLOB2Clinician6Emp2BaseProd=0,0,cbalLOB2AvgMissPercClinician6+(calcLOB2Clinician6Emp2GrossProd/calcLOB2Clinician6Emp2BaseProd-1)/paramTimeConversion)</f>
        <v>0</v>
      </c>
      <c r="H1588" s="131" t="s">
        <v>3920</v>
      </c>
      <c r="J1588" s="131" t="s">
        <v>555</v>
      </c>
      <c r="K1588" s="539">
        <f>IF(calcR2LOB2Clinician6Emp2BaseProd=0,0,cbalR2LOB2AvgMissPercClinician6+(calcR2LOB2Clinician6Emp2GrossProd/calcR2LOB2Clinician6Emp2BaseProd-1)/paramR2TimeConversion)</f>
        <v>0</v>
      </c>
      <c r="L1588" s="539">
        <f>IF(calcR2LOB2Clinician6Emp2BaseProd=0,0,cbalR2LOB2AvgMissPercClinician6+(calcR2LOB2Clinician6Emp2GrossProd/calcR2LOB2Clinician6Emp2BaseProd-1)/paramR2TimeConversion)</f>
        <v>0</v>
      </c>
      <c r="M1588" s="539">
        <f>IF(calcR2LOB2Clinician6Emp2BaseProd=0,0,cbalR2LOB2AvgMissPercClinician6+(calcR2LOB2Clinician6Emp2GrossProd/calcR2LOB2Clinician6Emp2BaseProd-1)/paramR2TimeConversion)</f>
        <v>0</v>
      </c>
      <c r="N1588" s="131" t="s">
        <v>7063</v>
      </c>
    </row>
    <row r="1589" spans="1:14" ht="12.75" customHeight="1">
      <c r="A1589" s="478"/>
      <c r="B1589" s="458"/>
      <c r="C1589" s="170">
        <v>7</v>
      </c>
      <c r="D1589" s="131" t="s">
        <v>555</v>
      </c>
      <c r="E1589" s="539">
        <f>IF(calcLOB2Clinician7Emp2BaseProd=0,0,cbalLOB2AvgMissPercClinician7+(calcLOB2Clinician7Emp2GrossProd/calcLOB2Clinician7Emp2BaseProd-1)/paramTimeConversion)</f>
        <v>0</v>
      </c>
      <c r="F1589" s="539">
        <f>IF(calcLOB2Clinician7Emp2BaseProd=0,0,cbalLOB2AvgMissPercClinician7+(calcLOB2Clinician7Emp2GrossProd/calcLOB2Clinician7Emp2BaseProd-1)/paramTimeConversion)</f>
        <v>0</v>
      </c>
      <c r="G1589" s="539">
        <f>IF(calcLOB2Clinician7Emp2BaseProd=0,0,cbalLOB2AvgMissPercClinician7+(calcLOB2Clinician7Emp2GrossProd/calcLOB2Clinician7Emp2BaseProd-1)/paramTimeConversion)</f>
        <v>0</v>
      </c>
      <c r="H1589" s="131" t="s">
        <v>3921</v>
      </c>
      <c r="J1589" s="131" t="s">
        <v>555</v>
      </c>
      <c r="K1589" s="539">
        <f>IF(calcR2LOB2Clinician7Emp2BaseProd=0,0,cbalR2LOB2AvgMissPercClinician7+(calcR2LOB2Clinician7Emp2GrossProd/calcR2LOB2Clinician7Emp2BaseProd-1)/paramR2TimeConversion)</f>
        <v>0</v>
      </c>
      <c r="L1589" s="539">
        <f>IF(calcR2LOB2Clinician7Emp2BaseProd=0,0,cbalR2LOB2AvgMissPercClinician7+(calcR2LOB2Clinician7Emp2GrossProd/calcR2LOB2Clinician7Emp2BaseProd-1)/paramR2TimeConversion)</f>
        <v>0</v>
      </c>
      <c r="M1589" s="539">
        <f>IF(calcR2LOB2Clinician7Emp2BaseProd=0,0,cbalR2LOB2AvgMissPercClinician7+(calcR2LOB2Clinician7Emp2GrossProd/calcR2LOB2Clinician7Emp2BaseProd-1)/paramR2TimeConversion)</f>
        <v>0</v>
      </c>
      <c r="N1589" s="131" t="s">
        <v>7064</v>
      </c>
    </row>
    <row r="1590" spans="1:14" ht="12.75" customHeight="1">
      <c r="A1590" s="478"/>
      <c r="B1590" s="458"/>
      <c r="C1590" s="170">
        <v>8</v>
      </c>
      <c r="D1590" s="131" t="s">
        <v>555</v>
      </c>
      <c r="E1590" s="539">
        <f>IF(calcLOB2Clinician8Emp2BaseProd=0,0,cbalLOB2AvgMissPercClinician8+(calcLOB2Clinician8Emp2GrossProd/calcLOB2Clinician8Emp2BaseProd-1)/paramTimeConversion)</f>
        <v>0</v>
      </c>
      <c r="F1590" s="539">
        <f>IF(calcLOB2Clinician8Emp2BaseProd=0,0,cbalLOB2AvgMissPercClinician8+(calcLOB2Clinician8Emp2GrossProd/calcLOB2Clinician8Emp2BaseProd-1)/paramTimeConversion)</f>
        <v>0</v>
      </c>
      <c r="G1590" s="539">
        <f>IF(calcLOB2Clinician8Emp2BaseProd=0,0,cbalLOB2AvgMissPercClinician8+(calcLOB2Clinician8Emp2GrossProd/calcLOB2Clinician8Emp2BaseProd-1)/paramTimeConversion)</f>
        <v>0</v>
      </c>
      <c r="H1590" s="131" t="s">
        <v>3922</v>
      </c>
      <c r="J1590" s="131" t="s">
        <v>555</v>
      </c>
      <c r="K1590" s="539">
        <f>IF(calcR2LOB2Clinician8Emp2BaseProd=0,0,cbalR2LOB2AvgMissPercClinician8+(calcR2LOB2Clinician8Emp2GrossProd/calcR2LOB2Clinician8Emp2BaseProd-1)/paramR2TimeConversion)</f>
        <v>0</v>
      </c>
      <c r="L1590" s="539">
        <f>IF(calcR2LOB2Clinician8Emp2BaseProd=0,0,cbalR2LOB2AvgMissPercClinician8+(calcR2LOB2Clinician8Emp2GrossProd/calcR2LOB2Clinician8Emp2BaseProd-1)/paramR2TimeConversion)</f>
        <v>0</v>
      </c>
      <c r="M1590" s="539">
        <f>IF(calcR2LOB2Clinician8Emp2BaseProd=0,0,cbalR2LOB2AvgMissPercClinician8+(calcR2LOB2Clinician8Emp2GrossProd/calcR2LOB2Clinician8Emp2BaseProd-1)/paramR2TimeConversion)</f>
        <v>0</v>
      </c>
      <c r="N1590" s="131" t="s">
        <v>7065</v>
      </c>
    </row>
    <row r="1591" spans="1:14" ht="12.75" customHeight="1">
      <c r="A1591" s="478"/>
      <c r="B1591" s="458"/>
      <c r="C1591" s="170">
        <v>9</v>
      </c>
      <c r="D1591" s="131" t="s">
        <v>555</v>
      </c>
      <c r="E1591" s="539">
        <f>IF(calcLOB2Clinician9Emp2BaseProd=0,0,cbalLOB2AvgMissPercClinician9+(calcLOB2Clinician9Emp2GrossProd/calcLOB2Clinician9Emp2BaseProd-1)/paramTimeConversion)</f>
        <v>0</v>
      </c>
      <c r="F1591" s="539">
        <f>IF(calcLOB2Clinician9Emp2BaseProd=0,0,cbalLOB2AvgMissPercClinician9+(calcLOB2Clinician9Emp2GrossProd/calcLOB2Clinician9Emp2BaseProd-1)/paramTimeConversion)</f>
        <v>0</v>
      </c>
      <c r="G1591" s="539">
        <f>IF(calcLOB2Clinician9Emp2BaseProd=0,0,cbalLOB2AvgMissPercClinician9+(calcLOB2Clinician9Emp2GrossProd/calcLOB2Clinician9Emp2BaseProd-1)/paramTimeConversion)</f>
        <v>0</v>
      </c>
      <c r="H1591" s="131" t="s">
        <v>3923</v>
      </c>
      <c r="J1591" s="131" t="s">
        <v>555</v>
      </c>
      <c r="K1591" s="539">
        <f>IF(calcR2LOB2Clinician9Emp2BaseProd=0,0,cbalR2LOB2AvgMissPercClinician9+(calcR2LOB2Clinician9Emp2GrossProd/calcR2LOB2Clinician9Emp2BaseProd-1)/paramR2TimeConversion)</f>
        <v>0</v>
      </c>
      <c r="L1591" s="539">
        <f>IF(calcR2LOB2Clinician9Emp2BaseProd=0,0,cbalR2LOB2AvgMissPercClinician9+(calcR2LOB2Clinician9Emp2GrossProd/calcR2LOB2Clinician9Emp2BaseProd-1)/paramR2TimeConversion)</f>
        <v>0</v>
      </c>
      <c r="M1591" s="539">
        <f>IF(calcR2LOB2Clinician9Emp2BaseProd=0,0,cbalR2LOB2AvgMissPercClinician9+(calcR2LOB2Clinician9Emp2GrossProd/calcR2LOB2Clinician9Emp2BaseProd-1)/paramR2TimeConversion)</f>
        <v>0</v>
      </c>
      <c r="N1591" s="131" t="s">
        <v>7066</v>
      </c>
    </row>
    <row r="1592" spans="1:14" ht="12.75" customHeight="1">
      <c r="A1592" s="478"/>
      <c r="B1592" s="458"/>
      <c r="C1592" s="170">
        <v>10</v>
      </c>
      <c r="D1592" s="131" t="s">
        <v>555</v>
      </c>
      <c r="E1592" s="539">
        <f>IF(calcLOB2Clinician10Emp2BaseProd=0,0,cbalLOB2AvgMissPercClinician10+(calcLOB2Clinician10Emp2GrossProd/calcLOB2Clinician10Emp2BaseProd-1)/paramTimeConversion)</f>
        <v>3.7499999999999999E-2</v>
      </c>
      <c r="F1592" s="539">
        <f>IF(calcLOB2Clinician10Emp2BaseProd=0,0,cbalLOB2AvgMissPercClinician10+(calcLOB2Clinician10Emp2GrossProd/calcLOB2Clinician10Emp2BaseProd-1)/paramTimeConversion)</f>
        <v>3.7499999999999999E-2</v>
      </c>
      <c r="G1592" s="539">
        <f>IF(calcLOB2Clinician10Emp2BaseProd=0,0,cbalLOB2AvgMissPercClinician10+(calcLOB2Clinician10Emp2GrossProd/calcLOB2Clinician10Emp2BaseProd-1)/paramTimeConversion)</f>
        <v>3.7499999999999999E-2</v>
      </c>
      <c r="H1592" s="131" t="s">
        <v>3924</v>
      </c>
      <c r="J1592" s="131" t="s">
        <v>555</v>
      </c>
      <c r="K1592" s="539">
        <f>IF(calcR2LOB2Clinician10Emp2BaseProd=0,0,cbalR2LOB2AvgMissPercClinician10+(calcR2LOB2Clinician10Emp2GrossProd/calcR2LOB2Clinician10Emp2BaseProd-1)/paramR2TimeConversion)</f>
        <v>3.7499999999999999E-2</v>
      </c>
      <c r="L1592" s="539">
        <f>IF(calcR2LOB2Clinician10Emp2BaseProd=0,0,cbalR2LOB2AvgMissPercClinician10+(calcR2LOB2Clinician10Emp2GrossProd/calcR2LOB2Clinician10Emp2BaseProd-1)/paramR2TimeConversion)</f>
        <v>3.7499999999999999E-2</v>
      </c>
      <c r="M1592" s="539">
        <f>IF(calcR2LOB2Clinician10Emp2BaseProd=0,0,cbalR2LOB2AvgMissPercClinician10+(calcR2LOB2Clinician10Emp2GrossProd/calcR2LOB2Clinician10Emp2BaseProd-1)/paramR2TimeConversion)</f>
        <v>3.7499999999999999E-2</v>
      </c>
      <c r="N1592" s="131" t="s">
        <v>7067</v>
      </c>
    </row>
    <row r="1593" spans="1:14" ht="12.75" customHeight="1">
      <c r="A1593" s="478"/>
      <c r="B1593" s="458"/>
      <c r="C1593" s="170">
        <v>11</v>
      </c>
      <c r="D1593" s="131" t="s">
        <v>555</v>
      </c>
      <c r="E1593" s="539">
        <f>IF(calcLOB2Clinician11Emp2BaseProd=0,0,cbalLOB2AvgMissPercClinician11+(calcLOB2Clinician11Emp2GrossProd/calcLOB2Clinician11Emp2BaseProd-1)/paramTimeConversion)</f>
        <v>0</v>
      </c>
      <c r="F1593" s="539">
        <f>IF(calcLOB2Clinician11Emp2BaseProd=0,0,cbalLOB2AvgMissPercClinician11+(calcLOB2Clinician11Emp2GrossProd/calcLOB2Clinician11Emp2BaseProd-1)/paramTimeConversion)</f>
        <v>0</v>
      </c>
      <c r="G1593" s="539">
        <f>IF(calcLOB2Clinician11Emp2BaseProd=0,0,cbalLOB2AvgMissPercClinician11+(calcLOB2Clinician11Emp2GrossProd/calcLOB2Clinician11Emp2BaseProd-1)/paramTimeConversion)</f>
        <v>0</v>
      </c>
      <c r="H1593" s="131" t="s">
        <v>3925</v>
      </c>
      <c r="J1593" s="131" t="s">
        <v>555</v>
      </c>
      <c r="K1593" s="539">
        <f>IF(calcR2LOB2Clinician11Emp2BaseProd=0,0,cbalR2LOB2AvgMissPercClinician11+(calcR2LOB2Clinician11Emp2GrossProd/calcR2LOB2Clinician11Emp2BaseProd-1)/paramR2TimeConversion)</f>
        <v>0</v>
      </c>
      <c r="L1593" s="539">
        <f>IF(calcR2LOB2Clinician11Emp2BaseProd=0,0,cbalR2LOB2AvgMissPercClinician11+(calcR2LOB2Clinician11Emp2GrossProd/calcR2LOB2Clinician11Emp2BaseProd-1)/paramR2TimeConversion)</f>
        <v>0</v>
      </c>
      <c r="M1593" s="539">
        <f>IF(calcR2LOB2Clinician11Emp2BaseProd=0,0,cbalR2LOB2AvgMissPercClinician11+(calcR2LOB2Clinician11Emp2GrossProd/calcR2LOB2Clinician11Emp2BaseProd-1)/paramR2TimeConversion)</f>
        <v>0</v>
      </c>
      <c r="N1593" s="131" t="s">
        <v>7068</v>
      </c>
    </row>
    <row r="1594" spans="1:14" ht="12.75" customHeight="1">
      <c r="A1594" s="478"/>
      <c r="B1594" s="458"/>
      <c r="C1594" s="170">
        <v>12</v>
      </c>
      <c r="D1594" s="131" t="s">
        <v>555</v>
      </c>
      <c r="E1594" s="539">
        <f>IF(calcLOB2Clinician12Emp2BaseProd=0,0,cbalLOB2AvgMissPercClinician12+(calcLOB2Clinician12Emp2GrossProd/calcLOB2Clinician12Emp2BaseProd-1)/paramTimeConversion)</f>
        <v>0</v>
      </c>
      <c r="F1594" s="539">
        <f>IF(calcLOB2Clinician12Emp2BaseProd=0,0,cbalLOB2AvgMissPercClinician12+(calcLOB2Clinician12Emp2GrossProd/calcLOB2Clinician12Emp2BaseProd-1)/paramTimeConversion)</f>
        <v>0</v>
      </c>
      <c r="G1594" s="539">
        <f>IF(calcLOB2Clinician12Emp2BaseProd=0,0,cbalLOB2AvgMissPercClinician12+(calcLOB2Clinician12Emp2GrossProd/calcLOB2Clinician12Emp2BaseProd-1)/paramTimeConversion)</f>
        <v>0</v>
      </c>
      <c r="H1594" s="131" t="s">
        <v>3926</v>
      </c>
      <c r="J1594" s="131" t="s">
        <v>555</v>
      </c>
      <c r="K1594" s="539">
        <f>IF(calcR2LOB2Clinician12Emp2BaseProd=0,0,cbalR2LOB2AvgMissPercClinician12+(calcR2LOB2Clinician12Emp2GrossProd/calcR2LOB2Clinician12Emp2BaseProd-1)/paramR2TimeConversion)</f>
        <v>0</v>
      </c>
      <c r="L1594" s="539">
        <f>IF(calcR2LOB2Clinician12Emp2BaseProd=0,0,cbalR2LOB2AvgMissPercClinician12+(calcR2LOB2Clinician12Emp2GrossProd/calcR2LOB2Clinician12Emp2BaseProd-1)/paramR2TimeConversion)</f>
        <v>0</v>
      </c>
      <c r="M1594" s="539">
        <f>IF(calcR2LOB2Clinician12Emp2BaseProd=0,0,cbalR2LOB2AvgMissPercClinician12+(calcR2LOB2Clinician12Emp2GrossProd/calcR2LOB2Clinician12Emp2BaseProd-1)/paramR2TimeConversion)</f>
        <v>0</v>
      </c>
      <c r="N1594" s="131" t="s">
        <v>7069</v>
      </c>
    </row>
    <row r="1595" spans="1:14" ht="12.75" customHeight="1">
      <c r="A1595" s="478"/>
      <c r="B1595" s="458"/>
      <c r="D1595" s="131" t="s">
        <v>555</v>
      </c>
      <c r="E1595" s="539">
        <f>IF(calcLOB2Clinician16Emp2BaseProd=0,0,cbalLOB2AvgMissPercClinician16+(calcLOB2Clinician16Emp2GrossProd/calcLOB2Clinician16Emp2BaseProd-1)/paramTimeConversion)</f>
        <v>5.8333333333333327E-2</v>
      </c>
      <c r="F1595" s="539">
        <f>IF(calcLOB2Clinician16Emp2BaseProd=0,0,cbalLOB2AvgMissPercClinician16+(calcLOB2Clinician16Emp2GrossProd/calcLOB2Clinician16Emp2BaseProd-1)/paramTimeConversion)</f>
        <v>6.25E-2</v>
      </c>
      <c r="G1595" s="539">
        <f>IF(calcLOB2Clinician16Emp2BaseProd=0,0,cbalLOB2AvgMissPercClinician16+(calcLOB2Clinician16Emp2GrossProd/calcLOB2Clinician16Emp2BaseProd-1)/paramTimeConversion)</f>
        <v>6.25E-2</v>
      </c>
      <c r="H1595" s="131" t="s">
        <v>4117</v>
      </c>
      <c r="J1595" s="131" t="s">
        <v>555</v>
      </c>
      <c r="K1595" s="539">
        <f>IF(calcR2LOB2Clinician16Emp2BaseProd=0,0,cbalR2LOB2AvgMissPercClinician16+(calcR2LOB2Clinician16Emp2GrossProd/calcR2LOB2Clinician16Emp2BaseProd-1)/paramR2TimeConversion)</f>
        <v>5.7979143325809161E-2</v>
      </c>
      <c r="L1595" s="539">
        <f>IF(calcR2LOB2Clinician16Emp2BaseProd=0,0,cbalR2LOB2AvgMissPercClinician16+(calcR2LOB2Clinician16Emp2GrossProd/calcR2LOB2Clinician16Emp2BaseProd-1)/paramR2TimeConversion)</f>
        <v>6.25E-2</v>
      </c>
      <c r="M1595" s="539">
        <f>IF(calcR2LOB2Clinician16Emp2BaseProd=0,0,cbalR2LOB2AvgMissPercClinician16+(calcR2LOB2Clinician16Emp2GrossProd/calcR2LOB2Clinician16Emp2BaseProd-1)/paramR2TimeConversion)</f>
        <v>6.25E-2</v>
      </c>
      <c r="N1595" s="131" t="s">
        <v>7070</v>
      </c>
    </row>
    <row r="1596" spans="1:14" ht="12.75" customHeight="1">
      <c r="A1596" s="478"/>
      <c r="B1596" s="458"/>
      <c r="D1596" s="131"/>
      <c r="E1596" s="452"/>
      <c r="F1596" s="452"/>
      <c r="G1596" s="452"/>
      <c r="J1596" s="131"/>
      <c r="K1596" s="452"/>
      <c r="L1596" s="452"/>
      <c r="M1596" s="452"/>
    </row>
    <row r="1597" spans="1:14" ht="12.75" customHeight="1">
      <c r="A1597" s="478"/>
      <c r="B1597" s="458"/>
      <c r="C1597" s="131" t="s">
        <v>1615</v>
      </c>
    </row>
    <row r="1598" spans="1:14" ht="12.75" customHeight="1">
      <c r="A1598" s="478"/>
      <c r="B1598" s="458"/>
      <c r="C1598" s="170">
        <v>1</v>
      </c>
      <c r="D1598" s="131" t="s">
        <v>555</v>
      </c>
      <c r="E1598" s="540">
        <f>calcLOB2Clinician1Emp2AvgMissPerc*calcLOB2Clinician1Emp2GrossProd*paramLOB2Disc3Missed*paramLOB2Clinician1Missed</f>
        <v>0</v>
      </c>
      <c r="F1598" s="540">
        <f>calcLOB2Clinician1Emp2AvgMissPerc*calcLOB2Clinician1Emp2GrossProd*paramLOB2Disc3Missed*paramLOB2Clinician1Missed</f>
        <v>0</v>
      </c>
      <c r="G1598" s="540">
        <f>calcLOB2Clinician1Emp2AvgMissPerc*calcLOB2Clinician1Emp2GrossProd*paramLOB2Disc3Missed*paramLOB2Clinician1Missed</f>
        <v>0</v>
      </c>
      <c r="H1598" s="131" t="s">
        <v>2467</v>
      </c>
      <c r="J1598" s="131" t="s">
        <v>555</v>
      </c>
      <c r="K1598" s="540">
        <f>calcR2LOB2Clinician1Emp2AvgMissPerc*calcR2LOB2Clinician1Emp2GrossProd*paramR2LOB2Disc3Missed*paramR2LOB2Clinician1Missed</f>
        <v>0</v>
      </c>
      <c r="L1598" s="540">
        <f>calcR2LOB2Clinician1Emp2AvgMissPerc*calcR2LOB2Clinician1Emp2GrossProd*paramR2LOB2Disc3Missed*paramR2LOB2Clinician1Missed</f>
        <v>0</v>
      </c>
      <c r="M1598" s="540">
        <f>calcR2LOB2Clinician1Emp2AvgMissPerc*calcR2LOB2Clinician1Emp2GrossProd*paramR2LOB2Disc3Missed*paramR2LOB2Clinician1Missed</f>
        <v>0</v>
      </c>
      <c r="N1598" s="131" t="s">
        <v>7071</v>
      </c>
    </row>
    <row r="1599" spans="1:14" ht="12.75" customHeight="1">
      <c r="A1599" s="478"/>
      <c r="B1599" s="458"/>
      <c r="C1599" s="170">
        <v>2</v>
      </c>
      <c r="D1599" s="131" t="s">
        <v>555</v>
      </c>
      <c r="E1599" s="540">
        <f>calcLOB2Clinician2Emp2AvgMissPerc*calcLOB2Clinician2Emp2GrossProd*paramLOB2Disc3Missed*paramLOB2Clinician2Missed</f>
        <v>0</v>
      </c>
      <c r="F1599" s="540">
        <f>calcLOB2Clinician2Emp2AvgMissPerc*calcLOB2Clinician2Emp2GrossProd*paramLOB2Disc3Missed*paramLOB2Clinician2Missed</f>
        <v>0</v>
      </c>
      <c r="G1599" s="540">
        <f>calcLOB2Clinician2Emp2AvgMissPerc*calcLOB2Clinician2Emp2GrossProd*paramLOB2Disc3Missed*paramLOB2Clinician2Missed</f>
        <v>0</v>
      </c>
      <c r="H1599" s="131" t="s">
        <v>2468</v>
      </c>
      <c r="J1599" s="131" t="s">
        <v>555</v>
      </c>
      <c r="K1599" s="540">
        <f>calcR2LOB2Clinician2Emp2AvgMissPerc*calcR2LOB2Clinician2Emp2GrossProd*paramR2LOB2Disc3Missed*paramR2LOB2Clinician2Missed</f>
        <v>0</v>
      </c>
      <c r="L1599" s="540">
        <f>calcR2LOB2Clinician2Emp2AvgMissPerc*calcR2LOB2Clinician2Emp2GrossProd*paramR2LOB2Disc3Missed*paramR2LOB2Clinician2Missed</f>
        <v>0</v>
      </c>
      <c r="M1599" s="540">
        <f>calcR2LOB2Clinician2Emp2AvgMissPerc*calcR2LOB2Clinician2Emp2GrossProd*paramR2LOB2Disc3Missed*paramR2LOB2Clinician2Missed</f>
        <v>0</v>
      </c>
      <c r="N1599" s="131" t="s">
        <v>7072</v>
      </c>
    </row>
    <row r="1600" spans="1:14" ht="12.75" customHeight="1">
      <c r="A1600" s="478"/>
      <c r="B1600" s="458"/>
      <c r="C1600" s="170">
        <v>3</v>
      </c>
      <c r="D1600" s="131" t="s">
        <v>555</v>
      </c>
      <c r="E1600" s="540">
        <f>calcLOB2Clinician3Emp2AvgMissPerc*calcLOB2Clinician3Emp2GrossProd*paramLOB2Disc3Missed*paramLOB2Clinician3Missed</f>
        <v>0</v>
      </c>
      <c r="F1600" s="540">
        <f>calcLOB2Clinician3Emp2AvgMissPerc*calcLOB2Clinician3Emp2GrossProd*paramLOB2Disc3Missed*paramLOB2Clinician3Missed</f>
        <v>0</v>
      </c>
      <c r="G1600" s="540">
        <f>calcLOB2Clinician3Emp2AvgMissPerc*calcLOB2Clinician3Emp2GrossProd*paramLOB2Disc3Missed*paramLOB2Clinician3Missed</f>
        <v>0</v>
      </c>
      <c r="H1600" s="131" t="s">
        <v>2469</v>
      </c>
      <c r="J1600" s="131" t="s">
        <v>555</v>
      </c>
      <c r="K1600" s="540">
        <f>calcR2LOB2Clinician3Emp2AvgMissPerc*calcR2LOB2Clinician3Emp2GrossProd*paramR2LOB2Disc3Missed*paramR2LOB2Clinician3Missed</f>
        <v>0</v>
      </c>
      <c r="L1600" s="540">
        <f>calcR2LOB2Clinician3Emp2AvgMissPerc*calcR2LOB2Clinician3Emp2GrossProd*paramR2LOB2Disc3Missed*paramR2LOB2Clinician3Missed</f>
        <v>0</v>
      </c>
      <c r="M1600" s="540">
        <f>calcR2LOB2Clinician3Emp2AvgMissPerc*calcR2LOB2Clinician3Emp2GrossProd*paramR2LOB2Disc3Missed*paramR2LOB2Clinician3Missed</f>
        <v>0</v>
      </c>
      <c r="N1600" s="131" t="s">
        <v>7073</v>
      </c>
    </row>
    <row r="1601" spans="1:14" ht="12.75" customHeight="1">
      <c r="A1601" s="478"/>
      <c r="B1601" s="458"/>
      <c r="C1601" s="170">
        <v>4</v>
      </c>
      <c r="D1601" s="131" t="s">
        <v>555</v>
      </c>
      <c r="E1601" s="540">
        <f>calcLOB2Clinician4Emp2AvgMissPerc*calcLOB2Clinician4Emp2GrossProd*paramLOB2Disc3Missed*paramLOB2Clinician4Missed</f>
        <v>0</v>
      </c>
      <c r="F1601" s="540">
        <f>calcLOB2Clinician4Emp2AvgMissPerc*calcLOB2Clinician4Emp2GrossProd*paramLOB2Disc3Missed*paramLOB2Clinician4Missed</f>
        <v>0</v>
      </c>
      <c r="G1601" s="540">
        <f>calcLOB2Clinician4Emp2AvgMissPerc*calcLOB2Clinician4Emp2GrossProd*paramLOB2Disc3Missed*paramLOB2Clinician4Missed</f>
        <v>0</v>
      </c>
      <c r="H1601" s="131" t="s">
        <v>2470</v>
      </c>
      <c r="J1601" s="131" t="s">
        <v>555</v>
      </c>
      <c r="K1601" s="540">
        <f>calcR2LOB2Clinician4Emp2AvgMissPerc*calcR2LOB2Clinician4Emp2GrossProd*paramR2LOB2Disc3Missed*paramR2LOB2Clinician4Missed</f>
        <v>0</v>
      </c>
      <c r="L1601" s="540">
        <f>calcR2LOB2Clinician4Emp2AvgMissPerc*calcR2LOB2Clinician4Emp2GrossProd*paramR2LOB2Disc3Missed*paramR2LOB2Clinician4Missed</f>
        <v>0</v>
      </c>
      <c r="M1601" s="540">
        <f>calcR2LOB2Clinician4Emp2AvgMissPerc*calcR2LOB2Clinician4Emp2GrossProd*paramR2LOB2Disc3Missed*paramR2LOB2Clinician4Missed</f>
        <v>0</v>
      </c>
      <c r="N1601" s="131" t="s">
        <v>7074</v>
      </c>
    </row>
    <row r="1602" spans="1:14" ht="12.75" customHeight="1">
      <c r="A1602" s="478"/>
      <c r="B1602" s="458"/>
      <c r="C1602" s="170">
        <v>5</v>
      </c>
      <c r="D1602" s="131" t="s">
        <v>555</v>
      </c>
      <c r="E1602" s="540">
        <f>calcLOB2Clinician5Emp2AvgMissPerc*calcLOB2Clinician5Emp2GrossProd*paramLOB2Disc3Missed*paramLOB2Clinician5Missed</f>
        <v>0</v>
      </c>
      <c r="F1602" s="540">
        <f>calcLOB2Clinician5Emp2AvgMissPerc*calcLOB2Clinician5Emp2GrossProd*paramLOB2Disc3Missed*paramLOB2Clinician5Missed</f>
        <v>0</v>
      </c>
      <c r="G1602" s="540">
        <f>calcLOB2Clinician5Emp2AvgMissPerc*calcLOB2Clinician5Emp2GrossProd*paramLOB2Disc3Missed*paramLOB2Clinician5Missed</f>
        <v>0</v>
      </c>
      <c r="H1602" s="131" t="s">
        <v>2471</v>
      </c>
      <c r="J1602" s="131" t="s">
        <v>555</v>
      </c>
      <c r="K1602" s="540">
        <f>calcR2LOB2Clinician5Emp2AvgMissPerc*calcR2LOB2Clinician5Emp2GrossProd*paramR2LOB2Disc3Missed*paramR2LOB2Clinician5Missed</f>
        <v>0</v>
      </c>
      <c r="L1602" s="540">
        <f>calcR2LOB2Clinician5Emp2AvgMissPerc*calcR2LOB2Clinician5Emp2GrossProd*paramR2LOB2Disc3Missed*paramR2LOB2Clinician5Missed</f>
        <v>0</v>
      </c>
      <c r="M1602" s="540">
        <f>calcR2LOB2Clinician5Emp2AvgMissPerc*calcR2LOB2Clinician5Emp2GrossProd*paramR2LOB2Disc3Missed*paramR2LOB2Clinician5Missed</f>
        <v>0</v>
      </c>
      <c r="N1602" s="131" t="s">
        <v>7075</v>
      </c>
    </row>
    <row r="1603" spans="1:14" ht="12.75" customHeight="1">
      <c r="A1603" s="478"/>
      <c r="B1603" s="458"/>
      <c r="C1603" s="170">
        <v>6</v>
      </c>
      <c r="D1603" s="131" t="s">
        <v>555</v>
      </c>
      <c r="E1603" s="540">
        <f>calcLOB2Clinician6Emp2AvgMissPerc*calcLOB2Clinician6Emp2GrossProd*paramLOB2Disc3Missed*paramLOB2Clinician6Missed</f>
        <v>0</v>
      </c>
      <c r="F1603" s="540">
        <f>calcLOB2Clinician6Emp2AvgMissPerc*calcLOB2Clinician6Emp2GrossProd*paramLOB2Disc3Missed*paramLOB2Clinician6Missed</f>
        <v>0</v>
      </c>
      <c r="G1603" s="540">
        <f>calcLOB2Clinician6Emp2AvgMissPerc*calcLOB2Clinician6Emp2GrossProd*paramLOB2Disc3Missed*paramLOB2Clinician6Missed</f>
        <v>0</v>
      </c>
      <c r="H1603" s="131" t="s">
        <v>2472</v>
      </c>
      <c r="J1603" s="131" t="s">
        <v>555</v>
      </c>
      <c r="K1603" s="540">
        <f>calcR2LOB2Clinician6Emp2AvgMissPerc*calcR2LOB2Clinician6Emp2GrossProd*paramR2LOB2Disc3Missed*paramR2LOB2Clinician6Missed</f>
        <v>0</v>
      </c>
      <c r="L1603" s="540">
        <f>calcR2LOB2Clinician6Emp2AvgMissPerc*calcR2LOB2Clinician6Emp2GrossProd*paramR2LOB2Disc3Missed*paramR2LOB2Clinician6Missed</f>
        <v>0</v>
      </c>
      <c r="M1603" s="540">
        <f>calcR2LOB2Clinician6Emp2AvgMissPerc*calcR2LOB2Clinician6Emp2GrossProd*paramR2LOB2Disc3Missed*paramR2LOB2Clinician6Missed</f>
        <v>0</v>
      </c>
      <c r="N1603" s="131" t="s">
        <v>7076</v>
      </c>
    </row>
    <row r="1604" spans="1:14" ht="12.75" customHeight="1">
      <c r="A1604" s="478"/>
      <c r="B1604" s="458"/>
      <c r="C1604" s="170">
        <v>7</v>
      </c>
      <c r="D1604" s="131" t="s">
        <v>555</v>
      </c>
      <c r="E1604" s="540">
        <f>calcLOB2Clinician7Emp2AvgMissPerc*calcLOB2Clinician7Emp2GrossProd*paramLOB2Disc3Missed*paramLOB2Clinician7Missed</f>
        <v>0</v>
      </c>
      <c r="F1604" s="540">
        <f>calcLOB2Clinician7Emp2AvgMissPerc*calcLOB2Clinician7Emp2GrossProd*paramLOB2Disc3Missed*paramLOB2Clinician7Missed</f>
        <v>0</v>
      </c>
      <c r="G1604" s="540">
        <f>calcLOB2Clinician7Emp2AvgMissPerc*calcLOB2Clinician7Emp2GrossProd*paramLOB2Disc3Missed*paramLOB2Clinician7Missed</f>
        <v>0</v>
      </c>
      <c r="H1604" s="131" t="s">
        <v>2473</v>
      </c>
      <c r="J1604" s="131" t="s">
        <v>555</v>
      </c>
      <c r="K1604" s="540">
        <f>calcR2LOB2Clinician7Emp2AvgMissPerc*calcR2LOB2Clinician7Emp2GrossProd*paramR2LOB2Disc3Missed*paramR2LOB2Clinician7Missed</f>
        <v>0</v>
      </c>
      <c r="L1604" s="540">
        <f>calcR2LOB2Clinician7Emp2AvgMissPerc*calcR2LOB2Clinician7Emp2GrossProd*paramR2LOB2Disc3Missed*paramR2LOB2Clinician7Missed</f>
        <v>0</v>
      </c>
      <c r="M1604" s="540">
        <f>calcR2LOB2Clinician7Emp2AvgMissPerc*calcR2LOB2Clinician7Emp2GrossProd*paramR2LOB2Disc3Missed*paramR2LOB2Clinician7Missed</f>
        <v>0</v>
      </c>
      <c r="N1604" s="131" t="s">
        <v>7077</v>
      </c>
    </row>
    <row r="1605" spans="1:14" ht="12.75" customHeight="1">
      <c r="A1605" s="478"/>
      <c r="B1605" s="458"/>
      <c r="C1605" s="170">
        <v>8</v>
      </c>
      <c r="D1605" s="131" t="s">
        <v>555</v>
      </c>
      <c r="E1605" s="540">
        <f>calcLOB2Clinician8Emp2AvgMissPerc*calcLOB2Clinician8Emp2GrossProd*paramLOB2Disc3Missed*paramLOB2Clinician8Missed</f>
        <v>0</v>
      </c>
      <c r="F1605" s="540">
        <f>calcLOB2Clinician8Emp2AvgMissPerc*calcLOB2Clinician8Emp2GrossProd*paramLOB2Disc3Missed*paramLOB2Clinician8Missed</f>
        <v>0</v>
      </c>
      <c r="G1605" s="540">
        <f>calcLOB2Clinician8Emp2AvgMissPerc*calcLOB2Clinician8Emp2GrossProd*paramLOB2Disc3Missed*paramLOB2Clinician8Missed</f>
        <v>0</v>
      </c>
      <c r="H1605" s="131" t="s">
        <v>2474</v>
      </c>
      <c r="J1605" s="131" t="s">
        <v>555</v>
      </c>
      <c r="K1605" s="540">
        <f>calcR2LOB2Clinician8Emp2AvgMissPerc*calcR2LOB2Clinician8Emp2GrossProd*paramR2LOB2Disc3Missed*paramR2LOB2Clinician8Missed</f>
        <v>0</v>
      </c>
      <c r="L1605" s="540">
        <f>calcR2LOB2Clinician8Emp2AvgMissPerc*calcR2LOB2Clinician8Emp2GrossProd*paramR2LOB2Disc3Missed*paramR2LOB2Clinician8Missed</f>
        <v>0</v>
      </c>
      <c r="M1605" s="540">
        <f>calcR2LOB2Clinician8Emp2AvgMissPerc*calcR2LOB2Clinician8Emp2GrossProd*paramR2LOB2Disc3Missed*paramR2LOB2Clinician8Missed</f>
        <v>0</v>
      </c>
      <c r="N1605" s="131" t="s">
        <v>7078</v>
      </c>
    </row>
    <row r="1606" spans="1:14" ht="12.75" customHeight="1">
      <c r="A1606" s="478"/>
      <c r="B1606" s="458"/>
      <c r="C1606" s="170">
        <v>9</v>
      </c>
      <c r="D1606" s="131" t="s">
        <v>555</v>
      </c>
      <c r="E1606" s="540">
        <f>calcLOB2Clinician9Emp2AvgMissPerc*calcLOB2Clinician9Emp2GrossProd*paramLOB2Disc3Missed*paramLOB2Clinician9Missed</f>
        <v>0</v>
      </c>
      <c r="F1606" s="540">
        <f>calcLOB2Clinician9Emp2AvgMissPerc*calcLOB2Clinician9Emp2GrossProd*paramLOB2Disc3Missed*paramLOB2Clinician9Missed</f>
        <v>0</v>
      </c>
      <c r="G1606" s="540">
        <f>calcLOB2Clinician9Emp2AvgMissPerc*calcLOB2Clinician9Emp2GrossProd*paramLOB2Disc3Missed*paramLOB2Clinician9Missed</f>
        <v>0</v>
      </c>
      <c r="H1606" s="131" t="s">
        <v>2475</v>
      </c>
      <c r="J1606" s="131" t="s">
        <v>555</v>
      </c>
      <c r="K1606" s="540">
        <f>calcR2LOB2Clinician9Emp2AvgMissPerc*calcR2LOB2Clinician9Emp2GrossProd*paramR2LOB2Disc3Missed*paramR2LOB2Clinician9Missed</f>
        <v>0</v>
      </c>
      <c r="L1606" s="540">
        <f>calcR2LOB2Clinician9Emp2AvgMissPerc*calcR2LOB2Clinician9Emp2GrossProd*paramR2LOB2Disc3Missed*paramR2LOB2Clinician9Missed</f>
        <v>0</v>
      </c>
      <c r="M1606" s="540">
        <f>calcR2LOB2Clinician9Emp2AvgMissPerc*calcR2LOB2Clinician9Emp2GrossProd*paramR2LOB2Disc3Missed*paramR2LOB2Clinician9Missed</f>
        <v>0</v>
      </c>
      <c r="N1606" s="131" t="s">
        <v>7079</v>
      </c>
    </row>
    <row r="1607" spans="1:14" ht="12.75" customHeight="1">
      <c r="A1607" s="478"/>
      <c r="B1607" s="458"/>
      <c r="C1607" s="170">
        <v>10</v>
      </c>
      <c r="D1607" s="131" t="s">
        <v>555</v>
      </c>
      <c r="E1607" s="540">
        <f>calcLOB2Clinician10Emp2AvgMissPerc*calcLOB2Clinician10Emp2GrossProd*paramLOB2Disc3Missed*paramLOB2Clinician10Missed</f>
        <v>0.85051546391752575</v>
      </c>
      <c r="F1607" s="540">
        <f>calcLOB2Clinician10Emp2AvgMissPerc*calcLOB2Clinician10Emp2GrossProd*paramLOB2Disc3Missed*paramLOB2Clinician10Missed</f>
        <v>0.85051546391752575</v>
      </c>
      <c r="G1607" s="540">
        <f>calcLOB2Clinician10Emp2AvgMissPerc*calcLOB2Clinician10Emp2GrossProd*paramLOB2Disc3Missed*paramLOB2Clinician10Missed</f>
        <v>0.85051546391752575</v>
      </c>
      <c r="H1607" s="131" t="s">
        <v>2476</v>
      </c>
      <c r="J1607" s="131" t="s">
        <v>555</v>
      </c>
      <c r="K1607" s="540">
        <f>calcR2LOB2Clinician10Emp2AvgMissPerc*calcR2LOB2Clinician10Emp2GrossProd*paramR2LOB2Disc3Missed*paramR2LOB2Clinician10Missed</f>
        <v>0.85051546391752575</v>
      </c>
      <c r="L1607" s="540">
        <f>calcR2LOB2Clinician10Emp2AvgMissPerc*calcR2LOB2Clinician10Emp2GrossProd*paramR2LOB2Disc3Missed*paramR2LOB2Clinician10Missed</f>
        <v>0.85051546391752575</v>
      </c>
      <c r="M1607" s="540">
        <f>calcR2LOB2Clinician10Emp2AvgMissPerc*calcR2LOB2Clinician10Emp2GrossProd*paramR2LOB2Disc3Missed*paramR2LOB2Clinician10Missed</f>
        <v>0.85051546391752575</v>
      </c>
      <c r="N1607" s="131" t="s">
        <v>7080</v>
      </c>
    </row>
    <row r="1608" spans="1:14" ht="12.75" customHeight="1">
      <c r="A1608" s="478"/>
      <c r="B1608" s="458"/>
      <c r="C1608" s="170">
        <v>11</v>
      </c>
      <c r="D1608" s="131" t="s">
        <v>555</v>
      </c>
      <c r="E1608" s="540">
        <f>calcLOB2Clinician11Emp2AvgMissPerc*calcLOB2Clinician11Emp2GrossProd*paramLOB2Disc3Missed*paramLOB2Clinician11Missed</f>
        <v>0</v>
      </c>
      <c r="F1608" s="540">
        <f>calcLOB2Clinician11Emp2AvgMissPerc*calcLOB2Clinician11Emp2GrossProd*paramLOB2Disc3Missed*paramLOB2Clinician11Missed</f>
        <v>0</v>
      </c>
      <c r="G1608" s="540">
        <f>calcLOB2Clinician11Emp2AvgMissPerc*calcLOB2Clinician11Emp2GrossProd*paramLOB2Disc3Missed*paramLOB2Clinician11Missed</f>
        <v>0</v>
      </c>
      <c r="H1608" s="131" t="s">
        <v>2477</v>
      </c>
      <c r="J1608" s="131" t="s">
        <v>555</v>
      </c>
      <c r="K1608" s="540">
        <f>calcR2LOB2Clinician11Emp2AvgMissPerc*calcR2LOB2Clinician11Emp2GrossProd*paramR2LOB2Disc3Missed*paramR2LOB2Clinician11Missed</f>
        <v>0</v>
      </c>
      <c r="L1608" s="540">
        <f>calcR2LOB2Clinician11Emp2AvgMissPerc*calcR2LOB2Clinician11Emp2GrossProd*paramR2LOB2Disc3Missed*paramR2LOB2Clinician11Missed</f>
        <v>0</v>
      </c>
      <c r="M1608" s="540">
        <f>calcR2LOB2Clinician11Emp2AvgMissPerc*calcR2LOB2Clinician11Emp2GrossProd*paramR2LOB2Disc3Missed*paramR2LOB2Clinician11Missed</f>
        <v>0</v>
      </c>
      <c r="N1608" s="131" t="s">
        <v>7081</v>
      </c>
    </row>
    <row r="1609" spans="1:14" ht="12.75" customHeight="1">
      <c r="A1609" s="478"/>
      <c r="B1609" s="458"/>
      <c r="C1609" s="170">
        <v>12</v>
      </c>
      <c r="D1609" s="131" t="s">
        <v>555</v>
      </c>
      <c r="E1609" s="540">
        <f>calcLOB2Clinician12Emp2AvgMissPerc*calcLOB2Clinician12Emp2GrossProd*paramLOB2Disc3Missed*paramLOB2Clinician12Missed</f>
        <v>0</v>
      </c>
      <c r="F1609" s="540">
        <f>calcLOB2Clinician12Emp2AvgMissPerc*calcLOB2Clinician12Emp2GrossProd*paramLOB2Disc3Missed*paramLOB2Clinician12Missed</f>
        <v>0</v>
      </c>
      <c r="G1609" s="540">
        <f>calcLOB2Clinician12Emp2AvgMissPerc*calcLOB2Clinician12Emp2GrossProd*paramLOB2Disc3Missed*paramLOB2Clinician12Missed</f>
        <v>0</v>
      </c>
      <c r="H1609" s="131" t="s">
        <v>2478</v>
      </c>
      <c r="J1609" s="131" t="s">
        <v>555</v>
      </c>
      <c r="K1609" s="540">
        <f>calcR2LOB2Clinician12Emp2AvgMissPerc*calcR2LOB2Clinician12Emp2GrossProd*paramR2LOB2Disc3Missed*paramR2LOB2Clinician12Missed</f>
        <v>0</v>
      </c>
      <c r="L1609" s="540">
        <f>calcR2LOB2Clinician12Emp2AvgMissPerc*calcR2LOB2Clinician12Emp2GrossProd*paramR2LOB2Disc3Missed*paramR2LOB2Clinician12Missed</f>
        <v>0</v>
      </c>
      <c r="M1609" s="540">
        <f>calcR2LOB2Clinician12Emp2AvgMissPerc*calcR2LOB2Clinician12Emp2GrossProd*paramR2LOB2Disc3Missed*paramR2LOB2Clinician12Missed</f>
        <v>0</v>
      </c>
      <c r="N1609" s="131" t="s">
        <v>7082</v>
      </c>
    </row>
    <row r="1610" spans="1:14" ht="12.75" customHeight="1">
      <c r="A1610" s="478"/>
      <c r="B1610" s="458"/>
      <c r="D1610" s="131" t="s">
        <v>555</v>
      </c>
      <c r="E1610" s="540">
        <f>calcLOB2Clinician16Emp2AvgMissPerc*calcLOB2Clinician16Emp2GrossProd*paramLOB2Disc3Missed</f>
        <v>1.9395833333333332</v>
      </c>
      <c r="F1610" s="540">
        <f>calcLOB2Clinician16Emp2AvgMissPerc*calcLOB2Clinician16Emp2GrossProd*paramLOB2Disc3Missed</f>
        <v>1.875</v>
      </c>
      <c r="G1610" s="540">
        <f>calcLOB2Clinician16Emp2AvgMissPerc*calcLOB2Clinician16Emp2GrossProd*paramLOB2Disc3Missed</f>
        <v>3.4375000000000004</v>
      </c>
      <c r="H1610" s="131" t="s">
        <v>4118</v>
      </c>
      <c r="J1610" s="131" t="s">
        <v>555</v>
      </c>
      <c r="K1610" s="540">
        <f>calcR2LOB2Clinician16Emp2AvgMissPerc*calcR2LOB2Clinician16Emp2GrossProd*paramR2LOB2Disc3Missed</f>
        <v>1.8232224721528822</v>
      </c>
      <c r="L1610" s="540">
        <f>calcR2LOB2Clinician16Emp2AvgMissPerc*calcR2LOB2Clinician16Emp2GrossProd*paramR2LOB2Disc3Missed</f>
        <v>1.875</v>
      </c>
      <c r="M1610" s="540">
        <f>calcR2LOB2Clinician16Emp2AvgMissPerc*calcR2LOB2Clinician16Emp2GrossProd*paramR2LOB2Disc3Missed</f>
        <v>3.4375000000000004</v>
      </c>
      <c r="N1610" s="131" t="s">
        <v>7083</v>
      </c>
    </row>
    <row r="1611" spans="1:14" ht="12.75" customHeight="1">
      <c r="A1611" s="478"/>
      <c r="B1611" s="458"/>
      <c r="D1611" s="131"/>
      <c r="E1611" s="452"/>
      <c r="F1611" s="452"/>
      <c r="G1611" s="452"/>
      <c r="J1611" s="131"/>
      <c r="K1611" s="452"/>
      <c r="L1611" s="452"/>
      <c r="M1611" s="452"/>
    </row>
    <row r="1612" spans="1:14" ht="12.75" customHeight="1">
      <c r="A1612" s="478"/>
      <c r="B1612" s="458"/>
      <c r="C1612" s="131" t="s">
        <v>1617</v>
      </c>
    </row>
    <row r="1613" spans="1:14" ht="12.75" customHeight="1">
      <c r="A1613" s="478"/>
      <c r="B1613" s="458"/>
      <c r="C1613" s="170">
        <v>1</v>
      </c>
      <c r="D1613" s="131" t="s">
        <v>555</v>
      </c>
      <c r="E1613" s="453">
        <f>calcLOB2Clinician1Emp2GrossProd-calcLOB2Clinician1Emp2MissVisits</f>
        <v>0</v>
      </c>
      <c r="F1613" s="453">
        <f>calcLOB2Clinician1Emp2GrossProd-calcLOB2Clinician1Emp2MissVisits</f>
        <v>0</v>
      </c>
      <c r="G1613" s="453">
        <f>calcLOB2Clinician1Emp2GrossProd-calcLOB2Clinician1Emp2MissVisits</f>
        <v>0</v>
      </c>
      <c r="H1613" s="131" t="s">
        <v>2479</v>
      </c>
      <c r="J1613" s="131" t="s">
        <v>555</v>
      </c>
      <c r="K1613" s="453">
        <f>calcR2LOB2Clinician1Emp2GrossProd-calcR2LOB2Clinician1Emp2MissVisits</f>
        <v>0</v>
      </c>
      <c r="L1613" s="453">
        <f>calcR2LOB2Clinician1Emp2GrossProd-calcR2LOB2Clinician1Emp2MissVisits</f>
        <v>0</v>
      </c>
      <c r="M1613" s="453">
        <f>calcR2LOB2Clinician1Emp2GrossProd-calcR2LOB2Clinician1Emp2MissVisits</f>
        <v>0</v>
      </c>
      <c r="N1613" s="131" t="s">
        <v>7084</v>
      </c>
    </row>
    <row r="1614" spans="1:14" ht="12.75" customHeight="1">
      <c r="A1614" s="478"/>
      <c r="B1614" s="458"/>
      <c r="C1614" s="170">
        <v>2</v>
      </c>
      <c r="D1614" s="131" t="s">
        <v>555</v>
      </c>
      <c r="E1614" s="453">
        <f>calcLOB2Clinician2Emp2GrossProd-calcLOB2Clinician2Emp2MissVisits</f>
        <v>0</v>
      </c>
      <c r="F1614" s="453">
        <f>calcLOB2Clinician2Emp2GrossProd-calcLOB2Clinician2Emp2MissVisits</f>
        <v>0</v>
      </c>
      <c r="G1614" s="453">
        <f>calcLOB2Clinician2Emp2GrossProd-calcLOB2Clinician2Emp2MissVisits</f>
        <v>0</v>
      </c>
      <c r="H1614" s="131" t="s">
        <v>2480</v>
      </c>
      <c r="J1614" s="131" t="s">
        <v>555</v>
      </c>
      <c r="K1614" s="453">
        <f>calcR2LOB2Clinician2Emp2GrossProd-calcR2LOB2Clinician2Emp2MissVisits</f>
        <v>0</v>
      </c>
      <c r="L1614" s="453">
        <f>calcR2LOB2Clinician2Emp2GrossProd-calcR2LOB2Clinician2Emp2MissVisits</f>
        <v>0</v>
      </c>
      <c r="M1614" s="453">
        <f>calcR2LOB2Clinician2Emp2GrossProd-calcR2LOB2Clinician2Emp2MissVisits</f>
        <v>0</v>
      </c>
      <c r="N1614" s="131" t="s">
        <v>7085</v>
      </c>
    </row>
    <row r="1615" spans="1:14" ht="12.75" customHeight="1">
      <c r="A1615" s="478"/>
      <c r="B1615" s="458"/>
      <c r="C1615" s="170">
        <v>3</v>
      </c>
      <c r="D1615" s="131" t="s">
        <v>555</v>
      </c>
      <c r="E1615" s="453">
        <f>calcLOB2Clinician3Emp2GrossProd-calcLOB2Clinician3Emp2MissVisits</f>
        <v>0</v>
      </c>
      <c r="F1615" s="453">
        <f>calcLOB2Clinician3Emp2GrossProd-calcLOB2Clinician3Emp2MissVisits</f>
        <v>0</v>
      </c>
      <c r="G1615" s="453">
        <f>calcLOB2Clinician3Emp2GrossProd-calcLOB2Clinician3Emp2MissVisits</f>
        <v>0</v>
      </c>
      <c r="H1615" s="131" t="s">
        <v>2481</v>
      </c>
      <c r="J1615" s="131" t="s">
        <v>555</v>
      </c>
      <c r="K1615" s="453">
        <f>calcR2LOB2Clinician3Emp2GrossProd-calcR2LOB2Clinician3Emp2MissVisits</f>
        <v>0</v>
      </c>
      <c r="L1615" s="453">
        <f>calcR2LOB2Clinician3Emp2GrossProd-calcR2LOB2Clinician3Emp2MissVisits</f>
        <v>0</v>
      </c>
      <c r="M1615" s="453">
        <f>calcR2LOB2Clinician3Emp2GrossProd-calcR2LOB2Clinician3Emp2MissVisits</f>
        <v>0</v>
      </c>
      <c r="N1615" s="131" t="s">
        <v>7086</v>
      </c>
    </row>
    <row r="1616" spans="1:14" ht="12.75" customHeight="1">
      <c r="A1616" s="478"/>
      <c r="B1616" s="458"/>
      <c r="C1616" s="170">
        <v>4</v>
      </c>
      <c r="D1616" s="131" t="s">
        <v>555</v>
      </c>
      <c r="E1616" s="453">
        <f>calcLOB2Clinician4Emp2GrossProd-calcLOB2Clinician4Emp2MissVisits</f>
        <v>0</v>
      </c>
      <c r="F1616" s="453">
        <f>calcLOB2Clinician4Emp2GrossProd-calcLOB2Clinician4Emp2MissVisits</f>
        <v>0</v>
      </c>
      <c r="G1616" s="453">
        <f>calcLOB2Clinician4Emp2GrossProd-calcLOB2Clinician4Emp2MissVisits</f>
        <v>0</v>
      </c>
      <c r="H1616" s="131" t="s">
        <v>2482</v>
      </c>
      <c r="J1616" s="131" t="s">
        <v>555</v>
      </c>
      <c r="K1616" s="453">
        <f>calcR2LOB2Clinician4Emp2GrossProd-calcR2LOB2Clinician4Emp2MissVisits</f>
        <v>0</v>
      </c>
      <c r="L1616" s="453">
        <f>calcR2LOB2Clinician4Emp2GrossProd-calcR2LOB2Clinician4Emp2MissVisits</f>
        <v>0</v>
      </c>
      <c r="M1616" s="453">
        <f>calcR2LOB2Clinician4Emp2GrossProd-calcR2LOB2Clinician4Emp2MissVisits</f>
        <v>0</v>
      </c>
      <c r="N1616" s="131" t="s">
        <v>7087</v>
      </c>
    </row>
    <row r="1617" spans="1:14" ht="12.75" customHeight="1">
      <c r="A1617" s="478"/>
      <c r="B1617" s="458"/>
      <c r="C1617" s="170">
        <v>5</v>
      </c>
      <c r="D1617" s="131" t="s">
        <v>555</v>
      </c>
      <c r="E1617" s="453">
        <f>calcLOB2Clinician5Emp2GrossProd-calcLOB2Clinician5Emp2MissVisits</f>
        <v>0</v>
      </c>
      <c r="F1617" s="453">
        <f>calcLOB2Clinician5Emp2GrossProd-calcLOB2Clinician5Emp2MissVisits</f>
        <v>0</v>
      </c>
      <c r="G1617" s="453">
        <f>calcLOB2Clinician5Emp2GrossProd-calcLOB2Clinician5Emp2MissVisits</f>
        <v>0</v>
      </c>
      <c r="H1617" s="131" t="s">
        <v>2483</v>
      </c>
      <c r="J1617" s="131" t="s">
        <v>555</v>
      </c>
      <c r="K1617" s="453">
        <f>calcR2LOB2Clinician5Emp2GrossProd-calcR2LOB2Clinician5Emp2MissVisits</f>
        <v>0</v>
      </c>
      <c r="L1617" s="453">
        <f>calcR2LOB2Clinician5Emp2GrossProd-calcR2LOB2Clinician5Emp2MissVisits</f>
        <v>0</v>
      </c>
      <c r="M1617" s="453">
        <f>calcR2LOB2Clinician5Emp2GrossProd-calcR2LOB2Clinician5Emp2MissVisits</f>
        <v>0</v>
      </c>
      <c r="N1617" s="131" t="s">
        <v>7088</v>
      </c>
    </row>
    <row r="1618" spans="1:14" ht="12.75" customHeight="1">
      <c r="A1618" s="478"/>
      <c r="B1618" s="458"/>
      <c r="C1618" s="170">
        <v>6</v>
      </c>
      <c r="D1618" s="131" t="s">
        <v>555</v>
      </c>
      <c r="E1618" s="453">
        <f>calcLOB2Clinician6Emp2GrossProd-calcLOB2Clinician6Emp2MissVisits</f>
        <v>0</v>
      </c>
      <c r="F1618" s="453">
        <f>calcLOB2Clinician6Emp2GrossProd-calcLOB2Clinician6Emp2MissVisits</f>
        <v>0</v>
      </c>
      <c r="G1618" s="453">
        <f>calcLOB2Clinician6Emp2GrossProd-calcLOB2Clinician6Emp2MissVisits</f>
        <v>0</v>
      </c>
      <c r="H1618" s="131" t="s">
        <v>2484</v>
      </c>
      <c r="J1618" s="131" t="s">
        <v>555</v>
      </c>
      <c r="K1618" s="453">
        <f>calcR2LOB2Clinician6Emp2GrossProd-calcR2LOB2Clinician6Emp2MissVisits</f>
        <v>0</v>
      </c>
      <c r="L1618" s="453">
        <f>calcR2LOB2Clinician6Emp2GrossProd-calcR2LOB2Clinician6Emp2MissVisits</f>
        <v>0</v>
      </c>
      <c r="M1618" s="453">
        <f>calcR2LOB2Clinician6Emp2GrossProd-calcR2LOB2Clinician6Emp2MissVisits</f>
        <v>0</v>
      </c>
      <c r="N1618" s="131" t="s">
        <v>7089</v>
      </c>
    </row>
    <row r="1619" spans="1:14" ht="12.75" customHeight="1">
      <c r="A1619" s="478"/>
      <c r="B1619" s="458"/>
      <c r="C1619" s="170">
        <v>7</v>
      </c>
      <c r="D1619" s="131" t="s">
        <v>555</v>
      </c>
      <c r="E1619" s="453">
        <f>calcLOB2Clinician7Emp2GrossProd-calcLOB2Clinician7Emp2MissVisits</f>
        <v>0</v>
      </c>
      <c r="F1619" s="453">
        <f>calcLOB2Clinician7Emp2GrossProd-calcLOB2Clinician7Emp2MissVisits</f>
        <v>0</v>
      </c>
      <c r="G1619" s="453">
        <f>calcLOB2Clinician7Emp2GrossProd-calcLOB2Clinician7Emp2MissVisits</f>
        <v>0</v>
      </c>
      <c r="H1619" s="131" t="s">
        <v>2485</v>
      </c>
      <c r="J1619" s="131" t="s">
        <v>555</v>
      </c>
      <c r="K1619" s="453">
        <f>calcR2LOB2Clinician7Emp2GrossProd-calcR2LOB2Clinician7Emp2MissVisits</f>
        <v>0</v>
      </c>
      <c r="L1619" s="453">
        <f>calcR2LOB2Clinician7Emp2GrossProd-calcR2LOB2Clinician7Emp2MissVisits</f>
        <v>0</v>
      </c>
      <c r="M1619" s="453">
        <f>calcR2LOB2Clinician7Emp2GrossProd-calcR2LOB2Clinician7Emp2MissVisits</f>
        <v>0</v>
      </c>
      <c r="N1619" s="131" t="s">
        <v>7090</v>
      </c>
    </row>
    <row r="1620" spans="1:14" ht="12.75" customHeight="1">
      <c r="A1620" s="478"/>
      <c r="B1620" s="458"/>
      <c r="C1620" s="170">
        <v>8</v>
      </c>
      <c r="D1620" s="131" t="s">
        <v>555</v>
      </c>
      <c r="E1620" s="453">
        <f>calcLOB2Clinician8Emp2GrossProd-calcLOB2Clinician8Emp2MissVisits</f>
        <v>0</v>
      </c>
      <c r="F1620" s="453">
        <f>calcLOB2Clinician8Emp2GrossProd-calcLOB2Clinician8Emp2MissVisits</f>
        <v>0</v>
      </c>
      <c r="G1620" s="453">
        <f>calcLOB2Clinician8Emp2GrossProd-calcLOB2Clinician8Emp2MissVisits</f>
        <v>0</v>
      </c>
      <c r="H1620" s="131" t="s">
        <v>2486</v>
      </c>
      <c r="J1620" s="131" t="s">
        <v>555</v>
      </c>
      <c r="K1620" s="453">
        <f>calcR2LOB2Clinician8Emp2GrossProd-calcR2LOB2Clinician8Emp2MissVisits</f>
        <v>0</v>
      </c>
      <c r="L1620" s="453">
        <f>calcR2LOB2Clinician8Emp2GrossProd-calcR2LOB2Clinician8Emp2MissVisits</f>
        <v>0</v>
      </c>
      <c r="M1620" s="453">
        <f>calcR2LOB2Clinician8Emp2GrossProd-calcR2LOB2Clinician8Emp2MissVisits</f>
        <v>0</v>
      </c>
      <c r="N1620" s="131" t="s">
        <v>7091</v>
      </c>
    </row>
    <row r="1621" spans="1:14" ht="12.75" customHeight="1">
      <c r="A1621" s="478"/>
      <c r="B1621" s="458"/>
      <c r="C1621" s="170">
        <v>9</v>
      </c>
      <c r="D1621" s="131" t="s">
        <v>555</v>
      </c>
      <c r="E1621" s="453">
        <f>calcLOB2Clinician9Emp2GrossProd-calcLOB2Clinician9Emp2MissVisits</f>
        <v>0</v>
      </c>
      <c r="F1621" s="453">
        <f>calcLOB2Clinician9Emp2GrossProd-calcLOB2Clinician9Emp2MissVisits</f>
        <v>0</v>
      </c>
      <c r="G1621" s="453">
        <f>calcLOB2Clinician9Emp2GrossProd-calcLOB2Clinician9Emp2MissVisits</f>
        <v>0</v>
      </c>
      <c r="H1621" s="131" t="s">
        <v>2487</v>
      </c>
      <c r="J1621" s="131" t="s">
        <v>555</v>
      </c>
      <c r="K1621" s="453">
        <f>calcR2LOB2Clinician9Emp2GrossProd-calcR2LOB2Clinician9Emp2MissVisits</f>
        <v>0</v>
      </c>
      <c r="L1621" s="453">
        <f>calcR2LOB2Clinician9Emp2GrossProd-calcR2LOB2Clinician9Emp2MissVisits</f>
        <v>0</v>
      </c>
      <c r="M1621" s="453">
        <f>calcR2LOB2Clinician9Emp2GrossProd-calcR2LOB2Clinician9Emp2MissVisits</f>
        <v>0</v>
      </c>
      <c r="N1621" s="131" t="s">
        <v>7092</v>
      </c>
    </row>
    <row r="1622" spans="1:14" ht="12.75" customHeight="1">
      <c r="A1622" s="478"/>
      <c r="B1622" s="458"/>
      <c r="C1622" s="170">
        <v>10</v>
      </c>
      <c r="D1622" s="131" t="s">
        <v>555</v>
      </c>
      <c r="E1622" s="453">
        <f>calcLOB2Clinician10Emp2GrossProd-calcLOB2Clinician10Emp2MissVisits</f>
        <v>21.829896907216497</v>
      </c>
      <c r="F1622" s="453">
        <f>calcLOB2Clinician10Emp2GrossProd-calcLOB2Clinician10Emp2MissVisits</f>
        <v>21.829896907216497</v>
      </c>
      <c r="G1622" s="453">
        <f>calcLOB2Clinician10Emp2GrossProd-calcLOB2Clinician10Emp2MissVisits</f>
        <v>21.829896907216497</v>
      </c>
      <c r="H1622" s="131" t="s">
        <v>2488</v>
      </c>
      <c r="J1622" s="131" t="s">
        <v>555</v>
      </c>
      <c r="K1622" s="453">
        <f>calcR2LOB2Clinician10Emp2GrossProd-calcR2LOB2Clinician10Emp2MissVisits</f>
        <v>21.829896907216497</v>
      </c>
      <c r="L1622" s="453">
        <f>calcR2LOB2Clinician10Emp2GrossProd-calcR2LOB2Clinician10Emp2MissVisits</f>
        <v>21.829896907216497</v>
      </c>
      <c r="M1622" s="453">
        <f>calcR2LOB2Clinician10Emp2GrossProd-calcR2LOB2Clinician10Emp2MissVisits</f>
        <v>21.829896907216497</v>
      </c>
      <c r="N1622" s="131" t="s">
        <v>7093</v>
      </c>
    </row>
    <row r="1623" spans="1:14" ht="12.75" customHeight="1">
      <c r="A1623" s="478"/>
      <c r="B1623" s="458"/>
      <c r="C1623" s="170">
        <v>11</v>
      </c>
      <c r="D1623" s="131" t="s">
        <v>555</v>
      </c>
      <c r="E1623" s="453">
        <f>calcLOB2Clinician11Emp2GrossProd-calcLOB2Clinician11Emp2MissVisits</f>
        <v>0</v>
      </c>
      <c r="F1623" s="453">
        <f>calcLOB2Clinician11Emp2GrossProd-calcLOB2Clinician11Emp2MissVisits</f>
        <v>0</v>
      </c>
      <c r="G1623" s="453">
        <f>calcLOB2Clinician11Emp2GrossProd-calcLOB2Clinician11Emp2MissVisits</f>
        <v>0</v>
      </c>
      <c r="H1623" s="131" t="s">
        <v>2489</v>
      </c>
      <c r="J1623" s="131" t="s">
        <v>555</v>
      </c>
      <c r="K1623" s="453">
        <f>calcR2LOB2Clinician11Emp2GrossProd-calcR2LOB2Clinician11Emp2MissVisits</f>
        <v>0</v>
      </c>
      <c r="L1623" s="453">
        <f>calcR2LOB2Clinician11Emp2GrossProd-calcR2LOB2Clinician11Emp2MissVisits</f>
        <v>0</v>
      </c>
      <c r="M1623" s="453">
        <f>calcR2LOB2Clinician11Emp2GrossProd-calcR2LOB2Clinician11Emp2MissVisits</f>
        <v>0</v>
      </c>
      <c r="N1623" s="131" t="s">
        <v>7094</v>
      </c>
    </row>
    <row r="1624" spans="1:14" ht="12.75" customHeight="1">
      <c r="A1624" s="478"/>
      <c r="B1624" s="458"/>
      <c r="C1624" s="170">
        <v>12</v>
      </c>
      <c r="D1624" s="131" t="s">
        <v>555</v>
      </c>
      <c r="E1624" s="453">
        <f>calcLOB2Clinician12Emp2GrossProd-calcLOB2Clinician12Emp2MissVisits</f>
        <v>0</v>
      </c>
      <c r="F1624" s="453">
        <f>calcLOB2Clinician12Emp2GrossProd-calcLOB2Clinician12Emp2MissVisits</f>
        <v>0</v>
      </c>
      <c r="G1624" s="453">
        <f>calcLOB2Clinician12Emp2GrossProd-calcLOB2Clinician12Emp2MissVisits</f>
        <v>0</v>
      </c>
      <c r="H1624" s="131" t="s">
        <v>2490</v>
      </c>
      <c r="J1624" s="131" t="s">
        <v>555</v>
      </c>
      <c r="K1624" s="453">
        <f>calcR2LOB2Clinician12Emp2GrossProd-calcR2LOB2Clinician12Emp2MissVisits</f>
        <v>0</v>
      </c>
      <c r="L1624" s="453">
        <f>calcR2LOB2Clinician12Emp2GrossProd-calcR2LOB2Clinician12Emp2MissVisits</f>
        <v>0</v>
      </c>
      <c r="M1624" s="453">
        <f>calcR2LOB2Clinician12Emp2GrossProd-calcR2LOB2Clinician12Emp2MissVisits</f>
        <v>0</v>
      </c>
      <c r="N1624" s="131" t="s">
        <v>7095</v>
      </c>
    </row>
    <row r="1625" spans="1:14" ht="12.75" customHeight="1">
      <c r="A1625" s="478"/>
      <c r="B1625" s="458"/>
      <c r="D1625" s="131" t="s">
        <v>555</v>
      </c>
      <c r="E1625" s="453">
        <f>calcLOB2Clinician16Emp2GrossProd-calcLOB2Clinician16Emp2MissVisits</f>
        <v>31.310416666666669</v>
      </c>
      <c r="F1625" s="453">
        <f>calcLOB2Clinician16Emp2GrossProd-calcLOB2Clinician16Emp2MissVisits</f>
        <v>28.125</v>
      </c>
      <c r="G1625" s="453">
        <f>calcLOB2Clinician16Emp2GrossProd-calcLOB2Clinician16Emp2MissVisits</f>
        <v>51.562500000000007</v>
      </c>
      <c r="H1625" s="131" t="s">
        <v>4119</v>
      </c>
      <c r="J1625" s="131" t="s">
        <v>555</v>
      </c>
      <c r="K1625" s="453">
        <f>calcR2LOB2Clinician16Emp2GrossProd-calcR2LOB2Clinician16Emp2MissVisits</f>
        <v>29.622955714844974</v>
      </c>
      <c r="L1625" s="453">
        <f>calcR2LOB2Clinician16Emp2GrossProd-calcR2LOB2Clinician16Emp2MissVisits</f>
        <v>28.125</v>
      </c>
      <c r="M1625" s="453">
        <f>calcR2LOB2Clinician16Emp2GrossProd-calcR2LOB2Clinician16Emp2MissVisits</f>
        <v>51.562500000000007</v>
      </c>
      <c r="N1625" s="131" t="s">
        <v>7096</v>
      </c>
    </row>
    <row r="1626" spans="1:14" ht="1.5" customHeight="1">
      <c r="A1626" s="478"/>
      <c r="B1626" s="458"/>
      <c r="D1626" s="449"/>
      <c r="E1626" s="450"/>
      <c r="F1626" s="450"/>
      <c r="G1626" s="450"/>
      <c r="H1626" s="131"/>
      <c r="J1626" s="449"/>
      <c r="K1626" s="450"/>
      <c r="L1626" s="450"/>
      <c r="M1626" s="450"/>
      <c r="N1626" s="131"/>
    </row>
    <row r="1627" spans="1:14" ht="12.75" customHeight="1">
      <c r="A1627" s="478"/>
      <c r="B1627" s="458"/>
      <c r="D1627" s="131" t="s">
        <v>2632</v>
      </c>
      <c r="E1627" s="448">
        <f>SUM(E1613:E1626)</f>
        <v>53.140313573883162</v>
      </c>
      <c r="F1627" s="448">
        <f t="shared" ref="F1627:G1627" si="208">SUM(F1613:F1626)</f>
        <v>49.954896907216494</v>
      </c>
      <c r="G1627" s="448">
        <f t="shared" si="208"/>
        <v>73.392396907216508</v>
      </c>
      <c r="H1627" s="131" t="s">
        <v>2726</v>
      </c>
      <c r="J1627" s="131" t="s">
        <v>2632</v>
      </c>
      <c r="K1627" s="448">
        <f>SUM(K1613:K1626)</f>
        <v>51.452852622061471</v>
      </c>
      <c r="L1627" s="448">
        <f t="shared" ref="L1627:M1627" si="209">SUM(L1613:L1626)</f>
        <v>49.954896907216494</v>
      </c>
      <c r="M1627" s="448">
        <f t="shared" si="209"/>
        <v>73.392396907216508</v>
      </c>
      <c r="N1627" s="131" t="s">
        <v>7097</v>
      </c>
    </row>
    <row r="1628" spans="1:14" ht="12.75" customHeight="1">
      <c r="A1628" s="478"/>
      <c r="B1628" s="458"/>
    </row>
    <row r="1629" spans="1:14" ht="12.75" customHeight="1">
      <c r="A1629" s="478"/>
      <c r="B1629" s="458"/>
      <c r="C1629" s="131" t="s">
        <v>1618</v>
      </c>
    </row>
    <row r="1630" spans="1:14" ht="12.75" customHeight="1">
      <c r="A1630" s="478"/>
      <c r="B1630" s="458"/>
      <c r="C1630" s="170">
        <v>1</v>
      </c>
      <c r="D1630" s="131" t="s">
        <v>555</v>
      </c>
      <c r="E1630" s="453">
        <f>MAX(0,calcLOB2Clinician1Emp2GrossProd-30)</f>
        <v>0</v>
      </c>
      <c r="F1630" s="453">
        <f>MAX(0,calcLOB2Clinician1Emp2GrossProd-30)</f>
        <v>0</v>
      </c>
      <c r="G1630" s="453">
        <f>MAX(0,calcLOB2Clinician1Emp2GrossProd-30)</f>
        <v>0</v>
      </c>
      <c r="H1630" s="131" t="s">
        <v>2491</v>
      </c>
      <c r="J1630" s="131" t="s">
        <v>555</v>
      </c>
      <c r="K1630" s="453">
        <f>MAX(0,calcR2LOB2Clinician1Emp2GrossProd-30)</f>
        <v>0</v>
      </c>
      <c r="L1630" s="453">
        <f>MAX(0,calcR2LOB2Clinician1Emp2GrossProd-30)</f>
        <v>0</v>
      </c>
      <c r="M1630" s="453">
        <f>MAX(0,calcR2LOB2Clinician1Emp2GrossProd-30)</f>
        <v>0</v>
      </c>
      <c r="N1630" s="131" t="s">
        <v>7098</v>
      </c>
    </row>
    <row r="1631" spans="1:14" ht="12.75" customHeight="1">
      <c r="A1631" s="478"/>
      <c r="B1631" s="458"/>
      <c r="C1631" s="170">
        <v>2</v>
      </c>
      <c r="D1631" s="131" t="s">
        <v>555</v>
      </c>
      <c r="E1631" s="453">
        <f>MAX(0,calcLOB2Clinician2Emp2GrossProd-30)</f>
        <v>0</v>
      </c>
      <c r="F1631" s="453">
        <f>MAX(0,calcLOB2Clinician2Emp2GrossProd-30)</f>
        <v>0</v>
      </c>
      <c r="G1631" s="453">
        <f>MAX(0,calcLOB2Clinician2Emp2GrossProd-30)</f>
        <v>0</v>
      </c>
      <c r="H1631" s="131" t="s">
        <v>2492</v>
      </c>
      <c r="J1631" s="131" t="s">
        <v>555</v>
      </c>
      <c r="K1631" s="453">
        <f>MAX(0,calcR2LOB2Clinician2Emp2GrossProd-30)</f>
        <v>0</v>
      </c>
      <c r="L1631" s="453">
        <f>MAX(0,calcR2LOB2Clinician2Emp2GrossProd-30)</f>
        <v>0</v>
      </c>
      <c r="M1631" s="453">
        <f>MAX(0,calcR2LOB2Clinician2Emp2GrossProd-30)</f>
        <v>0</v>
      </c>
      <c r="N1631" s="131" t="s">
        <v>7099</v>
      </c>
    </row>
    <row r="1632" spans="1:14" ht="12.75" customHeight="1">
      <c r="A1632" s="478"/>
      <c r="B1632" s="458"/>
      <c r="C1632" s="170">
        <v>3</v>
      </c>
      <c r="D1632" s="131" t="s">
        <v>555</v>
      </c>
      <c r="E1632" s="453">
        <f>MAX(0,calcLOB2Clinician3Emp2GrossProd-30)</f>
        <v>0</v>
      </c>
      <c r="F1632" s="453">
        <f>MAX(0,calcLOB2Clinician3Emp2GrossProd-30)</f>
        <v>0</v>
      </c>
      <c r="G1632" s="453">
        <f>MAX(0,calcLOB2Clinician3Emp2GrossProd-30)</f>
        <v>0</v>
      </c>
      <c r="H1632" s="131" t="s">
        <v>2493</v>
      </c>
      <c r="J1632" s="131" t="s">
        <v>555</v>
      </c>
      <c r="K1632" s="453">
        <f>MAX(0,calcR2LOB2Clinician3Emp2GrossProd-30)</f>
        <v>0</v>
      </c>
      <c r="L1632" s="453">
        <f>MAX(0,calcR2LOB2Clinician3Emp2GrossProd-30)</f>
        <v>0</v>
      </c>
      <c r="M1632" s="453">
        <f>MAX(0,calcR2LOB2Clinician3Emp2GrossProd-30)</f>
        <v>0</v>
      </c>
      <c r="N1632" s="131" t="s">
        <v>7100</v>
      </c>
    </row>
    <row r="1633" spans="1:14" ht="12.75" customHeight="1">
      <c r="A1633" s="478"/>
      <c r="B1633" s="458"/>
      <c r="C1633" s="170">
        <v>4</v>
      </c>
      <c r="D1633" s="131" t="s">
        <v>555</v>
      </c>
      <c r="E1633" s="453">
        <f>MAX(0,calcLOB2Clinician4Emp2GrossProd-30)</f>
        <v>0</v>
      </c>
      <c r="F1633" s="453">
        <f>MAX(0,calcLOB2Clinician4Emp2GrossProd-30)</f>
        <v>0</v>
      </c>
      <c r="G1633" s="453">
        <f>MAX(0,calcLOB2Clinician4Emp2GrossProd-30)</f>
        <v>0</v>
      </c>
      <c r="H1633" s="131" t="s">
        <v>2494</v>
      </c>
      <c r="J1633" s="131" t="s">
        <v>555</v>
      </c>
      <c r="K1633" s="453">
        <f>MAX(0,calcR2LOB2Clinician4Emp2GrossProd-30)</f>
        <v>0</v>
      </c>
      <c r="L1633" s="453">
        <f>MAX(0,calcR2LOB2Clinician4Emp2GrossProd-30)</f>
        <v>0</v>
      </c>
      <c r="M1633" s="453">
        <f>MAX(0,calcR2LOB2Clinician4Emp2GrossProd-30)</f>
        <v>0</v>
      </c>
      <c r="N1633" s="131" t="s">
        <v>7101</v>
      </c>
    </row>
    <row r="1634" spans="1:14" ht="12.75" customHeight="1">
      <c r="A1634" s="478"/>
      <c r="B1634" s="458"/>
      <c r="C1634" s="170">
        <v>5</v>
      </c>
      <c r="D1634" s="131" t="s">
        <v>555</v>
      </c>
      <c r="E1634" s="453">
        <f>MAX(0,calcLOB2Clinician5Emp2GrossProd-30)</f>
        <v>0</v>
      </c>
      <c r="F1634" s="453">
        <f>MAX(0,calcLOB2Clinician5Emp2GrossProd-30)</f>
        <v>0</v>
      </c>
      <c r="G1634" s="453">
        <f>MAX(0,calcLOB2Clinician5Emp2GrossProd-30)</f>
        <v>0</v>
      </c>
      <c r="H1634" s="131" t="s">
        <v>2495</v>
      </c>
      <c r="J1634" s="131" t="s">
        <v>555</v>
      </c>
      <c r="K1634" s="453">
        <f>MAX(0,calcR2LOB2Clinician5Emp2GrossProd-30)</f>
        <v>0</v>
      </c>
      <c r="L1634" s="453">
        <f>MAX(0,calcR2LOB2Clinician5Emp2GrossProd-30)</f>
        <v>0</v>
      </c>
      <c r="M1634" s="453">
        <f>MAX(0,calcR2LOB2Clinician5Emp2GrossProd-30)</f>
        <v>0</v>
      </c>
      <c r="N1634" s="131" t="s">
        <v>7102</v>
      </c>
    </row>
    <row r="1635" spans="1:14" ht="12.75" customHeight="1">
      <c r="A1635" s="478"/>
      <c r="B1635" s="458"/>
      <c r="C1635" s="170">
        <v>6</v>
      </c>
      <c r="D1635" s="131" t="s">
        <v>555</v>
      </c>
      <c r="E1635" s="453">
        <f>MAX(0,calcLOB2Clinician6Emp2GrossProd-30)</f>
        <v>0</v>
      </c>
      <c r="F1635" s="453">
        <f>MAX(0,calcLOB2Clinician6Emp2GrossProd-30)</f>
        <v>0</v>
      </c>
      <c r="G1635" s="453">
        <f>MAX(0,calcLOB2Clinician6Emp2GrossProd-30)</f>
        <v>0</v>
      </c>
      <c r="H1635" s="131" t="s">
        <v>2496</v>
      </c>
      <c r="J1635" s="131" t="s">
        <v>555</v>
      </c>
      <c r="K1635" s="453">
        <f>MAX(0,calcR2LOB2Clinician6Emp2GrossProd-30)</f>
        <v>0</v>
      </c>
      <c r="L1635" s="453">
        <f>MAX(0,calcR2LOB2Clinician6Emp2GrossProd-30)</f>
        <v>0</v>
      </c>
      <c r="M1635" s="453">
        <f>MAX(0,calcR2LOB2Clinician6Emp2GrossProd-30)</f>
        <v>0</v>
      </c>
      <c r="N1635" s="131" t="s">
        <v>7103</v>
      </c>
    </row>
    <row r="1636" spans="1:14" ht="12.75" customHeight="1">
      <c r="A1636" s="478"/>
      <c r="B1636" s="458"/>
      <c r="C1636" s="170">
        <v>7</v>
      </c>
      <c r="D1636" s="131" t="s">
        <v>555</v>
      </c>
      <c r="E1636" s="453">
        <f>MAX(0,calcLOB2Clinician7Emp2GrossProd-30)</f>
        <v>0</v>
      </c>
      <c r="F1636" s="453">
        <f>MAX(0,calcLOB2Clinician7Emp2GrossProd-30)</f>
        <v>0</v>
      </c>
      <c r="G1636" s="453">
        <f>MAX(0,calcLOB2Clinician7Emp2GrossProd-30)</f>
        <v>0</v>
      </c>
      <c r="H1636" s="131" t="s">
        <v>2497</v>
      </c>
      <c r="J1636" s="131" t="s">
        <v>555</v>
      </c>
      <c r="K1636" s="453">
        <f>MAX(0,calcR2LOB2Clinician7Emp2GrossProd-30)</f>
        <v>0</v>
      </c>
      <c r="L1636" s="453">
        <f>MAX(0,calcR2LOB2Clinician7Emp2GrossProd-30)</f>
        <v>0</v>
      </c>
      <c r="M1636" s="453">
        <f>MAX(0,calcR2LOB2Clinician7Emp2GrossProd-30)</f>
        <v>0</v>
      </c>
      <c r="N1636" s="131" t="s">
        <v>7104</v>
      </c>
    </row>
    <row r="1637" spans="1:14" ht="12.75" customHeight="1">
      <c r="A1637" s="478"/>
      <c r="B1637" s="458"/>
      <c r="C1637" s="170">
        <v>8</v>
      </c>
      <c r="D1637" s="131" t="s">
        <v>555</v>
      </c>
      <c r="E1637" s="453">
        <f>MAX(0,calcLOB2Clinician8Emp2GrossProd-30)</f>
        <v>0</v>
      </c>
      <c r="F1637" s="453">
        <f>MAX(0,calcLOB2Clinician8Emp2GrossProd-30)</f>
        <v>0</v>
      </c>
      <c r="G1637" s="453">
        <f>MAX(0,calcLOB2Clinician8Emp2GrossProd-30)</f>
        <v>0</v>
      </c>
      <c r="H1637" s="131" t="s">
        <v>2498</v>
      </c>
      <c r="J1637" s="131" t="s">
        <v>555</v>
      </c>
      <c r="K1637" s="453">
        <f>MAX(0,calcR2LOB2Clinician8Emp2GrossProd-30)</f>
        <v>0</v>
      </c>
      <c r="L1637" s="453">
        <f>MAX(0,calcR2LOB2Clinician8Emp2GrossProd-30)</f>
        <v>0</v>
      </c>
      <c r="M1637" s="453">
        <f>MAX(0,calcR2LOB2Clinician8Emp2GrossProd-30)</f>
        <v>0</v>
      </c>
      <c r="N1637" s="131" t="s">
        <v>7105</v>
      </c>
    </row>
    <row r="1638" spans="1:14" ht="12.75" customHeight="1">
      <c r="A1638" s="478"/>
      <c r="B1638" s="458"/>
      <c r="C1638" s="170">
        <v>9</v>
      </c>
      <c r="D1638" s="131" t="s">
        <v>555</v>
      </c>
      <c r="E1638" s="453">
        <f>MAX(0,calcLOB2Clinician9Emp2GrossProd-30)</f>
        <v>0</v>
      </c>
      <c r="F1638" s="453">
        <f>MAX(0,calcLOB2Clinician9Emp2GrossProd-30)</f>
        <v>0</v>
      </c>
      <c r="G1638" s="453">
        <f>MAX(0,calcLOB2Clinician9Emp2GrossProd-30)</f>
        <v>0</v>
      </c>
      <c r="H1638" s="131" t="s">
        <v>2499</v>
      </c>
      <c r="J1638" s="131" t="s">
        <v>555</v>
      </c>
      <c r="K1638" s="453">
        <f>MAX(0,calcR2LOB2Clinician9Emp2GrossProd-30)</f>
        <v>0</v>
      </c>
      <c r="L1638" s="453">
        <f>MAX(0,calcR2LOB2Clinician9Emp2GrossProd-30)</f>
        <v>0</v>
      </c>
      <c r="M1638" s="453">
        <f>MAX(0,calcR2LOB2Clinician9Emp2GrossProd-30)</f>
        <v>0</v>
      </c>
      <c r="N1638" s="131" t="s">
        <v>7106</v>
      </c>
    </row>
    <row r="1639" spans="1:14" ht="12.75" customHeight="1">
      <c r="A1639" s="478"/>
      <c r="B1639" s="458"/>
      <c r="C1639" s="170">
        <v>10</v>
      </c>
      <c r="D1639" s="131" t="s">
        <v>555</v>
      </c>
      <c r="E1639" s="453">
        <f>MAX(0,calcLOB2Clinician10Emp2GrossProd-30)</f>
        <v>0</v>
      </c>
      <c r="F1639" s="453">
        <f>MAX(0,calcLOB2Clinician10Emp2GrossProd-30)</f>
        <v>0</v>
      </c>
      <c r="G1639" s="453">
        <f>MAX(0,calcLOB2Clinician10Emp2GrossProd-30)</f>
        <v>0</v>
      </c>
      <c r="H1639" s="131" t="s">
        <v>2500</v>
      </c>
      <c r="J1639" s="131" t="s">
        <v>555</v>
      </c>
      <c r="K1639" s="453">
        <f>MAX(0,calcR2LOB2Clinician10Emp2GrossProd-30)</f>
        <v>0</v>
      </c>
      <c r="L1639" s="453">
        <f>MAX(0,calcR2LOB2Clinician10Emp2GrossProd-30)</f>
        <v>0</v>
      </c>
      <c r="M1639" s="453">
        <f>MAX(0,calcR2LOB2Clinician10Emp2GrossProd-30)</f>
        <v>0</v>
      </c>
      <c r="N1639" s="131" t="s">
        <v>7107</v>
      </c>
    </row>
    <row r="1640" spans="1:14" ht="12.75" customHeight="1">
      <c r="A1640" s="478"/>
      <c r="B1640" s="458"/>
      <c r="C1640" s="170">
        <v>11</v>
      </c>
      <c r="D1640" s="131" t="s">
        <v>555</v>
      </c>
      <c r="E1640" s="453">
        <f>MAX(0,calcLOB2Clinician11Emp2GrossProd-30)</f>
        <v>0</v>
      </c>
      <c r="F1640" s="453">
        <f>MAX(0,calcLOB2Clinician11Emp2GrossProd-30)</f>
        <v>0</v>
      </c>
      <c r="G1640" s="453">
        <f>MAX(0,calcLOB2Clinician11Emp2GrossProd-30)</f>
        <v>0</v>
      </c>
      <c r="H1640" s="131" t="s">
        <v>2501</v>
      </c>
      <c r="J1640" s="131" t="s">
        <v>555</v>
      </c>
      <c r="K1640" s="453">
        <f>MAX(0,calcR2LOB2Clinician11Emp2GrossProd-30)</f>
        <v>0</v>
      </c>
      <c r="L1640" s="453">
        <f>MAX(0,calcR2LOB2Clinician11Emp2GrossProd-30)</f>
        <v>0</v>
      </c>
      <c r="M1640" s="453">
        <f>MAX(0,calcR2LOB2Clinician11Emp2GrossProd-30)</f>
        <v>0</v>
      </c>
      <c r="N1640" s="131" t="s">
        <v>7108</v>
      </c>
    </row>
    <row r="1641" spans="1:14" ht="12.75" customHeight="1">
      <c r="A1641" s="478"/>
      <c r="B1641" s="458"/>
      <c r="C1641" s="170">
        <v>12</v>
      </c>
      <c r="D1641" s="131" t="s">
        <v>555</v>
      </c>
      <c r="E1641" s="453">
        <f>MAX(0,calcLOB2Clinician12Emp2GrossProd-30)</f>
        <v>0</v>
      </c>
      <c r="F1641" s="453">
        <f>MAX(0,calcLOB2Clinician12Emp2GrossProd-30)</f>
        <v>0</v>
      </c>
      <c r="G1641" s="453">
        <f>MAX(0,calcLOB2Clinician12Emp2GrossProd-30)</f>
        <v>0</v>
      </c>
      <c r="H1641" s="131" t="s">
        <v>2502</v>
      </c>
      <c r="J1641" s="131" t="s">
        <v>555</v>
      </c>
      <c r="K1641" s="453">
        <f>MAX(0,calcR2LOB2Clinician12Emp2GrossProd-30)</f>
        <v>0</v>
      </c>
      <c r="L1641" s="453">
        <f>MAX(0,calcR2LOB2Clinician12Emp2GrossProd-30)</f>
        <v>0</v>
      </c>
      <c r="M1641" s="453">
        <f>MAX(0,calcR2LOB2Clinician12Emp2GrossProd-30)</f>
        <v>0</v>
      </c>
      <c r="N1641" s="131" t="s">
        <v>7109</v>
      </c>
    </row>
    <row r="1642" spans="1:14" ht="12.75" customHeight="1">
      <c r="A1642" s="478"/>
      <c r="B1642" s="458"/>
    </row>
    <row r="1643" spans="1:14" ht="12.75" customHeight="1">
      <c r="A1643" s="478"/>
      <c r="B1643" s="460"/>
      <c r="C1643" s="131" t="s">
        <v>1586</v>
      </c>
    </row>
    <row r="1644" spans="1:14" ht="12.75" customHeight="1">
      <c r="A1644" s="478"/>
      <c r="B1644" s="460"/>
      <c r="C1644" s="170">
        <v>1</v>
      </c>
      <c r="D1644" s="131" t="s">
        <v>556</v>
      </c>
      <c r="E1644" s="636">
        <f>IF(VLOOKUP($C1644,obal!$D$273:$G$288,E$3,FALSE)=$D1644,obalLOB2AvgProdClinician1,0)</f>
        <v>0</v>
      </c>
      <c r="F1644" s="636">
        <f>IF(VLOOKUP($C1644,obal!$D$273:$G$288,F$3,FALSE)=$D1644,obalLOB2AvgProdClinician1,0)</f>
        <v>0</v>
      </c>
      <c r="G1644" s="636">
        <f>IF(VLOOKUP($C1644,obal!$D$273:$G$288,G$3,FALSE)=$D1644,obalLOB2AvgProdClinician1,0)</f>
        <v>0</v>
      </c>
      <c r="H1644" s="131" t="s">
        <v>2503</v>
      </c>
      <c r="J1644" s="131" t="s">
        <v>556</v>
      </c>
      <c r="K1644" s="636">
        <f>IF(VLOOKUP($C1644,obal!$J$273:$M$288,K$3,FALSE)=$D1644,obalR2LOB2AvgProdClinician1,0)</f>
        <v>0</v>
      </c>
      <c r="L1644" s="636">
        <f>IF(VLOOKUP($C1644,obal!$J$273:$M$288,L$3,FALSE)=$D1644,obalR2LOB2AvgProdClinician1,0)</f>
        <v>0</v>
      </c>
      <c r="M1644" s="636">
        <f>IF(VLOOKUP($C1644,obal!$J$273:$M$288,M$3,FALSE)=$D1644,obalR2LOB2AvgProdClinician1,0)</f>
        <v>0</v>
      </c>
      <c r="N1644" s="131" t="s">
        <v>7110</v>
      </c>
    </row>
    <row r="1645" spans="1:14" ht="12.75" customHeight="1">
      <c r="A1645" s="478"/>
      <c r="B1645" s="460"/>
      <c r="C1645" s="170">
        <v>2</v>
      </c>
      <c r="D1645" s="131" t="s">
        <v>556</v>
      </c>
      <c r="E1645" s="636">
        <f>IF(VLOOKUP($C1645,obal!$D$273:$G$288,E$3,FALSE)=$D1645,obalLOB2AvgProdClinician2,0)</f>
        <v>0</v>
      </c>
      <c r="F1645" s="636">
        <f>IF(VLOOKUP($C1645,obal!$D$273:$G$288,F$3,FALSE)=$D1645,obalLOB2AvgProdClinician2,0)</f>
        <v>0</v>
      </c>
      <c r="G1645" s="636">
        <f>IF(VLOOKUP($C1645,obal!$D$273:$G$288,G$3,FALSE)=$D1645,obalLOB2AvgProdClinician2,0)</f>
        <v>0</v>
      </c>
      <c r="H1645" s="131" t="s">
        <v>2504</v>
      </c>
      <c r="J1645" s="131" t="s">
        <v>556</v>
      </c>
      <c r="K1645" s="636">
        <f>IF(VLOOKUP($C1645,obal!$J$273:$M$288,K$3,FALSE)=$D1645,obalR2LOB2AvgProdClinician2,0)</f>
        <v>0</v>
      </c>
      <c r="L1645" s="636">
        <f>IF(VLOOKUP($C1645,obal!$J$273:$M$288,L$3,FALSE)=$D1645,obalR2LOB2AvgProdClinician2,0)</f>
        <v>0</v>
      </c>
      <c r="M1645" s="636">
        <f>IF(VLOOKUP($C1645,obal!$J$273:$M$288,M$3,FALSE)=$D1645,obalR2LOB2AvgProdClinician2,0)</f>
        <v>0</v>
      </c>
      <c r="N1645" s="131" t="s">
        <v>7111</v>
      </c>
    </row>
    <row r="1646" spans="1:14" ht="12.75" customHeight="1">
      <c r="A1646" s="478"/>
      <c r="B1646" s="460"/>
      <c r="C1646" s="170">
        <v>3</v>
      </c>
      <c r="D1646" s="131" t="s">
        <v>556</v>
      </c>
      <c r="E1646" s="636">
        <f>IF(VLOOKUP($C1646,obal!$D$273:$G$288,E$3,FALSE)=$D1646,obalLOB2AvgProdClinician3,0)</f>
        <v>0</v>
      </c>
      <c r="F1646" s="636">
        <f>IF(VLOOKUP($C1646,obal!$D$273:$G$288,F$3,FALSE)=$D1646,obalLOB2AvgProdClinician3,0)</f>
        <v>0</v>
      </c>
      <c r="G1646" s="636">
        <f>IF(VLOOKUP($C1646,obal!$D$273:$G$288,G$3,FALSE)=$D1646,obalLOB2AvgProdClinician3,0)</f>
        <v>0</v>
      </c>
      <c r="H1646" s="131" t="s">
        <v>2505</v>
      </c>
      <c r="J1646" s="131" t="s">
        <v>556</v>
      </c>
      <c r="K1646" s="636">
        <f>IF(VLOOKUP($C1646,obal!$J$273:$M$288,K$3,FALSE)=$D1646,obalR2LOB2AvgProdClinician3,0)</f>
        <v>0</v>
      </c>
      <c r="L1646" s="636">
        <f>IF(VLOOKUP($C1646,obal!$J$273:$M$288,L$3,FALSE)=$D1646,obalR2LOB2AvgProdClinician3,0)</f>
        <v>0</v>
      </c>
      <c r="M1646" s="636">
        <f>IF(VLOOKUP($C1646,obal!$J$273:$M$288,M$3,FALSE)=$D1646,obalR2LOB2AvgProdClinician3,0)</f>
        <v>0</v>
      </c>
      <c r="N1646" s="131" t="s">
        <v>7112</v>
      </c>
    </row>
    <row r="1647" spans="1:14" ht="12.75" customHeight="1">
      <c r="A1647" s="478"/>
      <c r="B1647" s="460"/>
      <c r="C1647" s="170">
        <v>4</v>
      </c>
      <c r="D1647" s="131" t="s">
        <v>556</v>
      </c>
      <c r="E1647" s="636">
        <f>IF(VLOOKUP($C1647,obal!$D$273:$G$288,E$3,FALSE)=$D1647,obalLOB2AvgProdClinician4,0)</f>
        <v>0</v>
      </c>
      <c r="F1647" s="636">
        <f>IF(VLOOKUP($C1647,obal!$D$273:$G$288,F$3,FALSE)=$D1647,obalLOB2AvgProdClinician4,0)</f>
        <v>0</v>
      </c>
      <c r="G1647" s="636">
        <f>IF(VLOOKUP($C1647,obal!$D$273:$G$288,G$3,FALSE)=$D1647,obalLOB2AvgProdClinician4,0)</f>
        <v>0</v>
      </c>
      <c r="H1647" s="131" t="s">
        <v>2506</v>
      </c>
      <c r="J1647" s="131" t="s">
        <v>556</v>
      </c>
      <c r="K1647" s="636">
        <f>IF(VLOOKUP($C1647,obal!$J$273:$M$288,K$3,FALSE)=$D1647,obalR2LOB2AvgProdClinician4,0)</f>
        <v>0</v>
      </c>
      <c r="L1647" s="636">
        <f>IF(VLOOKUP($C1647,obal!$J$273:$M$288,L$3,FALSE)=$D1647,obalR2LOB2AvgProdClinician4,0)</f>
        <v>0</v>
      </c>
      <c r="M1647" s="636">
        <f>IF(VLOOKUP($C1647,obal!$J$273:$M$288,M$3,FALSE)=$D1647,obalR2LOB2AvgProdClinician4,0)</f>
        <v>0</v>
      </c>
      <c r="N1647" s="131" t="s">
        <v>7113</v>
      </c>
    </row>
    <row r="1648" spans="1:14" ht="12.75" customHeight="1">
      <c r="A1648" s="478"/>
      <c r="B1648" s="460"/>
      <c r="C1648" s="170">
        <v>5</v>
      </c>
      <c r="D1648" s="131" t="s">
        <v>556</v>
      </c>
      <c r="E1648" s="636">
        <f>IF(VLOOKUP($C1648,obal!$D$273:$G$288,E$3,FALSE)=$D1648,obalLOB2AvgProdClinician5,0)</f>
        <v>0</v>
      </c>
      <c r="F1648" s="636">
        <f>IF(VLOOKUP($C1648,obal!$D$273:$G$288,F$3,FALSE)=$D1648,obalLOB2AvgProdClinician5,0)</f>
        <v>0</v>
      </c>
      <c r="G1648" s="636">
        <f>IF(VLOOKUP($C1648,obal!$D$273:$G$288,G$3,FALSE)=$D1648,obalLOB2AvgProdClinician5,0)</f>
        <v>0</v>
      </c>
      <c r="H1648" s="131" t="s">
        <v>2507</v>
      </c>
      <c r="J1648" s="131" t="s">
        <v>556</v>
      </c>
      <c r="K1648" s="636">
        <f>IF(VLOOKUP($C1648,obal!$J$273:$M$288,K$3,FALSE)=$D1648,obalR2LOB2AvgProdClinician5,0)</f>
        <v>0</v>
      </c>
      <c r="L1648" s="636">
        <f>IF(VLOOKUP($C1648,obal!$J$273:$M$288,L$3,FALSE)=$D1648,obalR2LOB2AvgProdClinician5,0)</f>
        <v>0</v>
      </c>
      <c r="M1648" s="636">
        <f>IF(VLOOKUP($C1648,obal!$J$273:$M$288,M$3,FALSE)=$D1648,obalR2LOB2AvgProdClinician5,0)</f>
        <v>0</v>
      </c>
      <c r="N1648" s="131" t="s">
        <v>7114</v>
      </c>
    </row>
    <row r="1649" spans="1:14" ht="12.75" customHeight="1">
      <c r="A1649" s="478"/>
      <c r="B1649" s="460"/>
      <c r="C1649" s="170">
        <v>6</v>
      </c>
      <c r="D1649" s="131" t="s">
        <v>556</v>
      </c>
      <c r="E1649" s="636">
        <f>IF(VLOOKUP($C1649,obal!$D$273:$G$288,E$3,FALSE)=$D1649,obalLOB2AvgProdClinician6,0)</f>
        <v>0</v>
      </c>
      <c r="F1649" s="636">
        <f>IF(VLOOKUP($C1649,obal!$D$273:$G$288,F$3,FALSE)=$D1649,obalLOB2AvgProdClinician6,0)</f>
        <v>0</v>
      </c>
      <c r="G1649" s="636">
        <f>IF(VLOOKUP($C1649,obal!$D$273:$G$288,G$3,FALSE)=$D1649,obalLOB2AvgProdClinician6,0)</f>
        <v>0</v>
      </c>
      <c r="H1649" s="131" t="s">
        <v>2508</v>
      </c>
      <c r="J1649" s="131" t="s">
        <v>556</v>
      </c>
      <c r="K1649" s="636">
        <f>IF(VLOOKUP($C1649,obal!$J$273:$M$288,K$3,FALSE)=$D1649,obalR2LOB2AvgProdClinician6,0)</f>
        <v>0</v>
      </c>
      <c r="L1649" s="636">
        <f>IF(VLOOKUP($C1649,obal!$J$273:$M$288,L$3,FALSE)=$D1649,obalR2LOB2AvgProdClinician6,0)</f>
        <v>0</v>
      </c>
      <c r="M1649" s="636">
        <f>IF(VLOOKUP($C1649,obal!$J$273:$M$288,M$3,FALSE)=$D1649,obalR2LOB2AvgProdClinician6,0)</f>
        <v>0</v>
      </c>
      <c r="N1649" s="131" t="s">
        <v>7115</v>
      </c>
    </row>
    <row r="1650" spans="1:14" ht="12.75" customHeight="1">
      <c r="A1650" s="478"/>
      <c r="B1650" s="460"/>
      <c r="C1650" s="170">
        <v>7</v>
      </c>
      <c r="D1650" s="788" t="s">
        <v>8485</v>
      </c>
      <c r="E1650" s="636">
        <f>IF(VLOOKUP($C1650,obal!$D$273:$G$288,E$3,FALSE)=$D1650,obalLOB2AvgProdClinician7,0)</f>
        <v>28</v>
      </c>
      <c r="F1650" s="636">
        <f>IF(VLOOKUP($C1650,obal!$D$273:$G$288,F$3,FALSE)=$D1650,obalLOB2AvgProdClinician7,0)</f>
        <v>28</v>
      </c>
      <c r="G1650" s="636">
        <f>IF(VLOOKUP($C1650,obal!$D$273:$G$288,G$3,FALSE)=$D1650,obalLOB2AvgProdClinician7,0)</f>
        <v>28</v>
      </c>
      <c r="H1650" s="131" t="s">
        <v>2509</v>
      </c>
      <c r="J1650" s="788" t="s">
        <v>8485</v>
      </c>
      <c r="K1650" s="636">
        <f>IF(VLOOKUP($C1650,obal!$J$273:$M$288,K$3,FALSE)=$D1650,obalR2LOB2AvgProdClinician7,0)</f>
        <v>28</v>
      </c>
      <c r="L1650" s="636">
        <f>IF(VLOOKUP($C1650,obal!$J$273:$M$288,L$3,FALSE)=$D1650,obalR2LOB2AvgProdClinician7,0)</f>
        <v>28</v>
      </c>
      <c r="M1650" s="636">
        <f>IF(VLOOKUP($C1650,obal!$J$273:$M$288,M$3,FALSE)=$D1650,obalR2LOB2AvgProdClinician7,0)</f>
        <v>28</v>
      </c>
      <c r="N1650" s="131" t="s">
        <v>7116</v>
      </c>
    </row>
    <row r="1651" spans="1:14" ht="12.75" customHeight="1">
      <c r="A1651" s="478"/>
      <c r="B1651" s="460"/>
      <c r="C1651" s="170">
        <v>8</v>
      </c>
      <c r="D1651" s="131" t="s">
        <v>556</v>
      </c>
      <c r="E1651" s="636">
        <f>IF(VLOOKUP($C1651,obal!$D$273:$G$288,E$3,FALSE)=$D1651,obalLOB2AvgProdClinician8,0)</f>
        <v>28</v>
      </c>
      <c r="F1651" s="636">
        <f>IF(VLOOKUP($C1651,obal!$D$273:$G$288,F$3,FALSE)=$D1651,obalLOB2AvgProdClinician8,0)</f>
        <v>28</v>
      </c>
      <c r="G1651" s="636">
        <f>IF(VLOOKUP($C1651,obal!$D$273:$G$288,G$3,FALSE)=$D1651,obalLOB2AvgProdClinician8,0)</f>
        <v>28</v>
      </c>
      <c r="H1651" s="131" t="s">
        <v>2510</v>
      </c>
      <c r="J1651" s="131" t="s">
        <v>556</v>
      </c>
      <c r="K1651" s="636">
        <f>IF(VLOOKUP($C1651,obal!$J$273:$M$288,K$3,FALSE)=$D1651,obalR2LOB2AvgProdClinician8,0)</f>
        <v>28</v>
      </c>
      <c r="L1651" s="636">
        <f>IF(VLOOKUP($C1651,obal!$J$273:$M$288,L$3,FALSE)=$D1651,obalR2LOB2AvgProdClinician8,0)</f>
        <v>28</v>
      </c>
      <c r="M1651" s="636">
        <f>IF(VLOOKUP($C1651,obal!$J$273:$M$288,M$3,FALSE)=$D1651,obalR2LOB2AvgProdClinician8,0)</f>
        <v>28</v>
      </c>
      <c r="N1651" s="131" t="s">
        <v>7117</v>
      </c>
    </row>
    <row r="1652" spans="1:14" ht="12.75" customHeight="1">
      <c r="A1652" s="478"/>
      <c r="B1652" s="460"/>
      <c r="C1652" s="170">
        <v>9</v>
      </c>
      <c r="D1652" s="131" t="s">
        <v>556</v>
      </c>
      <c r="E1652" s="636">
        <f>IF(VLOOKUP($C1652,obal!$D$273:$G$288,E$3,FALSE)=$D1652,obalLOB2AvgProdClinician9,0)</f>
        <v>12.5</v>
      </c>
      <c r="F1652" s="636">
        <f>IF(VLOOKUP($C1652,obal!$D$273:$G$288,F$3,FALSE)=$D1652,obalLOB2AvgProdClinician9,0)</f>
        <v>12.5</v>
      </c>
      <c r="G1652" s="636">
        <f>IF(VLOOKUP($C1652,obal!$D$273:$G$288,G$3,FALSE)=$D1652,obalLOB2AvgProdClinician9,0)</f>
        <v>12.5</v>
      </c>
      <c r="H1652" s="131" t="s">
        <v>2511</v>
      </c>
      <c r="J1652" s="131" t="s">
        <v>556</v>
      </c>
      <c r="K1652" s="636">
        <f>IF(VLOOKUP($C1652,obal!$J$273:$M$288,K$3,FALSE)=$D1652,obalR2LOB2AvgProdClinician9,0)</f>
        <v>12.5</v>
      </c>
      <c r="L1652" s="636">
        <f>IF(VLOOKUP($C1652,obal!$J$273:$M$288,L$3,FALSE)=$D1652,obalR2LOB2AvgProdClinician9,0)</f>
        <v>12.5</v>
      </c>
      <c r="M1652" s="636">
        <f>IF(VLOOKUP($C1652,obal!$J$273:$M$288,M$3,FALSE)=$D1652,obalR2LOB2AvgProdClinician9,0)</f>
        <v>12.5</v>
      </c>
      <c r="N1652" s="131" t="s">
        <v>7118</v>
      </c>
    </row>
    <row r="1653" spans="1:14" ht="12.75" customHeight="1" thickBot="1">
      <c r="A1653" s="478"/>
      <c r="B1653" s="460"/>
      <c r="C1653" s="170">
        <v>10</v>
      </c>
      <c r="D1653" s="131" t="s">
        <v>556</v>
      </c>
      <c r="E1653" s="636">
        <f>IF(VLOOKUP($C1653,obal!$D$273:$G$288,E$3,FALSE)=$D1653,obalLOB2AvgProdClinician10,0)</f>
        <v>0</v>
      </c>
      <c r="F1653" s="636">
        <f>IF(VLOOKUP($C1653,obal!$D$273:$G$288,F$3,FALSE)=$D1653,obalLOB2AvgProdClinician10,0)</f>
        <v>0</v>
      </c>
      <c r="G1653" s="636">
        <f>IF(VLOOKUP($C1653,obal!$D$273:$G$288,G$3,FALSE)=$D1653,obalLOB2AvgProdClinician10,0)</f>
        <v>0</v>
      </c>
      <c r="H1653" s="131" t="s">
        <v>2512</v>
      </c>
      <c r="J1653" s="131" t="s">
        <v>556</v>
      </c>
      <c r="K1653" s="636">
        <f>IF(VLOOKUP($C1653,obal!$J$273:$M$288,K$3,FALSE)=$D1653,obalR2LOB2AvgProdClinician10,0)</f>
        <v>0</v>
      </c>
      <c r="L1653" s="636">
        <f>IF(VLOOKUP($C1653,obal!$J$273:$M$288,L$3,FALSE)=$D1653,obalR2LOB2AvgProdClinician10,0)</f>
        <v>0</v>
      </c>
      <c r="M1653" s="636">
        <f>IF(VLOOKUP($C1653,obal!$J$273:$M$288,M$3,FALSE)=$D1653,obalR2LOB2AvgProdClinician10,0)</f>
        <v>0</v>
      </c>
      <c r="N1653" s="131" t="s">
        <v>7119</v>
      </c>
    </row>
    <row r="1654" spans="1:14" ht="12.75" customHeight="1">
      <c r="A1654" s="478"/>
      <c r="B1654" s="793" t="s">
        <v>8485</v>
      </c>
      <c r="C1654" s="170">
        <v>11</v>
      </c>
      <c r="D1654" s="131" t="s">
        <v>556</v>
      </c>
      <c r="E1654" s="560">
        <f>IF(VLOOKUP($C1654,cbal!$D$273:$G$288,E$3,FALSE)=$D1654,cbalLOB2AvgBaseProdClinician11,IF(VLOOKUP($C1654,cbal!$D$273:$G$288,E$3,FALSE)=$B1654,cbalLOB2AvgBaseProdClinician11,0))</f>
        <v>0</v>
      </c>
      <c r="F1654" s="560">
        <f>IF(VLOOKUP($C1654,cbal!$D$273:$G$288,F$3,FALSE)=$D1654,cbalLOB2AvgBaseProdClinician11,IF(VLOOKUP($C1654,cbal!$D$273:$G$288,F$3,FALSE)=$B1654,cbalLOB2AvgBaseProdClinician11,0))</f>
        <v>0</v>
      </c>
      <c r="G1654" s="560">
        <f>IF(VLOOKUP($C1654,cbal!$D$273:$G$288,G$3,FALSE)=$D1654,cbalLOB2AvgBaseProdClinician11,IF(VLOOKUP($C1654,cbal!$D$273:$G$288,G$3,FALSE)=$B1654,cbalLOB2AvgBaseProdClinician11,0))</f>
        <v>0</v>
      </c>
      <c r="H1654" s="131" t="s">
        <v>2513</v>
      </c>
      <c r="J1654" s="131" t="s">
        <v>556</v>
      </c>
      <c r="K1654" s="560">
        <f>IF(VLOOKUP($C1654,cbal!$J$273:$M$288,K$3,FALSE)=$D1654,cbalR2LOB2AvgBaseProdClinician11,IF(VLOOKUP($C1654,cbal!$J$273:$M$288,K$3,FALSE)=$B1654,cbalR2LOB2AvgBaseProdClinician11,0))</f>
        <v>0</v>
      </c>
      <c r="L1654" s="560">
        <f>IF(VLOOKUP($C1654,cbal!$J$273:$M$288,L$3,FALSE)=$D1654,cbalR2LOB2AvgBaseProdClinician11,IF(VLOOKUP($C1654,cbal!$J$273:$M$288,L$3,FALSE)=$B1654,cbalR2LOB2AvgBaseProdClinician11,0))</f>
        <v>0</v>
      </c>
      <c r="M1654" s="560">
        <f>IF(VLOOKUP($C1654,cbal!$J$273:$M$288,M$3,FALSE)=$D1654,cbalR2LOB2AvgBaseProdClinician11,IF(VLOOKUP($C1654,cbal!$J$273:$M$288,M$3,FALSE)=$B1654,cbalR2LOB2AvgBaseProdClinician11,0))</f>
        <v>0</v>
      </c>
      <c r="N1654" s="131" t="s">
        <v>7120</v>
      </c>
    </row>
    <row r="1655" spans="1:14" ht="12.75" customHeight="1" thickBot="1">
      <c r="A1655" s="478"/>
      <c r="B1655" s="794" t="s">
        <v>8485</v>
      </c>
      <c r="C1655" s="170">
        <v>12</v>
      </c>
      <c r="D1655" s="131" t="s">
        <v>556</v>
      </c>
      <c r="E1655" s="558">
        <f>IF(VLOOKUP($C1655,cbal!$D$273:$G$288,E$3,FALSE)=$D1655,cbalLOB2AvgBaseProdClinician12,IF(VLOOKUP($C1655,cbal!$D$273:$G$288,E$3,FALSE)=$B1655,cbalLOB2AvgBaseProdClinician12,0))</f>
        <v>0</v>
      </c>
      <c r="F1655" s="558">
        <f>IF(VLOOKUP($C1655,cbal!$D$273:$G$288,F$3,FALSE)=$D1655,cbalLOB2AvgBaseProdClinician12,IF(VLOOKUP($C1655,cbal!$D$273:$G$288,F$3,FALSE)=$B1655,cbalLOB2AvgBaseProdClinician12,0))</f>
        <v>0</v>
      </c>
      <c r="G1655" s="558">
        <f>IF(VLOOKUP($C1655,cbal!$D$273:$G$288,G$3,FALSE)=$D1655,cbalLOB2AvgBaseProdClinician12,IF(VLOOKUP($C1655,cbal!$D$273:$G$288,G$3,FALSE)=$B1655,cbalLOB2AvgBaseProdClinician12,0))</f>
        <v>0</v>
      </c>
      <c r="H1655" s="131" t="s">
        <v>2514</v>
      </c>
      <c r="J1655" s="131" t="s">
        <v>556</v>
      </c>
      <c r="K1655" s="560">
        <f>IF(VLOOKUP($C1655,cbal!$J$273:$M$288,K$3,FALSE)=$D1655,cbalR2LOB2AvgBaseProdClinician12,IF(VLOOKUP($C1655,cbal!$J$273:$M$288,K$3,FALSE)=$B1655,cbalR2LOB2AvgBaseProdClinician12,0))</f>
        <v>0</v>
      </c>
      <c r="L1655" s="560">
        <f>IF(VLOOKUP($C1655,cbal!$J$273:$M$288,L$3,FALSE)=$D1655,cbalR2LOB2AvgBaseProdClinician12,IF(VLOOKUP($C1655,cbal!$J$273:$M$288,L$3,FALSE)=$B1655,cbalR2LOB2AvgBaseProdClinician12,0))</f>
        <v>0</v>
      </c>
      <c r="M1655" s="560">
        <f>IF(VLOOKUP($C1655,cbal!$J$273:$M$288,M$3,FALSE)=$D1655,cbalR2LOB2AvgBaseProdClinician12,IF(VLOOKUP($C1655,cbal!$J$273:$M$288,M$3,FALSE)=$B1655,cbalR2LOB2AvgBaseProdClinician12,0))</f>
        <v>0</v>
      </c>
      <c r="N1655" s="131" t="s">
        <v>7121</v>
      </c>
    </row>
    <row r="1656" spans="1:14" ht="12.75" customHeight="1">
      <c r="A1656" s="478"/>
      <c r="B1656" s="460"/>
      <c r="C1656" s="170">
        <v>21</v>
      </c>
      <c r="D1656" s="131" t="s">
        <v>556</v>
      </c>
      <c r="E1656" s="747">
        <f>obalLOB2AvgProdClinician15</f>
        <v>116</v>
      </c>
      <c r="F1656" s="747">
        <f>obalLOB2AvgProdClinician15</f>
        <v>90</v>
      </c>
      <c r="G1656" s="747">
        <f>obalLOB2AvgProdClinician15</f>
        <v>175</v>
      </c>
      <c r="H1656" s="131" t="s">
        <v>4120</v>
      </c>
      <c r="J1656" s="131" t="s">
        <v>556</v>
      </c>
      <c r="K1656" s="747">
        <f>obalR2LOB2AvgProdClinician15</f>
        <v>110.19999999999999</v>
      </c>
      <c r="L1656" s="747">
        <f>obalR2LOB2AvgProdClinician15</f>
        <v>90</v>
      </c>
      <c r="M1656" s="747">
        <f>obalR2LOB2AvgProdClinician15</f>
        <v>175</v>
      </c>
      <c r="N1656" s="131" t="s">
        <v>7122</v>
      </c>
    </row>
    <row r="1657" spans="1:14" ht="1.5" customHeight="1">
      <c r="A1657" s="478"/>
      <c r="B1657" s="460"/>
      <c r="D1657" s="449"/>
      <c r="E1657" s="450"/>
      <c r="F1657" s="450"/>
      <c r="G1657" s="450"/>
      <c r="H1657" s="131"/>
      <c r="J1657" s="449"/>
      <c r="K1657" s="450"/>
      <c r="L1657" s="450"/>
      <c r="M1657" s="450"/>
      <c r="N1657" s="131"/>
    </row>
    <row r="1658" spans="1:14" ht="12.75" customHeight="1">
      <c r="A1658" s="478"/>
      <c r="B1658" s="460"/>
      <c r="D1658" s="131" t="s">
        <v>1622</v>
      </c>
      <c r="E1658" s="448">
        <f>SUM(E1644:E1657)</f>
        <v>184.5</v>
      </c>
      <c r="F1658" s="448">
        <f>SUM(F1644:F1657)</f>
        <v>158.5</v>
      </c>
      <c r="G1658" s="448">
        <f>SUM(G1644:G1657)</f>
        <v>243.5</v>
      </c>
      <c r="H1658" s="131" t="s">
        <v>2515</v>
      </c>
      <c r="J1658" s="131" t="s">
        <v>1622</v>
      </c>
      <c r="K1658" s="448">
        <f>SUM(K1644:K1657)</f>
        <v>178.7</v>
      </c>
      <c r="L1658" s="448">
        <f>SUM(L1644:L1657)</f>
        <v>158.5</v>
      </c>
      <c r="M1658" s="448">
        <f>SUM(M1644:M1657)</f>
        <v>243.5</v>
      </c>
      <c r="N1658" s="131" t="s">
        <v>7123</v>
      </c>
    </row>
    <row r="1659" spans="1:14" ht="12.75" customHeight="1">
      <c r="A1659" s="478"/>
      <c r="B1659" s="460"/>
    </row>
    <row r="1660" spans="1:14" ht="12.75" customHeight="1">
      <c r="A1660" s="478"/>
      <c r="B1660" s="460"/>
      <c r="C1660" s="131" t="s">
        <v>1616</v>
      </c>
    </row>
    <row r="1661" spans="1:14" ht="12.75" customHeight="1">
      <c r="A1661" s="478"/>
      <c r="B1661" s="460"/>
      <c r="C1661" s="170">
        <v>1</v>
      </c>
      <c r="D1661" s="131" t="s">
        <v>556</v>
      </c>
      <c r="E1661" s="452">
        <f>calcLOB2Clinician1Emp3BaseProd/calcLOB2Emp3BaseProdCapacity</f>
        <v>0</v>
      </c>
      <c r="F1661" s="452">
        <f>calcLOB2Clinician1Emp3BaseProd/calcLOB2Emp3BaseProdCapacity</f>
        <v>0</v>
      </c>
      <c r="G1661" s="452">
        <f>calcLOB2Clinician1Emp3BaseProd/calcLOB2Emp3BaseProdCapacity</f>
        <v>0</v>
      </c>
      <c r="H1661" s="131" t="s">
        <v>2516</v>
      </c>
      <c r="J1661" s="131" t="s">
        <v>556</v>
      </c>
      <c r="K1661" s="452">
        <f>calcR2LOB2Clinician1Emp3BaseProd/calcR2LOB2Emp3BaseProdCapacity</f>
        <v>0</v>
      </c>
      <c r="L1661" s="452">
        <f>calcR2LOB2Clinician1Emp3BaseProd/calcR2LOB2Emp3BaseProdCapacity</f>
        <v>0</v>
      </c>
      <c r="M1661" s="452">
        <f>calcR2LOB2Clinician1Emp3BaseProd/calcR2LOB2Emp3BaseProdCapacity</f>
        <v>0</v>
      </c>
      <c r="N1661" s="131" t="s">
        <v>7124</v>
      </c>
    </row>
    <row r="1662" spans="1:14" ht="12.75" customHeight="1">
      <c r="A1662" s="478"/>
      <c r="B1662" s="460"/>
      <c r="C1662" s="170">
        <v>2</v>
      </c>
      <c r="D1662" s="131" t="s">
        <v>556</v>
      </c>
      <c r="E1662" s="452">
        <f>calcLOB2Clinician2Emp3BaseProd/calcLOB2Emp3BaseProdCapacity</f>
        <v>0</v>
      </c>
      <c r="F1662" s="452">
        <f>calcLOB2Clinician2Emp3BaseProd/calcLOB2Emp3BaseProdCapacity</f>
        <v>0</v>
      </c>
      <c r="G1662" s="452">
        <f>calcLOB2Clinician2Emp3BaseProd/calcLOB2Emp3BaseProdCapacity</f>
        <v>0</v>
      </c>
      <c r="H1662" s="131" t="s">
        <v>2517</v>
      </c>
      <c r="J1662" s="131" t="s">
        <v>556</v>
      </c>
      <c r="K1662" s="452">
        <f>calcR2LOB2Clinician2Emp3BaseProd/calcR2LOB2Emp3BaseProdCapacity</f>
        <v>0</v>
      </c>
      <c r="L1662" s="452">
        <f>calcR2LOB2Clinician2Emp3BaseProd/calcR2LOB2Emp3BaseProdCapacity</f>
        <v>0</v>
      </c>
      <c r="M1662" s="452">
        <f>calcR2LOB2Clinician2Emp3BaseProd/calcR2LOB2Emp3BaseProdCapacity</f>
        <v>0</v>
      </c>
      <c r="N1662" s="131" t="s">
        <v>7125</v>
      </c>
    </row>
    <row r="1663" spans="1:14" ht="12.75" customHeight="1">
      <c r="A1663" s="478"/>
      <c r="B1663" s="460"/>
      <c r="C1663" s="170">
        <v>3</v>
      </c>
      <c r="D1663" s="131" t="s">
        <v>556</v>
      </c>
      <c r="E1663" s="452">
        <f>calcLOB2Clinician3Emp3BaseProd/calcLOB2Emp3BaseProdCapacity</f>
        <v>0</v>
      </c>
      <c r="F1663" s="452">
        <f>calcLOB2Clinician3Emp3BaseProd/calcLOB2Emp3BaseProdCapacity</f>
        <v>0</v>
      </c>
      <c r="G1663" s="452">
        <f>calcLOB2Clinician3Emp3BaseProd/calcLOB2Emp3BaseProdCapacity</f>
        <v>0</v>
      </c>
      <c r="H1663" s="131" t="s">
        <v>2518</v>
      </c>
      <c r="J1663" s="131" t="s">
        <v>556</v>
      </c>
      <c r="K1663" s="452">
        <f>calcR2LOB2Clinician3Emp3BaseProd/calcR2LOB2Emp3BaseProdCapacity</f>
        <v>0</v>
      </c>
      <c r="L1663" s="452">
        <f>calcR2LOB2Clinician3Emp3BaseProd/calcR2LOB2Emp3BaseProdCapacity</f>
        <v>0</v>
      </c>
      <c r="M1663" s="452">
        <f>calcR2LOB2Clinician3Emp3BaseProd/calcR2LOB2Emp3BaseProdCapacity</f>
        <v>0</v>
      </c>
      <c r="N1663" s="131" t="s">
        <v>7126</v>
      </c>
    </row>
    <row r="1664" spans="1:14" ht="12.75" customHeight="1">
      <c r="A1664" s="478"/>
      <c r="B1664" s="460"/>
      <c r="C1664" s="170">
        <v>4</v>
      </c>
      <c r="D1664" s="131" t="s">
        <v>556</v>
      </c>
      <c r="E1664" s="452">
        <f>calcLOB2Clinician4Emp3BaseProd/calcLOB2Emp3BaseProdCapacity</f>
        <v>0</v>
      </c>
      <c r="F1664" s="452">
        <f>calcLOB2Clinician4Emp3BaseProd/calcLOB2Emp3BaseProdCapacity</f>
        <v>0</v>
      </c>
      <c r="G1664" s="452">
        <f>calcLOB2Clinician4Emp3BaseProd/calcLOB2Emp3BaseProdCapacity</f>
        <v>0</v>
      </c>
      <c r="H1664" s="131" t="s">
        <v>2519</v>
      </c>
      <c r="J1664" s="131" t="s">
        <v>556</v>
      </c>
      <c r="K1664" s="452">
        <f>calcR2LOB2Clinician4Emp3BaseProd/calcR2LOB2Emp3BaseProdCapacity</f>
        <v>0</v>
      </c>
      <c r="L1664" s="452">
        <f>calcR2LOB2Clinician4Emp3BaseProd/calcR2LOB2Emp3BaseProdCapacity</f>
        <v>0</v>
      </c>
      <c r="M1664" s="452">
        <f>calcR2LOB2Clinician4Emp3BaseProd/calcR2LOB2Emp3BaseProdCapacity</f>
        <v>0</v>
      </c>
      <c r="N1664" s="131" t="s">
        <v>7127</v>
      </c>
    </row>
    <row r="1665" spans="1:14" ht="12.75" customHeight="1">
      <c r="A1665" s="478"/>
      <c r="B1665" s="460"/>
      <c r="C1665" s="170">
        <v>5</v>
      </c>
      <c r="D1665" s="131" t="s">
        <v>556</v>
      </c>
      <c r="E1665" s="452">
        <f>calcLOB2Clinician5Emp3BaseProd/calcLOB2Emp3BaseProdCapacity</f>
        <v>0</v>
      </c>
      <c r="F1665" s="452">
        <f>calcLOB2Clinician5Emp3BaseProd/calcLOB2Emp3BaseProdCapacity</f>
        <v>0</v>
      </c>
      <c r="G1665" s="452">
        <f>calcLOB2Clinician5Emp3BaseProd/calcLOB2Emp3BaseProdCapacity</f>
        <v>0</v>
      </c>
      <c r="H1665" s="131" t="s">
        <v>2520</v>
      </c>
      <c r="J1665" s="131" t="s">
        <v>556</v>
      </c>
      <c r="K1665" s="452">
        <f>calcR2LOB2Clinician5Emp3BaseProd/calcR2LOB2Emp3BaseProdCapacity</f>
        <v>0</v>
      </c>
      <c r="L1665" s="452">
        <f>calcR2LOB2Clinician5Emp3BaseProd/calcR2LOB2Emp3BaseProdCapacity</f>
        <v>0</v>
      </c>
      <c r="M1665" s="452">
        <f>calcR2LOB2Clinician5Emp3BaseProd/calcR2LOB2Emp3BaseProdCapacity</f>
        <v>0</v>
      </c>
      <c r="N1665" s="131" t="s">
        <v>7128</v>
      </c>
    </row>
    <row r="1666" spans="1:14" ht="12.75" customHeight="1">
      <c r="A1666" s="478"/>
      <c r="B1666" s="460"/>
      <c r="C1666" s="170">
        <v>6</v>
      </c>
      <c r="D1666" s="131" t="s">
        <v>556</v>
      </c>
      <c r="E1666" s="452">
        <f>calcLOB2Clinician6Emp3BaseProd/calcLOB2Emp3BaseProdCapacity</f>
        <v>0</v>
      </c>
      <c r="F1666" s="452">
        <f>calcLOB2Clinician6Emp3BaseProd/calcLOB2Emp3BaseProdCapacity</f>
        <v>0</v>
      </c>
      <c r="G1666" s="452">
        <f>calcLOB2Clinician6Emp3BaseProd/calcLOB2Emp3BaseProdCapacity</f>
        <v>0</v>
      </c>
      <c r="H1666" s="131" t="s">
        <v>2521</v>
      </c>
      <c r="J1666" s="131" t="s">
        <v>556</v>
      </c>
      <c r="K1666" s="452">
        <f>calcR2LOB2Clinician6Emp3BaseProd/calcR2LOB2Emp3BaseProdCapacity</f>
        <v>0</v>
      </c>
      <c r="L1666" s="452">
        <f>calcR2LOB2Clinician6Emp3BaseProd/calcR2LOB2Emp3BaseProdCapacity</f>
        <v>0</v>
      </c>
      <c r="M1666" s="452">
        <f>calcR2LOB2Clinician6Emp3BaseProd/calcR2LOB2Emp3BaseProdCapacity</f>
        <v>0</v>
      </c>
      <c r="N1666" s="131" t="s">
        <v>7129</v>
      </c>
    </row>
    <row r="1667" spans="1:14" ht="12.75" customHeight="1">
      <c r="A1667" s="478"/>
      <c r="B1667" s="460"/>
      <c r="C1667" s="170">
        <v>7</v>
      </c>
      <c r="D1667" s="131" t="s">
        <v>556</v>
      </c>
      <c r="E1667" s="452">
        <f>calcLOB2Clinician7Emp3BaseProd/calcLOB2Emp3BaseProdCapacity</f>
        <v>0.15176151761517614</v>
      </c>
      <c r="F1667" s="452">
        <f>calcLOB2Clinician7Emp3BaseProd/calcLOB2Emp3BaseProdCapacity</f>
        <v>0.17665615141955837</v>
      </c>
      <c r="G1667" s="452">
        <f>calcLOB2Clinician7Emp3BaseProd/calcLOB2Emp3BaseProdCapacity</f>
        <v>0.11498973305954825</v>
      </c>
      <c r="H1667" s="131" t="s">
        <v>2522</v>
      </c>
      <c r="J1667" s="131" t="s">
        <v>556</v>
      </c>
      <c r="K1667" s="452">
        <f>calcR2LOB2Clinician7Emp3BaseProd/calcR2LOB2Emp3BaseProdCapacity</f>
        <v>0.15668718522663683</v>
      </c>
      <c r="L1667" s="452">
        <f>calcR2LOB2Clinician7Emp3BaseProd/calcR2LOB2Emp3BaseProdCapacity</f>
        <v>0.17665615141955837</v>
      </c>
      <c r="M1667" s="452">
        <f>calcR2LOB2Clinician7Emp3BaseProd/calcR2LOB2Emp3BaseProdCapacity</f>
        <v>0.11498973305954825</v>
      </c>
      <c r="N1667" s="131" t="s">
        <v>7130</v>
      </c>
    </row>
    <row r="1668" spans="1:14" ht="12.75" customHeight="1">
      <c r="A1668" s="478"/>
      <c r="B1668" s="460"/>
      <c r="C1668" s="170">
        <v>8</v>
      </c>
      <c r="D1668" s="131" t="s">
        <v>556</v>
      </c>
      <c r="E1668" s="452">
        <f>calcLOB2Clinician8Emp3BaseProd/calcLOB2Emp3BaseProdCapacity</f>
        <v>0.15176151761517614</v>
      </c>
      <c r="F1668" s="452">
        <f>calcLOB2Clinician8Emp3BaseProd/calcLOB2Emp3BaseProdCapacity</f>
        <v>0.17665615141955837</v>
      </c>
      <c r="G1668" s="452">
        <f>calcLOB2Clinician8Emp3BaseProd/calcLOB2Emp3BaseProdCapacity</f>
        <v>0.11498973305954825</v>
      </c>
      <c r="H1668" s="131" t="s">
        <v>2523</v>
      </c>
      <c r="J1668" s="131" t="s">
        <v>556</v>
      </c>
      <c r="K1668" s="452">
        <f>calcR2LOB2Clinician8Emp3BaseProd/calcR2LOB2Emp3BaseProdCapacity</f>
        <v>0.15668718522663683</v>
      </c>
      <c r="L1668" s="452">
        <f>calcR2LOB2Clinician8Emp3BaseProd/calcR2LOB2Emp3BaseProdCapacity</f>
        <v>0.17665615141955837</v>
      </c>
      <c r="M1668" s="452">
        <f>calcR2LOB2Clinician8Emp3BaseProd/calcR2LOB2Emp3BaseProdCapacity</f>
        <v>0.11498973305954825</v>
      </c>
      <c r="N1668" s="131" t="s">
        <v>7131</v>
      </c>
    </row>
    <row r="1669" spans="1:14" ht="12.75" customHeight="1">
      <c r="A1669" s="478"/>
      <c r="B1669" s="460"/>
      <c r="C1669" s="170">
        <v>9</v>
      </c>
      <c r="D1669" s="131" t="s">
        <v>556</v>
      </c>
      <c r="E1669" s="452">
        <f>calcLOB2Clinician9Emp3BaseProd/calcLOB2Emp3BaseProdCapacity</f>
        <v>6.7750677506775062E-2</v>
      </c>
      <c r="F1669" s="452">
        <f>calcLOB2Clinician9Emp3BaseProd/calcLOB2Emp3BaseProdCapacity</f>
        <v>7.8864353312302835E-2</v>
      </c>
      <c r="G1669" s="452">
        <f>calcLOB2Clinician9Emp3BaseProd/calcLOB2Emp3BaseProdCapacity</f>
        <v>5.1334702258726897E-2</v>
      </c>
      <c r="H1669" s="131" t="s">
        <v>2524</v>
      </c>
      <c r="J1669" s="131" t="s">
        <v>556</v>
      </c>
      <c r="K1669" s="452">
        <f>calcR2LOB2Clinician9Emp3BaseProd/calcR2LOB2Emp3BaseProdCapacity</f>
        <v>6.9949636261891449E-2</v>
      </c>
      <c r="L1669" s="452">
        <f>calcR2LOB2Clinician9Emp3BaseProd/calcR2LOB2Emp3BaseProdCapacity</f>
        <v>7.8864353312302835E-2</v>
      </c>
      <c r="M1669" s="452">
        <f>calcR2LOB2Clinician9Emp3BaseProd/calcR2LOB2Emp3BaseProdCapacity</f>
        <v>5.1334702258726897E-2</v>
      </c>
      <c r="N1669" s="131" t="s">
        <v>7132</v>
      </c>
    </row>
    <row r="1670" spans="1:14" ht="12.75" customHeight="1">
      <c r="A1670" s="478"/>
      <c r="B1670" s="460"/>
      <c r="C1670" s="170">
        <v>10</v>
      </c>
      <c r="D1670" s="131" t="s">
        <v>556</v>
      </c>
      <c r="E1670" s="452">
        <f>calcLOB2Clinician10Emp3BaseProd/calcLOB2Emp3BaseProdCapacity</f>
        <v>0</v>
      </c>
      <c r="F1670" s="452">
        <f>calcLOB2Clinician10Emp3BaseProd/calcLOB2Emp3BaseProdCapacity</f>
        <v>0</v>
      </c>
      <c r="G1670" s="452">
        <f>calcLOB2Clinician10Emp3BaseProd/calcLOB2Emp3BaseProdCapacity</f>
        <v>0</v>
      </c>
      <c r="H1670" s="131" t="s">
        <v>2525</v>
      </c>
      <c r="J1670" s="131" t="s">
        <v>556</v>
      </c>
      <c r="K1670" s="452">
        <f>calcR2LOB2Clinician10Emp3BaseProd/calcR2LOB2Emp3BaseProdCapacity</f>
        <v>0</v>
      </c>
      <c r="L1670" s="452">
        <f>calcR2LOB2Clinician10Emp3BaseProd/calcR2LOB2Emp3BaseProdCapacity</f>
        <v>0</v>
      </c>
      <c r="M1670" s="452">
        <f>calcR2LOB2Clinician10Emp3BaseProd/calcR2LOB2Emp3BaseProdCapacity</f>
        <v>0</v>
      </c>
      <c r="N1670" s="131" t="s">
        <v>7133</v>
      </c>
    </row>
    <row r="1671" spans="1:14" ht="12.75" customHeight="1">
      <c r="A1671" s="478"/>
      <c r="B1671" s="460"/>
      <c r="C1671" s="170">
        <v>11</v>
      </c>
      <c r="D1671" s="131" t="s">
        <v>556</v>
      </c>
      <c r="E1671" s="452">
        <f>calcLOB2Clinician11Emp3BaseProd/calcLOB2Emp3BaseProdCapacity</f>
        <v>0</v>
      </c>
      <c r="F1671" s="452">
        <f>calcLOB2Clinician11Emp3BaseProd/calcLOB2Emp3BaseProdCapacity</f>
        <v>0</v>
      </c>
      <c r="G1671" s="452">
        <f>calcLOB2Clinician11Emp3BaseProd/calcLOB2Emp3BaseProdCapacity</f>
        <v>0</v>
      </c>
      <c r="H1671" s="131" t="s">
        <v>2526</v>
      </c>
      <c r="J1671" s="131" t="s">
        <v>556</v>
      </c>
      <c r="K1671" s="452">
        <f>calcR2LOB2Clinician11Emp3BaseProd/calcR2LOB2Emp3BaseProdCapacity</f>
        <v>0</v>
      </c>
      <c r="L1671" s="452">
        <f>calcR2LOB2Clinician11Emp3BaseProd/calcR2LOB2Emp3BaseProdCapacity</f>
        <v>0</v>
      </c>
      <c r="M1671" s="452">
        <f>calcR2LOB2Clinician11Emp3BaseProd/calcR2LOB2Emp3BaseProdCapacity</f>
        <v>0</v>
      </c>
      <c r="N1671" s="131" t="s">
        <v>7134</v>
      </c>
    </row>
    <row r="1672" spans="1:14" ht="12.75" customHeight="1">
      <c r="A1672" s="478"/>
      <c r="B1672" s="460"/>
      <c r="C1672" s="170">
        <v>12</v>
      </c>
      <c r="D1672" s="131" t="s">
        <v>556</v>
      </c>
      <c r="E1672" s="452">
        <f>calcLOB2Clinician12Emp3BaseProd/calcLOB2Emp3BaseProdCapacity</f>
        <v>0</v>
      </c>
      <c r="F1672" s="452">
        <f>calcLOB2Clinician12Emp3BaseProd/calcLOB2Emp3BaseProdCapacity</f>
        <v>0</v>
      </c>
      <c r="G1672" s="452">
        <f>calcLOB2Clinician12Emp3BaseProd/calcLOB2Emp3BaseProdCapacity</f>
        <v>0</v>
      </c>
      <c r="H1672" s="131" t="s">
        <v>2527</v>
      </c>
      <c r="J1672" s="131" t="s">
        <v>556</v>
      </c>
      <c r="K1672" s="452">
        <f>calcR2LOB2Clinician12Emp3BaseProd/calcR2LOB2Emp3BaseProdCapacity</f>
        <v>0</v>
      </c>
      <c r="L1672" s="452">
        <f>calcR2LOB2Clinician12Emp3BaseProd/calcR2LOB2Emp3BaseProdCapacity</f>
        <v>0</v>
      </c>
      <c r="M1672" s="452">
        <f>calcR2LOB2Clinician12Emp3BaseProd/calcR2LOB2Emp3BaseProdCapacity</f>
        <v>0</v>
      </c>
      <c r="N1672" s="131" t="s">
        <v>7135</v>
      </c>
    </row>
    <row r="1673" spans="1:14" ht="12.75" customHeight="1">
      <c r="A1673" s="478"/>
      <c r="B1673" s="460"/>
      <c r="D1673" s="131" t="s">
        <v>556</v>
      </c>
      <c r="E1673" s="452">
        <f>calcLOB2Clinician15Emp3BaseProd/calcLOB2Emp3BaseProdCapacity</f>
        <v>0.62872628726287261</v>
      </c>
      <c r="F1673" s="452">
        <f>calcLOB2Clinician15Emp3BaseProd/calcLOB2Emp3BaseProdCapacity</f>
        <v>0.56782334384858046</v>
      </c>
      <c r="G1673" s="452">
        <f>calcLOB2Clinician15Emp3BaseProd/calcLOB2Emp3BaseProdCapacity</f>
        <v>0.71868583162217659</v>
      </c>
      <c r="H1673" s="131" t="s">
        <v>4121</v>
      </c>
      <c r="J1673" s="131" t="s">
        <v>556</v>
      </c>
      <c r="K1673" s="452">
        <f>calcR2LOB2Clinician15Emp3BaseProd/calcR2LOB2Emp3BaseProdCapacity</f>
        <v>0.61667599328483491</v>
      </c>
      <c r="L1673" s="452">
        <f>calcR2LOB2Clinician15Emp3BaseProd/calcR2LOB2Emp3BaseProdCapacity</f>
        <v>0.56782334384858046</v>
      </c>
      <c r="M1673" s="452">
        <f>calcR2LOB2Clinician15Emp3BaseProd/calcR2LOB2Emp3BaseProdCapacity</f>
        <v>0.71868583162217659</v>
      </c>
      <c r="N1673" s="131" t="s">
        <v>7136</v>
      </c>
    </row>
    <row r="1674" spans="1:14" ht="12.75" customHeight="1">
      <c r="A1674" s="478"/>
      <c r="B1674" s="460"/>
      <c r="D1674" s="131"/>
      <c r="E1674" s="452"/>
      <c r="F1674" s="452"/>
      <c r="G1674" s="452"/>
      <c r="H1674" s="131"/>
      <c r="J1674" s="131"/>
      <c r="K1674" s="452"/>
      <c r="L1674" s="452"/>
      <c r="M1674" s="452"/>
      <c r="N1674" s="131"/>
    </row>
    <row r="1675" spans="1:14" ht="12.75" customHeight="1">
      <c r="A1675" s="478"/>
      <c r="B1675" s="460"/>
      <c r="C1675" s="131" t="s">
        <v>3589</v>
      </c>
    </row>
    <row r="1676" spans="1:14" ht="12.75" customHeight="1">
      <c r="A1676" s="478"/>
      <c r="B1676" s="460"/>
      <c r="C1676" s="170">
        <v>1</v>
      </c>
      <c r="D1676" s="131" t="s">
        <v>556</v>
      </c>
      <c r="E1676" s="453">
        <f>calcLOB2Emp3Visits/paramWorkWeeksPYear*calcLOB2Clinician1Emp3AllowPerc</f>
        <v>0</v>
      </c>
      <c r="F1676" s="453">
        <f>calcLOB2Emp3Visits/paramWorkWeeksPYear*calcLOB2Clinician1Emp3AllowPerc</f>
        <v>0</v>
      </c>
      <c r="G1676" s="453">
        <f>calcLOB2Emp3Visits/paramWorkWeeksPYear*calcLOB2Clinician1Emp3AllowPerc</f>
        <v>0</v>
      </c>
      <c r="H1676" s="131" t="s">
        <v>3663</v>
      </c>
      <c r="J1676" s="131" t="s">
        <v>556</v>
      </c>
      <c r="K1676" s="453">
        <f>calcR2LOB2Emp3Visits/paramR2WorkWeeksPYear*calcR2LOB2Clinician1Emp3AllowPerc</f>
        <v>0</v>
      </c>
      <c r="L1676" s="453">
        <f>calcR2LOB2Emp3Visits/paramR2WorkWeeksPYear*calcR2LOB2Clinician1Emp3AllowPerc</f>
        <v>0</v>
      </c>
      <c r="M1676" s="453">
        <f>calcR2LOB2Emp3Visits/paramR2WorkWeeksPYear*calcR2LOB2Clinician1Emp3AllowPerc</f>
        <v>0</v>
      </c>
      <c r="N1676" s="131" t="s">
        <v>7137</v>
      </c>
    </row>
    <row r="1677" spans="1:14" ht="12.75" customHeight="1">
      <c r="A1677" s="478"/>
      <c r="B1677" s="460"/>
      <c r="C1677" s="170">
        <v>2</v>
      </c>
      <c r="D1677" s="131" t="s">
        <v>556</v>
      </c>
      <c r="E1677" s="453">
        <f>calcLOB2Emp3Visits/paramWorkWeeksPYear*calcLOB2Clinician2Emp3AllowPerc</f>
        <v>0</v>
      </c>
      <c r="F1677" s="453">
        <f>calcLOB2Emp3Visits/paramWorkWeeksPYear*calcLOB2Clinician2Emp3AllowPerc</f>
        <v>0</v>
      </c>
      <c r="G1677" s="453">
        <f>calcLOB2Emp3Visits/paramWorkWeeksPYear*calcLOB2Clinician2Emp3AllowPerc</f>
        <v>0</v>
      </c>
      <c r="H1677" s="131" t="s">
        <v>3664</v>
      </c>
      <c r="J1677" s="131" t="s">
        <v>556</v>
      </c>
      <c r="K1677" s="453">
        <f>calcR2LOB2Emp3Visits/paramR2WorkWeeksPYear*calcR2LOB2Clinician2Emp3AllowPerc</f>
        <v>0</v>
      </c>
      <c r="L1677" s="453">
        <f>calcR2LOB2Emp3Visits/paramR2WorkWeeksPYear*calcR2LOB2Clinician2Emp3AllowPerc</f>
        <v>0</v>
      </c>
      <c r="M1677" s="453">
        <f>calcR2LOB2Emp3Visits/paramR2WorkWeeksPYear*calcR2LOB2Clinician2Emp3AllowPerc</f>
        <v>0</v>
      </c>
      <c r="N1677" s="131" t="s">
        <v>7138</v>
      </c>
    </row>
    <row r="1678" spans="1:14" ht="12.75" customHeight="1">
      <c r="A1678" s="478"/>
      <c r="B1678" s="460"/>
      <c r="C1678" s="170">
        <v>3</v>
      </c>
      <c r="D1678" s="131" t="s">
        <v>556</v>
      </c>
      <c r="E1678" s="453">
        <f>calcLOB2Emp3Visits/paramWorkWeeksPYear*calcLOB2Clinician3Emp3AllowPerc</f>
        <v>0</v>
      </c>
      <c r="F1678" s="453">
        <f>calcLOB2Emp3Visits/paramWorkWeeksPYear*calcLOB2Clinician3Emp3AllowPerc</f>
        <v>0</v>
      </c>
      <c r="G1678" s="453">
        <f>calcLOB2Emp3Visits/paramWorkWeeksPYear*calcLOB2Clinician3Emp3AllowPerc</f>
        <v>0</v>
      </c>
      <c r="H1678" s="131" t="s">
        <v>3665</v>
      </c>
      <c r="J1678" s="131" t="s">
        <v>556</v>
      </c>
      <c r="K1678" s="453">
        <f>calcR2LOB2Emp3Visits/paramR2WorkWeeksPYear*calcR2LOB2Clinician3Emp3AllowPerc</f>
        <v>0</v>
      </c>
      <c r="L1678" s="453">
        <f>calcR2LOB2Emp3Visits/paramR2WorkWeeksPYear*calcR2LOB2Clinician3Emp3AllowPerc</f>
        <v>0</v>
      </c>
      <c r="M1678" s="453">
        <f>calcR2LOB2Emp3Visits/paramR2WorkWeeksPYear*calcR2LOB2Clinician3Emp3AllowPerc</f>
        <v>0</v>
      </c>
      <c r="N1678" s="131" t="s">
        <v>7139</v>
      </c>
    </row>
    <row r="1679" spans="1:14" ht="12.75" customHeight="1">
      <c r="A1679" s="478"/>
      <c r="B1679" s="460"/>
      <c r="C1679" s="170">
        <v>4</v>
      </c>
      <c r="D1679" s="131" t="s">
        <v>556</v>
      </c>
      <c r="E1679" s="453">
        <f>calcLOB2Emp3Visits/paramWorkWeeksPYear*calcLOB2Clinician4Emp3AllowPerc</f>
        <v>0</v>
      </c>
      <c r="F1679" s="453">
        <f>calcLOB2Emp3Visits/paramWorkWeeksPYear*calcLOB2Clinician4Emp3AllowPerc</f>
        <v>0</v>
      </c>
      <c r="G1679" s="453">
        <f>calcLOB2Emp3Visits/paramWorkWeeksPYear*calcLOB2Clinician4Emp3AllowPerc</f>
        <v>0</v>
      </c>
      <c r="H1679" s="131" t="s">
        <v>3666</v>
      </c>
      <c r="J1679" s="131" t="s">
        <v>556</v>
      </c>
      <c r="K1679" s="453">
        <f>calcR2LOB2Emp3Visits/paramR2WorkWeeksPYear*calcR2LOB2Clinician4Emp3AllowPerc</f>
        <v>0</v>
      </c>
      <c r="L1679" s="453">
        <f>calcR2LOB2Emp3Visits/paramR2WorkWeeksPYear*calcR2LOB2Clinician4Emp3AllowPerc</f>
        <v>0</v>
      </c>
      <c r="M1679" s="453">
        <f>calcR2LOB2Emp3Visits/paramR2WorkWeeksPYear*calcR2LOB2Clinician4Emp3AllowPerc</f>
        <v>0</v>
      </c>
      <c r="N1679" s="131" t="s">
        <v>7140</v>
      </c>
    </row>
    <row r="1680" spans="1:14" ht="12.75" customHeight="1">
      <c r="A1680" s="478"/>
      <c r="B1680" s="460"/>
      <c r="C1680" s="170">
        <v>5</v>
      </c>
      <c r="D1680" s="131" t="s">
        <v>556</v>
      </c>
      <c r="E1680" s="453">
        <f>calcLOB2Emp3Visits/paramWorkWeeksPYear*calcLOB2Clinician5Emp3AllowPerc</f>
        <v>0</v>
      </c>
      <c r="F1680" s="453">
        <f>calcLOB2Emp3Visits/paramWorkWeeksPYear*calcLOB2Clinician5Emp3AllowPerc</f>
        <v>0</v>
      </c>
      <c r="G1680" s="453">
        <f>calcLOB2Emp3Visits/paramWorkWeeksPYear*calcLOB2Clinician5Emp3AllowPerc</f>
        <v>0</v>
      </c>
      <c r="H1680" s="131" t="s">
        <v>3667</v>
      </c>
      <c r="J1680" s="131" t="s">
        <v>556</v>
      </c>
      <c r="K1680" s="453">
        <f>calcR2LOB2Emp3Visits/paramR2WorkWeeksPYear*calcR2LOB2Clinician5Emp3AllowPerc</f>
        <v>0</v>
      </c>
      <c r="L1680" s="453">
        <f>calcR2LOB2Emp3Visits/paramR2WorkWeeksPYear*calcR2LOB2Clinician5Emp3AllowPerc</f>
        <v>0</v>
      </c>
      <c r="M1680" s="453">
        <f>calcR2LOB2Emp3Visits/paramR2WorkWeeksPYear*calcR2LOB2Clinician5Emp3AllowPerc</f>
        <v>0</v>
      </c>
      <c r="N1680" s="131" t="s">
        <v>7141</v>
      </c>
    </row>
    <row r="1681" spans="1:14" ht="12.75" customHeight="1">
      <c r="A1681" s="478"/>
      <c r="B1681" s="460"/>
      <c r="C1681" s="170">
        <v>6</v>
      </c>
      <c r="D1681" s="131" t="s">
        <v>556</v>
      </c>
      <c r="E1681" s="453">
        <f>calcLOB2Emp3Visits/paramWorkWeeksPYear*calcLOB2Clinician6Emp3AllowPerc</f>
        <v>0</v>
      </c>
      <c r="F1681" s="453">
        <f>calcLOB2Emp3Visits/paramWorkWeeksPYear*calcLOB2Clinician6Emp3AllowPerc</f>
        <v>0</v>
      </c>
      <c r="G1681" s="453">
        <f>calcLOB2Emp3Visits/paramWorkWeeksPYear*calcLOB2Clinician6Emp3AllowPerc</f>
        <v>0</v>
      </c>
      <c r="H1681" s="131" t="s">
        <v>3668</v>
      </c>
      <c r="J1681" s="131" t="s">
        <v>556</v>
      </c>
      <c r="K1681" s="453">
        <f>calcR2LOB2Emp3Visits/paramR2WorkWeeksPYear*calcR2LOB2Clinician6Emp3AllowPerc</f>
        <v>0</v>
      </c>
      <c r="L1681" s="453">
        <f>calcR2LOB2Emp3Visits/paramR2WorkWeeksPYear*calcR2LOB2Clinician6Emp3AllowPerc</f>
        <v>0</v>
      </c>
      <c r="M1681" s="453">
        <f>calcR2LOB2Emp3Visits/paramR2WorkWeeksPYear*calcR2LOB2Clinician6Emp3AllowPerc</f>
        <v>0</v>
      </c>
      <c r="N1681" s="131" t="s">
        <v>7142</v>
      </c>
    </row>
    <row r="1682" spans="1:14" ht="12.75" customHeight="1">
      <c r="A1682" s="478"/>
      <c r="B1682" s="460"/>
      <c r="C1682" s="170">
        <v>7</v>
      </c>
      <c r="D1682" s="131" t="s">
        <v>556</v>
      </c>
      <c r="E1682" s="453">
        <f>calcLOB2Emp3Visits/paramWorkWeeksPYear*calcLOB2Clinician7Emp3AllowPerc</f>
        <v>28.531165311653115</v>
      </c>
      <c r="F1682" s="453">
        <f>calcLOB2Emp3Visits/paramWorkWeeksPYear*calcLOB2Clinician7Emp3AllowPerc</f>
        <v>25.438485804416406</v>
      </c>
      <c r="G1682" s="453">
        <f>calcLOB2Emp3Visits/paramWorkWeeksPYear*calcLOB2Clinician7Emp3AllowPerc</f>
        <v>33.002053388090346</v>
      </c>
      <c r="H1682" s="131" t="s">
        <v>3669</v>
      </c>
      <c r="J1682" s="131" t="s">
        <v>556</v>
      </c>
      <c r="K1682" s="453">
        <f>calcR2LOB2Emp3Visits/paramR2WorkWeeksPYear*calcR2LOB2Clinician7Emp3AllowPerc</f>
        <v>30.710688304420817</v>
      </c>
      <c r="L1682" s="453">
        <f>calcR2LOB2Emp3Visits/paramR2WorkWeeksPYear*calcR2LOB2Clinician7Emp3AllowPerc</f>
        <v>25.438485804416406</v>
      </c>
      <c r="M1682" s="453">
        <f>calcR2LOB2Emp3Visits/paramR2WorkWeeksPYear*calcR2LOB2Clinician7Emp3AllowPerc</f>
        <v>33.002053388090346</v>
      </c>
      <c r="N1682" s="131" t="s">
        <v>7143</v>
      </c>
    </row>
    <row r="1683" spans="1:14" ht="12.75" customHeight="1">
      <c r="A1683" s="478"/>
      <c r="B1683" s="460"/>
      <c r="C1683" s="170">
        <v>8</v>
      </c>
      <c r="D1683" s="131" t="s">
        <v>556</v>
      </c>
      <c r="E1683" s="453">
        <f>calcLOB2Emp3Visits/paramWorkWeeksPYear*calcLOB2Clinician8Emp3AllowPerc</f>
        <v>28.531165311653115</v>
      </c>
      <c r="F1683" s="453">
        <f>calcLOB2Emp3Visits/paramWorkWeeksPYear*calcLOB2Clinician8Emp3AllowPerc</f>
        <v>25.438485804416406</v>
      </c>
      <c r="G1683" s="453">
        <f>calcLOB2Emp3Visits/paramWorkWeeksPYear*calcLOB2Clinician8Emp3AllowPerc</f>
        <v>33.002053388090346</v>
      </c>
      <c r="H1683" s="131" t="s">
        <v>3670</v>
      </c>
      <c r="J1683" s="131" t="s">
        <v>556</v>
      </c>
      <c r="K1683" s="453">
        <f>calcR2LOB2Emp3Visits/paramR2WorkWeeksPYear*calcR2LOB2Clinician8Emp3AllowPerc</f>
        <v>30.710688304420817</v>
      </c>
      <c r="L1683" s="453">
        <f>calcR2LOB2Emp3Visits/paramR2WorkWeeksPYear*calcR2LOB2Clinician8Emp3AllowPerc</f>
        <v>25.438485804416406</v>
      </c>
      <c r="M1683" s="453">
        <f>calcR2LOB2Emp3Visits/paramR2WorkWeeksPYear*calcR2LOB2Clinician8Emp3AllowPerc</f>
        <v>33.002053388090346</v>
      </c>
      <c r="N1683" s="131" t="s">
        <v>7144</v>
      </c>
    </row>
    <row r="1684" spans="1:14" ht="12.75" customHeight="1">
      <c r="A1684" s="478"/>
      <c r="B1684" s="460"/>
      <c r="C1684" s="170">
        <v>9</v>
      </c>
      <c r="D1684" s="131" t="s">
        <v>556</v>
      </c>
      <c r="E1684" s="453">
        <f>calcLOB2Emp3Visits/paramWorkWeeksPYear*calcLOB2Clinician9Emp3AllowPerc</f>
        <v>12.737127371273711</v>
      </c>
      <c r="F1684" s="453">
        <f>calcLOB2Emp3Visits/paramWorkWeeksPYear*calcLOB2Clinician9Emp3AllowPerc</f>
        <v>11.356466876971608</v>
      </c>
      <c r="G1684" s="453">
        <f>calcLOB2Emp3Visits/paramWorkWeeksPYear*calcLOB2Clinician9Emp3AllowPerc</f>
        <v>14.733059548254619</v>
      </c>
      <c r="H1684" s="131" t="s">
        <v>3671</v>
      </c>
      <c r="J1684" s="131" t="s">
        <v>556</v>
      </c>
      <c r="K1684" s="453">
        <f>calcR2LOB2Emp3Visits/paramR2WorkWeeksPYear*calcR2LOB2Clinician9Emp3AllowPerc</f>
        <v>13.710128707330725</v>
      </c>
      <c r="L1684" s="453">
        <f>calcR2LOB2Emp3Visits/paramR2WorkWeeksPYear*calcR2LOB2Clinician9Emp3AllowPerc</f>
        <v>11.356466876971608</v>
      </c>
      <c r="M1684" s="453">
        <f>calcR2LOB2Emp3Visits/paramR2WorkWeeksPYear*calcR2LOB2Clinician9Emp3AllowPerc</f>
        <v>14.733059548254619</v>
      </c>
      <c r="N1684" s="131" t="s">
        <v>7145</v>
      </c>
    </row>
    <row r="1685" spans="1:14" ht="12.75" customHeight="1">
      <c r="A1685" s="478"/>
      <c r="B1685" s="460"/>
      <c r="C1685" s="170">
        <v>10</v>
      </c>
      <c r="D1685" s="131" t="s">
        <v>556</v>
      </c>
      <c r="E1685" s="453">
        <f>calcLOB2Emp3Visits/paramWorkWeeksPYear*calcLOB2Clinician10Emp3AllowPerc</f>
        <v>0</v>
      </c>
      <c r="F1685" s="453">
        <f>calcLOB2Emp3Visits/paramWorkWeeksPYear*calcLOB2Clinician10Emp3AllowPerc</f>
        <v>0</v>
      </c>
      <c r="G1685" s="453">
        <f>calcLOB2Emp3Visits/paramWorkWeeksPYear*calcLOB2Clinician10Emp3AllowPerc</f>
        <v>0</v>
      </c>
      <c r="H1685" s="131" t="s">
        <v>3672</v>
      </c>
      <c r="J1685" s="131" t="s">
        <v>556</v>
      </c>
      <c r="K1685" s="453">
        <f>calcR2LOB2Emp3Visits/paramR2WorkWeeksPYear*calcR2LOB2Clinician10Emp3AllowPerc</f>
        <v>0</v>
      </c>
      <c r="L1685" s="453">
        <f>calcR2LOB2Emp3Visits/paramR2WorkWeeksPYear*calcR2LOB2Clinician10Emp3AllowPerc</f>
        <v>0</v>
      </c>
      <c r="M1685" s="453">
        <f>calcR2LOB2Emp3Visits/paramR2WorkWeeksPYear*calcR2LOB2Clinician10Emp3AllowPerc</f>
        <v>0</v>
      </c>
      <c r="N1685" s="131" t="s">
        <v>7146</v>
      </c>
    </row>
    <row r="1686" spans="1:14" ht="12.75" customHeight="1">
      <c r="A1686" s="478"/>
      <c r="B1686" s="460"/>
      <c r="C1686" s="170">
        <v>11</v>
      </c>
      <c r="D1686" s="131" t="s">
        <v>556</v>
      </c>
      <c r="E1686" s="453">
        <f>calcLOB2Emp3Visits/paramWorkWeeksPYear*calcLOB2Clinician11Emp3AllowPerc</f>
        <v>0</v>
      </c>
      <c r="F1686" s="453">
        <f>calcLOB2Emp3Visits/paramWorkWeeksPYear*calcLOB2Clinician11Emp3AllowPerc</f>
        <v>0</v>
      </c>
      <c r="G1686" s="453">
        <f>calcLOB2Emp3Visits/paramWorkWeeksPYear*calcLOB2Clinician11Emp3AllowPerc</f>
        <v>0</v>
      </c>
      <c r="H1686" s="131" t="s">
        <v>3673</v>
      </c>
      <c r="J1686" s="131" t="s">
        <v>556</v>
      </c>
      <c r="K1686" s="453">
        <f>calcR2LOB2Emp3Visits/paramR2WorkWeeksPYear*calcR2LOB2Clinician11Emp3AllowPerc</f>
        <v>0</v>
      </c>
      <c r="L1686" s="453">
        <f>calcR2LOB2Emp3Visits/paramR2WorkWeeksPYear*calcR2LOB2Clinician11Emp3AllowPerc</f>
        <v>0</v>
      </c>
      <c r="M1686" s="453">
        <f>calcR2LOB2Emp3Visits/paramR2WorkWeeksPYear*calcR2LOB2Clinician11Emp3AllowPerc</f>
        <v>0</v>
      </c>
      <c r="N1686" s="131" t="s">
        <v>7147</v>
      </c>
    </row>
    <row r="1687" spans="1:14" ht="12.75" customHeight="1">
      <c r="A1687" s="478"/>
      <c r="B1687" s="460"/>
      <c r="C1687" s="170">
        <v>12</v>
      </c>
      <c r="D1687" s="131" t="s">
        <v>556</v>
      </c>
      <c r="E1687" s="453">
        <f>calcLOB2Emp3Visits/paramWorkWeeksPYear*calcLOB2Clinician12Emp3AllowPerc</f>
        <v>0</v>
      </c>
      <c r="F1687" s="453">
        <f>calcLOB2Emp3Visits/paramWorkWeeksPYear*calcLOB2Clinician12Emp3AllowPerc</f>
        <v>0</v>
      </c>
      <c r="G1687" s="453">
        <f>calcLOB2Emp3Visits/paramWorkWeeksPYear*calcLOB2Clinician12Emp3AllowPerc</f>
        <v>0</v>
      </c>
      <c r="H1687" s="131" t="s">
        <v>3674</v>
      </c>
      <c r="J1687" s="131" t="s">
        <v>556</v>
      </c>
      <c r="K1687" s="453">
        <f>calcR2LOB2Emp3Visits/paramR2WorkWeeksPYear*calcR2LOB2Clinician12Emp3AllowPerc</f>
        <v>0</v>
      </c>
      <c r="L1687" s="453">
        <f>calcR2LOB2Emp3Visits/paramR2WorkWeeksPYear*calcR2LOB2Clinician12Emp3AllowPerc</f>
        <v>0</v>
      </c>
      <c r="M1687" s="453">
        <f>calcR2LOB2Emp3Visits/paramR2WorkWeeksPYear*calcR2LOB2Clinician12Emp3AllowPerc</f>
        <v>0</v>
      </c>
      <c r="N1687" s="131" t="s">
        <v>7148</v>
      </c>
    </row>
    <row r="1688" spans="1:14" ht="12.75" customHeight="1">
      <c r="A1688" s="478"/>
      <c r="B1688" s="460"/>
      <c r="D1688" s="131" t="s">
        <v>556</v>
      </c>
      <c r="E1688" s="453">
        <f>calcLOB2Emp3Visits/paramWorkWeeksPYear*calcLOB2Clinician15Emp3AllowPerc</f>
        <v>118.20054200542005</v>
      </c>
      <c r="F1688" s="453">
        <f>calcLOB2Emp3Visits/paramWorkWeeksPYear*calcLOB2Clinician15Emp3AllowPerc</f>
        <v>81.766561514195587</v>
      </c>
      <c r="G1688" s="453">
        <f>calcLOB2Emp3Visits/paramWorkWeeksPYear*calcLOB2Clinician15Emp3AllowPerc</f>
        <v>206.26283367556468</v>
      </c>
      <c r="H1688" s="131" t="s">
        <v>4122</v>
      </c>
      <c r="J1688" s="131" t="s">
        <v>556</v>
      </c>
      <c r="K1688" s="453">
        <f>calcR2LOB2Emp3Visits/paramR2WorkWeeksPYear*calcR2LOB2Clinician15Emp3AllowPerc</f>
        <v>120.86849468382765</v>
      </c>
      <c r="L1688" s="453">
        <f>calcR2LOB2Emp3Visits/paramR2WorkWeeksPYear*calcR2LOB2Clinician15Emp3AllowPerc</f>
        <v>81.766561514195587</v>
      </c>
      <c r="M1688" s="453">
        <f>calcR2LOB2Emp3Visits/paramR2WorkWeeksPYear*calcR2LOB2Clinician15Emp3AllowPerc</f>
        <v>206.26283367556468</v>
      </c>
      <c r="N1688" s="131" t="s">
        <v>7149</v>
      </c>
    </row>
    <row r="1689" spans="1:14" ht="1.5" customHeight="1">
      <c r="A1689" s="461"/>
      <c r="B1689" s="459"/>
      <c r="D1689" s="449"/>
      <c r="E1689" s="751"/>
      <c r="F1689" s="751"/>
      <c r="G1689" s="751"/>
      <c r="H1689" s="131"/>
      <c r="J1689" s="449"/>
      <c r="K1689" s="450"/>
      <c r="L1689" s="450"/>
      <c r="M1689" s="450"/>
      <c r="N1689" s="131"/>
    </row>
    <row r="1690" spans="1:14" ht="12.75" customHeight="1">
      <c r="A1690" s="461"/>
      <c r="B1690" s="459"/>
      <c r="D1690" s="131" t="s">
        <v>13</v>
      </c>
      <c r="E1690" s="453">
        <f>SUM(E1676:E1689)</f>
        <v>188</v>
      </c>
      <c r="F1690" s="453">
        <f t="shared" ref="F1690" si="210">SUM(F1676:F1689)</f>
        <v>144</v>
      </c>
      <c r="G1690" s="453">
        <f t="shared" ref="G1690" si="211">SUM(G1676:G1689)</f>
        <v>287</v>
      </c>
      <c r="H1690" s="131" t="s">
        <v>8357</v>
      </c>
      <c r="J1690" s="131"/>
      <c r="K1690" s="453">
        <f>SUM(K1676:K1689)</f>
        <v>196</v>
      </c>
      <c r="L1690" s="453">
        <f t="shared" ref="L1690" si="212">SUM(L1676:L1689)</f>
        <v>144</v>
      </c>
      <c r="M1690" s="453">
        <f t="shared" ref="M1690" si="213">SUM(M1676:M1689)</f>
        <v>287</v>
      </c>
      <c r="N1690" s="131" t="s">
        <v>8358</v>
      </c>
    </row>
    <row r="1691" spans="1:14" ht="12.75" customHeight="1">
      <c r="A1691" s="478"/>
      <c r="B1691" s="460"/>
    </row>
    <row r="1692" spans="1:14" ht="12.75" customHeight="1">
      <c r="A1692" s="478"/>
      <c r="B1692" s="460"/>
      <c r="C1692" s="131" t="s">
        <v>3638</v>
      </c>
    </row>
    <row r="1693" spans="1:14" ht="12.75" customHeight="1">
      <c r="A1693" s="478"/>
      <c r="B1693" s="460"/>
      <c r="C1693" s="170">
        <v>1</v>
      </c>
      <c r="D1693" s="131" t="s">
        <v>556</v>
      </c>
      <c r="E1693" s="453">
        <f>decLOB2Cln1WeekProdMod_R1</f>
        <v>0</v>
      </c>
      <c r="F1693" s="453">
        <f>decLOB2Cln1WeekProdMod_R1</f>
        <v>0</v>
      </c>
      <c r="G1693" s="453">
        <f>decLOB2Cln1WeekProdMod_R1</f>
        <v>0</v>
      </c>
      <c r="H1693" s="131" t="s">
        <v>3675</v>
      </c>
      <c r="J1693" s="131" t="s">
        <v>556</v>
      </c>
      <c r="K1693" s="453">
        <f>decLOB2Cln1WeekProdMod_R2</f>
        <v>0</v>
      </c>
      <c r="L1693" s="453">
        <f>decLOB2Cln1WeekProdMod_R2</f>
        <v>0</v>
      </c>
      <c r="M1693" s="453">
        <f>decLOB2Cln1WeekProdMod_R2</f>
        <v>0</v>
      </c>
      <c r="N1693" s="131" t="s">
        <v>7150</v>
      </c>
    </row>
    <row r="1694" spans="1:14" ht="12.75" customHeight="1">
      <c r="A1694" s="478"/>
      <c r="B1694" s="460"/>
      <c r="C1694" s="170">
        <v>2</v>
      </c>
      <c r="D1694" s="131" t="s">
        <v>556</v>
      </c>
      <c r="E1694" s="453">
        <f>decLOB2Cln2WeekProdMod_R1</f>
        <v>0</v>
      </c>
      <c r="F1694" s="453">
        <f>decLOB2Cln2WeekProdMod_R1</f>
        <v>0</v>
      </c>
      <c r="G1694" s="453">
        <f>decLOB2Cln2WeekProdMod_R1</f>
        <v>0</v>
      </c>
      <c r="H1694" s="131" t="s">
        <v>3676</v>
      </c>
      <c r="J1694" s="131" t="s">
        <v>556</v>
      </c>
      <c r="K1694" s="453">
        <f>decLOB2Cln2WeekProdMod_R2</f>
        <v>0</v>
      </c>
      <c r="L1694" s="453">
        <f>decLOB2Cln2WeekProdMod_R2</f>
        <v>0</v>
      </c>
      <c r="M1694" s="453">
        <f>decLOB2Cln2WeekProdMod_R2</f>
        <v>0</v>
      </c>
      <c r="N1694" s="131" t="s">
        <v>7151</v>
      </c>
    </row>
    <row r="1695" spans="1:14" ht="12.75" customHeight="1">
      <c r="A1695" s="478"/>
      <c r="B1695" s="460"/>
      <c r="C1695" s="170">
        <v>3</v>
      </c>
      <c r="D1695" s="131" t="s">
        <v>556</v>
      </c>
      <c r="E1695" s="453">
        <f>decLOB2Cln3WeekProdMod_R1</f>
        <v>0</v>
      </c>
      <c r="F1695" s="453">
        <f>decLOB2Cln3WeekProdMod_R1</f>
        <v>0</v>
      </c>
      <c r="G1695" s="453">
        <f>decLOB2Cln3WeekProdMod_R1</f>
        <v>0</v>
      </c>
      <c r="H1695" s="131" t="s">
        <v>3677</v>
      </c>
      <c r="J1695" s="131" t="s">
        <v>556</v>
      </c>
      <c r="K1695" s="453">
        <f>decLOB2Cln3WeekProdMod_R2</f>
        <v>0</v>
      </c>
      <c r="L1695" s="453">
        <f>decLOB2Cln3WeekProdMod_R2</f>
        <v>0</v>
      </c>
      <c r="M1695" s="453">
        <f>decLOB2Cln3WeekProdMod_R2</f>
        <v>0</v>
      </c>
      <c r="N1695" s="131" t="s">
        <v>7152</v>
      </c>
    </row>
    <row r="1696" spans="1:14" ht="12.75" customHeight="1">
      <c r="A1696" s="478"/>
      <c r="B1696" s="460"/>
      <c r="C1696" s="170">
        <v>4</v>
      </c>
      <c r="D1696" s="131" t="s">
        <v>556</v>
      </c>
      <c r="E1696" s="453">
        <f>decLOB2Cln4WeekProdMod_R1</f>
        <v>0</v>
      </c>
      <c r="F1696" s="453">
        <f>decLOB2Cln4WeekProdMod_R1</f>
        <v>0</v>
      </c>
      <c r="G1696" s="453">
        <f>decLOB2Cln4WeekProdMod_R1</f>
        <v>0</v>
      </c>
      <c r="H1696" s="131" t="s">
        <v>3678</v>
      </c>
      <c r="J1696" s="131" t="s">
        <v>556</v>
      </c>
      <c r="K1696" s="453">
        <f>decLOB2Cln4WeekProdMod_R2</f>
        <v>0</v>
      </c>
      <c r="L1696" s="453">
        <f>decLOB2Cln4WeekProdMod_R2</f>
        <v>0</v>
      </c>
      <c r="M1696" s="453">
        <f>decLOB2Cln4WeekProdMod_R2</f>
        <v>0</v>
      </c>
      <c r="N1696" s="131" t="s">
        <v>7153</v>
      </c>
    </row>
    <row r="1697" spans="1:14" ht="12.75" customHeight="1">
      <c r="A1697" s="478"/>
      <c r="B1697" s="460"/>
      <c r="C1697" s="170">
        <v>5</v>
      </c>
      <c r="D1697" s="131" t="s">
        <v>556</v>
      </c>
      <c r="E1697" s="453">
        <f>decLOB2Cln5WeekProdMod_R1</f>
        <v>0</v>
      </c>
      <c r="F1697" s="453">
        <f>decLOB2Cln5WeekProdMod_R1</f>
        <v>0</v>
      </c>
      <c r="G1697" s="453">
        <f>decLOB2Cln5WeekProdMod_R1</f>
        <v>0</v>
      </c>
      <c r="H1697" s="131" t="s">
        <v>3679</v>
      </c>
      <c r="J1697" s="131" t="s">
        <v>556</v>
      </c>
      <c r="K1697" s="453">
        <f>decLOB2Cln5WeekProdMod_R2</f>
        <v>0</v>
      </c>
      <c r="L1697" s="453">
        <f>decLOB2Cln5WeekProdMod_R2</f>
        <v>0</v>
      </c>
      <c r="M1697" s="453">
        <f>decLOB2Cln5WeekProdMod_R2</f>
        <v>0</v>
      </c>
      <c r="N1697" s="131" t="s">
        <v>7154</v>
      </c>
    </row>
    <row r="1698" spans="1:14" ht="12.75" customHeight="1">
      <c r="A1698" s="478"/>
      <c r="B1698" s="460"/>
      <c r="C1698" s="170">
        <v>6</v>
      </c>
      <c r="D1698" s="131" t="s">
        <v>556</v>
      </c>
      <c r="E1698" s="453">
        <f>decLOB2Cln6WeekProdMod_R1</f>
        <v>0</v>
      </c>
      <c r="F1698" s="453">
        <f>decLOB2Cln6WeekProdMod_R1</f>
        <v>0</v>
      </c>
      <c r="G1698" s="453">
        <f>decLOB2Cln6WeekProdMod_R1</f>
        <v>0</v>
      </c>
      <c r="H1698" s="131" t="s">
        <v>3680</v>
      </c>
      <c r="J1698" s="131" t="s">
        <v>556</v>
      </c>
      <c r="K1698" s="453">
        <f>decLOB2Cln6WeekProdMod_R2</f>
        <v>0</v>
      </c>
      <c r="L1698" s="453">
        <f>decLOB2Cln6WeekProdMod_R2</f>
        <v>0</v>
      </c>
      <c r="M1698" s="453">
        <f>decLOB2Cln6WeekProdMod_R2</f>
        <v>0</v>
      </c>
      <c r="N1698" s="131" t="s">
        <v>7155</v>
      </c>
    </row>
    <row r="1699" spans="1:14" ht="12.75" customHeight="1">
      <c r="A1699" s="478"/>
      <c r="B1699" s="460"/>
      <c r="C1699" s="170">
        <v>7</v>
      </c>
      <c r="D1699" s="131" t="s">
        <v>556</v>
      </c>
      <c r="E1699" s="453">
        <f>decLOB2Cln7WeekProdMod_R1</f>
        <v>0</v>
      </c>
      <c r="F1699" s="453">
        <f>decLOB2Cln7WeekProdMod_R1</f>
        <v>0</v>
      </c>
      <c r="G1699" s="453">
        <f>decLOB2Cln7WeekProdMod_R1</f>
        <v>0</v>
      </c>
      <c r="H1699" s="131" t="s">
        <v>3681</v>
      </c>
      <c r="J1699" s="131" t="s">
        <v>556</v>
      </c>
      <c r="K1699" s="453">
        <f>decLOB2Cln7WeekProdMod_R2</f>
        <v>0</v>
      </c>
      <c r="L1699" s="453">
        <f>decLOB2Cln7WeekProdMod_R2</f>
        <v>0</v>
      </c>
      <c r="M1699" s="453">
        <f>decLOB2Cln7WeekProdMod_R2</f>
        <v>0</v>
      </c>
      <c r="N1699" s="131" t="s">
        <v>7156</v>
      </c>
    </row>
    <row r="1700" spans="1:14" ht="12.75" customHeight="1">
      <c r="A1700" s="478"/>
      <c r="B1700" s="460"/>
      <c r="C1700" s="170">
        <v>8</v>
      </c>
      <c r="D1700" s="131" t="s">
        <v>556</v>
      </c>
      <c r="E1700" s="453">
        <f>decLOB2Cln8WeekProdMod_R1</f>
        <v>0</v>
      </c>
      <c r="F1700" s="453">
        <f>decLOB2Cln8WeekProdMod_R1</f>
        <v>0</v>
      </c>
      <c r="G1700" s="453">
        <f>decLOB2Cln8WeekProdMod_R1</f>
        <v>0</v>
      </c>
      <c r="H1700" s="131" t="s">
        <v>3682</v>
      </c>
      <c r="J1700" s="131" t="s">
        <v>556</v>
      </c>
      <c r="K1700" s="453">
        <f>decLOB2Cln8WeekProdMod_R2</f>
        <v>0</v>
      </c>
      <c r="L1700" s="453">
        <f>decLOB2Cln8WeekProdMod_R2</f>
        <v>0</v>
      </c>
      <c r="M1700" s="453">
        <f>decLOB2Cln8WeekProdMod_R2</f>
        <v>0</v>
      </c>
      <c r="N1700" s="131" t="s">
        <v>7157</v>
      </c>
    </row>
    <row r="1701" spans="1:14" ht="12.75" customHeight="1">
      <c r="A1701" s="478"/>
      <c r="B1701" s="460"/>
      <c r="C1701" s="170">
        <v>9</v>
      </c>
      <c r="D1701" s="131" t="s">
        <v>556</v>
      </c>
      <c r="E1701" s="453">
        <f>decLOB2Cln9WeekProdMod_R1</f>
        <v>0</v>
      </c>
      <c r="F1701" s="453">
        <f>decLOB2Cln9WeekProdMod_R1</f>
        <v>0</v>
      </c>
      <c r="G1701" s="453">
        <f>decLOB2Cln9WeekProdMod_R1</f>
        <v>0</v>
      </c>
      <c r="H1701" s="131" t="s">
        <v>3683</v>
      </c>
      <c r="J1701" s="131" t="s">
        <v>556</v>
      </c>
      <c r="K1701" s="453">
        <f>decLOB2Cln9WeekProdMod_R2</f>
        <v>0</v>
      </c>
      <c r="L1701" s="453">
        <f>decLOB2Cln9WeekProdMod_R2</f>
        <v>0</v>
      </c>
      <c r="M1701" s="453">
        <f>decLOB2Cln9WeekProdMod_R2</f>
        <v>0</v>
      </c>
      <c r="N1701" s="131" t="s">
        <v>7158</v>
      </c>
    </row>
    <row r="1702" spans="1:14" ht="12.75" customHeight="1">
      <c r="A1702" s="478"/>
      <c r="B1702" s="460"/>
      <c r="C1702" s="170">
        <v>10</v>
      </c>
      <c r="D1702" s="131" t="s">
        <v>556</v>
      </c>
      <c r="E1702" s="453">
        <f>decLOB2Cln10WeekProdMod_R1</f>
        <v>0</v>
      </c>
      <c r="F1702" s="453">
        <f>decLOB2Cln10WeekProdMod_R1</f>
        <v>0</v>
      </c>
      <c r="G1702" s="453">
        <f>decLOB2Cln10WeekProdMod_R1</f>
        <v>0</v>
      </c>
      <c r="H1702" s="131" t="s">
        <v>3684</v>
      </c>
      <c r="J1702" s="131" t="s">
        <v>556</v>
      </c>
      <c r="K1702" s="453">
        <f>decLOB2Cln10WeekProdMod_R2</f>
        <v>0</v>
      </c>
      <c r="L1702" s="453">
        <f>decLOB2Cln10WeekProdMod_R2</f>
        <v>0</v>
      </c>
      <c r="M1702" s="453">
        <f>decLOB2Cln10WeekProdMod_R2</f>
        <v>0</v>
      </c>
      <c r="N1702" s="131" t="s">
        <v>7159</v>
      </c>
    </row>
    <row r="1703" spans="1:14" ht="12.75" customHeight="1">
      <c r="A1703" s="478"/>
      <c r="B1703" s="460"/>
      <c r="C1703" s="170">
        <v>11</v>
      </c>
      <c r="D1703" s="131" t="s">
        <v>556</v>
      </c>
      <c r="E1703" s="453">
        <f>decLOB2Cln11WeekProdMod_R1</f>
        <v>0</v>
      </c>
      <c r="F1703" s="453">
        <f>decLOB2Cln11WeekProdMod_R1</f>
        <v>0</v>
      </c>
      <c r="G1703" s="453">
        <f>decLOB2Cln11WeekProdMod_R1</f>
        <v>0</v>
      </c>
      <c r="H1703" s="131" t="s">
        <v>3685</v>
      </c>
      <c r="J1703" s="131" t="s">
        <v>556</v>
      </c>
      <c r="K1703" s="453">
        <f>decLOB2Cln11WeekProdMod_R2</f>
        <v>0</v>
      </c>
      <c r="L1703" s="453">
        <f>decLOB2Cln11WeekProdMod_R2</f>
        <v>0</v>
      </c>
      <c r="M1703" s="453">
        <f>decLOB2Cln11WeekProdMod_R2</f>
        <v>0</v>
      </c>
      <c r="N1703" s="131" t="s">
        <v>7160</v>
      </c>
    </row>
    <row r="1704" spans="1:14" ht="12.75" customHeight="1">
      <c r="A1704" s="478"/>
      <c r="B1704" s="460"/>
      <c r="C1704" s="170">
        <v>12</v>
      </c>
      <c r="D1704" s="131" t="s">
        <v>556</v>
      </c>
      <c r="E1704" s="453">
        <f>decLOB2Cln12WeekProdMod_R1</f>
        <v>0</v>
      </c>
      <c r="F1704" s="453">
        <f>decLOB2Cln12WeekProdMod_R1</f>
        <v>0</v>
      </c>
      <c r="G1704" s="453">
        <f>decLOB2Cln12WeekProdMod_R1</f>
        <v>0</v>
      </c>
      <c r="H1704" s="131" t="s">
        <v>3686</v>
      </c>
      <c r="J1704" s="131" t="s">
        <v>556</v>
      </c>
      <c r="K1704" s="453">
        <f>decLOB2Cln12WeekProdMod_R2</f>
        <v>0</v>
      </c>
      <c r="L1704" s="453">
        <f>decLOB2Cln12WeekProdMod_R2</f>
        <v>0</v>
      </c>
      <c r="M1704" s="453">
        <f>decLOB2Cln12WeekProdMod_R2</f>
        <v>0</v>
      </c>
      <c r="N1704" s="131" t="s">
        <v>7161</v>
      </c>
    </row>
    <row r="1705" spans="1:14" ht="12.75" customHeight="1">
      <c r="A1705" s="478"/>
      <c r="B1705" s="460"/>
    </row>
    <row r="1706" spans="1:14" ht="12.75" customHeight="1">
      <c r="A1706" s="478"/>
      <c r="B1706" s="460"/>
      <c r="C1706" s="131" t="s">
        <v>1588</v>
      </c>
    </row>
    <row r="1707" spans="1:14" ht="12.75" customHeight="1">
      <c r="A1707" s="478"/>
      <c r="B1707" s="460"/>
      <c r="C1707" s="170">
        <v>1</v>
      </c>
      <c r="D1707" s="131" t="s">
        <v>556</v>
      </c>
      <c r="E1707" s="453">
        <f>IF(calcLOB2Clinician1Emp3BaseProd=0,0,IF(calcLOB2Clinician1Emp3ModifiedProd=0,calcLOB2Clinician1Emp3BaseProd*paramLOB2Disc4Meetings*paramLOB2Meetings*paramLOB2Clinician1Meetings,calcLOB2Clinician1Emp3ModifiedProd))</f>
        <v>0</v>
      </c>
      <c r="F1707" s="453">
        <f>IF(calcLOB2Clinician1Emp3BaseProd=0,0,IF(calcLOB2Clinician1Emp3ModifiedProd=0,calcLOB2Clinician1Emp3BaseProd*paramLOB2Disc4Meetings*paramLOB2Meetings*paramLOB2Clinician1Meetings,calcLOB2Clinician1Emp3ModifiedProd))</f>
        <v>0</v>
      </c>
      <c r="G1707" s="453">
        <f>IF(calcLOB2Clinician1Emp3BaseProd=0,0,IF(calcLOB2Clinician1Emp3ModifiedProd=0,calcLOB2Clinician1Emp3BaseProd*paramLOB2Disc4Meetings*paramLOB2Meetings*paramLOB2Clinician1Meetings,calcLOB2Clinician1Emp3ModifiedProd))</f>
        <v>0</v>
      </c>
      <c r="H1707" s="131" t="s">
        <v>2528</v>
      </c>
      <c r="J1707" s="131" t="s">
        <v>556</v>
      </c>
      <c r="K1707" s="453">
        <f>IF(calcR2LOB2Clinician1Emp3BaseProd=0,0,IF(calcR2LOB2Clinician1Emp3ModifiedProd=0,calcR2LOB2Clinician1Emp3BaseProd*paramR2LOB2Disc4Meetings*paramR2LOB2Meetings*paramR2LOB2Clinician1Meetings,calcR2LOB2Clinician1Emp3ModifiedProd))</f>
        <v>0</v>
      </c>
      <c r="L1707" s="453">
        <f>IF(calcR2LOB2Clinician1Emp3BaseProd=0,0,IF(calcR2LOB2Clinician1Emp3ModifiedProd=0,calcR2LOB2Clinician1Emp3BaseProd*paramR2LOB2Disc4Meetings*paramR2LOB2Meetings*paramR2LOB2Clinician1Meetings,calcR2LOB2Clinician1Emp3ModifiedProd))</f>
        <v>0</v>
      </c>
      <c r="M1707" s="453">
        <f>IF(calcR2LOB2Clinician1Emp3BaseProd=0,0,IF(calcR2LOB2Clinician1Emp3ModifiedProd=0,calcR2LOB2Clinician1Emp3BaseProd*paramR2LOB2Disc4Meetings*paramR2LOB2Meetings*paramR2LOB2Clinician1Meetings,calcR2LOB2Clinician1Emp3ModifiedProd))</f>
        <v>0</v>
      </c>
      <c r="N1707" s="131" t="s">
        <v>7162</v>
      </c>
    </row>
    <row r="1708" spans="1:14" ht="12.75" customHeight="1">
      <c r="A1708" s="478"/>
      <c r="B1708" s="460"/>
      <c r="C1708" s="170">
        <v>2</v>
      </c>
      <c r="D1708" s="131" t="s">
        <v>556</v>
      </c>
      <c r="E1708" s="453">
        <f>IF(calcLOB2Clinician2Emp3BaseProd=0,0,IF(calcLOB2Clinician2Emp3ModifiedProd=0,calcLOB2Clinician2Emp3BaseProd*paramLOB2Disc4Meetings*paramLOB2Meetings*paramLOB2Clinician2Meetings,calcLOB2Clinician2Emp3ModifiedProd))</f>
        <v>0</v>
      </c>
      <c r="F1708" s="453">
        <f>IF(calcLOB2Clinician2Emp3BaseProd=0,0,IF(calcLOB2Clinician2Emp3ModifiedProd=0,calcLOB2Clinician2Emp3BaseProd*paramLOB2Disc4Meetings*paramLOB2Meetings*paramLOB2Clinician2Meetings,calcLOB2Clinician2Emp3ModifiedProd))</f>
        <v>0</v>
      </c>
      <c r="G1708" s="453">
        <f>IF(calcLOB2Clinician2Emp3BaseProd=0,0,IF(calcLOB2Clinician2Emp3ModifiedProd=0,calcLOB2Clinician2Emp3BaseProd*paramLOB2Disc4Meetings*paramLOB2Meetings*paramLOB2Clinician2Meetings,calcLOB2Clinician2Emp3ModifiedProd))</f>
        <v>0</v>
      </c>
      <c r="H1708" s="131" t="s">
        <v>2529</v>
      </c>
      <c r="J1708" s="131" t="s">
        <v>556</v>
      </c>
      <c r="K1708" s="453">
        <f>IF(calcR2LOB2Clinician2Emp3BaseProd=0,0,IF(calcR2LOB2Clinician2Emp3ModifiedProd=0,calcR2LOB2Clinician2Emp3BaseProd*paramR2LOB2Disc4Meetings*paramR2LOB2Meetings*paramR2LOB2Clinician2Meetings,calcR2LOB2Clinician2Emp3ModifiedProd))</f>
        <v>0</v>
      </c>
      <c r="L1708" s="453">
        <f>IF(calcR2LOB2Clinician2Emp3BaseProd=0,0,IF(calcR2LOB2Clinician2Emp3ModifiedProd=0,calcR2LOB2Clinician2Emp3BaseProd*paramR2LOB2Disc4Meetings*paramR2LOB2Meetings*paramR2LOB2Clinician2Meetings,calcR2LOB2Clinician2Emp3ModifiedProd))</f>
        <v>0</v>
      </c>
      <c r="M1708" s="453">
        <f>IF(calcR2LOB2Clinician2Emp3BaseProd=0,0,IF(calcR2LOB2Clinician2Emp3ModifiedProd=0,calcR2LOB2Clinician2Emp3BaseProd*paramR2LOB2Disc4Meetings*paramR2LOB2Meetings*paramR2LOB2Clinician2Meetings,calcR2LOB2Clinician2Emp3ModifiedProd))</f>
        <v>0</v>
      </c>
      <c r="N1708" s="131" t="s">
        <v>7163</v>
      </c>
    </row>
    <row r="1709" spans="1:14" ht="12.75" customHeight="1">
      <c r="A1709" s="478"/>
      <c r="B1709" s="460"/>
      <c r="C1709" s="170">
        <v>3</v>
      </c>
      <c r="D1709" s="131" t="s">
        <v>556</v>
      </c>
      <c r="E1709" s="453">
        <f>IF(calcLOB2Clinician3Emp3BaseProd=0,0,IF(calcLOB2Clinician3Emp3ModifiedProd=0,calcLOB2Clinician3Emp3BaseProd*paramLOB2Disc4Meetings*paramLOB2Meetings*paramLOB2Clinician3Meetings,calcLOB2Clinician3Emp3ModifiedProd))</f>
        <v>0</v>
      </c>
      <c r="F1709" s="453">
        <f>IF(calcLOB2Clinician3Emp3BaseProd=0,0,IF(calcLOB2Clinician3Emp3ModifiedProd=0,calcLOB2Clinician3Emp3BaseProd*paramLOB2Disc4Meetings*paramLOB2Meetings*paramLOB2Clinician3Meetings,calcLOB2Clinician3Emp3ModifiedProd))</f>
        <v>0</v>
      </c>
      <c r="G1709" s="453">
        <f>IF(calcLOB2Clinician3Emp3BaseProd=0,0,IF(calcLOB2Clinician3Emp3ModifiedProd=0,calcLOB2Clinician3Emp3BaseProd*paramLOB2Disc4Meetings*paramLOB2Meetings*paramLOB2Clinician3Meetings,calcLOB2Clinician3Emp3ModifiedProd))</f>
        <v>0</v>
      </c>
      <c r="H1709" s="131" t="s">
        <v>2530</v>
      </c>
      <c r="J1709" s="131" t="s">
        <v>556</v>
      </c>
      <c r="K1709" s="453">
        <f>IF(calcR2LOB2Clinician3Emp3BaseProd=0,0,IF(calcR2LOB2Clinician3Emp3ModifiedProd=0,calcR2LOB2Clinician3Emp3BaseProd*paramR2LOB2Disc4Meetings*paramR2LOB2Meetings*paramR2LOB2Clinician3Meetings,calcR2LOB2Clinician3Emp3ModifiedProd))</f>
        <v>0</v>
      </c>
      <c r="L1709" s="453">
        <f>IF(calcR2LOB2Clinician3Emp3BaseProd=0,0,IF(calcR2LOB2Clinician3Emp3ModifiedProd=0,calcR2LOB2Clinician3Emp3BaseProd*paramR2LOB2Disc4Meetings*paramR2LOB2Meetings*paramR2LOB2Clinician3Meetings,calcR2LOB2Clinician3Emp3ModifiedProd))</f>
        <v>0</v>
      </c>
      <c r="M1709" s="453">
        <f>IF(calcR2LOB2Clinician3Emp3BaseProd=0,0,IF(calcR2LOB2Clinician3Emp3ModifiedProd=0,calcR2LOB2Clinician3Emp3BaseProd*paramR2LOB2Disc4Meetings*paramR2LOB2Meetings*paramR2LOB2Clinician3Meetings,calcR2LOB2Clinician3Emp3ModifiedProd))</f>
        <v>0</v>
      </c>
      <c r="N1709" s="131" t="s">
        <v>7164</v>
      </c>
    </row>
    <row r="1710" spans="1:14" ht="12.75" customHeight="1">
      <c r="A1710" s="478"/>
      <c r="B1710" s="460"/>
      <c r="C1710" s="170">
        <v>4</v>
      </c>
      <c r="D1710" s="131" t="s">
        <v>556</v>
      </c>
      <c r="E1710" s="453">
        <f>IF(calcLOB2Clinician4Emp3BaseProd=0,0,IF(calcLOB2Clinician4Emp3ModifiedProd=0,calcLOB2Clinician4Emp3BaseProd*paramLOB2Disc4Meetings*paramLOB2Meetings*paramLOB2Clinician4Meetings,calcLOB2Clinician4Emp3ModifiedProd))</f>
        <v>0</v>
      </c>
      <c r="F1710" s="453">
        <f>IF(calcLOB2Clinician4Emp3BaseProd=0,0,IF(calcLOB2Clinician4Emp3ModifiedProd=0,calcLOB2Clinician4Emp3BaseProd*paramLOB2Disc4Meetings*paramLOB2Meetings*paramLOB2Clinician4Meetings,calcLOB2Clinician4Emp3ModifiedProd))</f>
        <v>0</v>
      </c>
      <c r="G1710" s="453">
        <f>IF(calcLOB2Clinician4Emp3BaseProd=0,0,IF(calcLOB2Clinician4Emp3ModifiedProd=0,calcLOB2Clinician4Emp3BaseProd*paramLOB2Disc4Meetings*paramLOB2Meetings*paramLOB2Clinician4Meetings,calcLOB2Clinician4Emp3ModifiedProd))</f>
        <v>0</v>
      </c>
      <c r="H1710" s="131" t="s">
        <v>2531</v>
      </c>
      <c r="J1710" s="131" t="s">
        <v>556</v>
      </c>
      <c r="K1710" s="453">
        <f>IF(calcR2LOB2Clinician4Emp3BaseProd=0,0,IF(calcR2LOB2Clinician4Emp3ModifiedProd=0,calcR2LOB2Clinician4Emp3BaseProd*paramR2LOB2Disc4Meetings*paramR2LOB2Meetings*paramR2LOB2Clinician4Meetings,calcR2LOB2Clinician4Emp3ModifiedProd))</f>
        <v>0</v>
      </c>
      <c r="L1710" s="453">
        <f>IF(calcR2LOB2Clinician4Emp3BaseProd=0,0,IF(calcR2LOB2Clinician4Emp3ModifiedProd=0,calcR2LOB2Clinician4Emp3BaseProd*paramR2LOB2Disc4Meetings*paramR2LOB2Meetings*paramR2LOB2Clinician4Meetings,calcR2LOB2Clinician4Emp3ModifiedProd))</f>
        <v>0</v>
      </c>
      <c r="M1710" s="453">
        <f>IF(calcR2LOB2Clinician4Emp3BaseProd=0,0,IF(calcR2LOB2Clinician4Emp3ModifiedProd=0,calcR2LOB2Clinician4Emp3BaseProd*paramR2LOB2Disc4Meetings*paramR2LOB2Meetings*paramR2LOB2Clinician4Meetings,calcR2LOB2Clinician4Emp3ModifiedProd))</f>
        <v>0</v>
      </c>
      <c r="N1710" s="131" t="s">
        <v>7165</v>
      </c>
    </row>
    <row r="1711" spans="1:14" ht="12.75" customHeight="1">
      <c r="A1711" s="478"/>
      <c r="B1711" s="460"/>
      <c r="C1711" s="170">
        <v>5</v>
      </c>
      <c r="D1711" s="131" t="s">
        <v>556</v>
      </c>
      <c r="E1711" s="453">
        <f>IF(calcLOB2Clinician5Emp3BaseProd=0,0,IF(calcLOB2Clinician5Emp3ModifiedProd=0,calcLOB2Clinician5Emp3BaseProd*paramLOB2Disc4Meetings*paramLOB2Meetings*paramLOB2Clinician5Meetings,calcLOB2Clinician5Emp3ModifiedProd))</f>
        <v>0</v>
      </c>
      <c r="F1711" s="453">
        <f>IF(calcLOB2Clinician5Emp3BaseProd=0,0,IF(calcLOB2Clinician5Emp3ModifiedProd=0,calcLOB2Clinician5Emp3BaseProd*paramLOB2Disc4Meetings*paramLOB2Meetings*paramLOB2Clinician5Meetings,calcLOB2Clinician5Emp3ModifiedProd))</f>
        <v>0</v>
      </c>
      <c r="G1711" s="453">
        <f>IF(calcLOB2Clinician5Emp3BaseProd=0,0,IF(calcLOB2Clinician5Emp3ModifiedProd=0,calcLOB2Clinician5Emp3BaseProd*paramLOB2Disc4Meetings*paramLOB2Meetings*paramLOB2Clinician5Meetings,calcLOB2Clinician5Emp3ModifiedProd))</f>
        <v>0</v>
      </c>
      <c r="H1711" s="131" t="s">
        <v>2532</v>
      </c>
      <c r="J1711" s="131" t="s">
        <v>556</v>
      </c>
      <c r="K1711" s="453">
        <f>IF(calcR2LOB2Clinician5Emp3BaseProd=0,0,IF(calcR2LOB2Clinician5Emp3ModifiedProd=0,calcR2LOB2Clinician5Emp3BaseProd*paramR2LOB2Disc4Meetings*paramR2LOB2Meetings*paramR2LOB2Clinician5Meetings,calcR2LOB2Clinician5Emp3ModifiedProd))</f>
        <v>0</v>
      </c>
      <c r="L1711" s="453">
        <f>IF(calcR2LOB2Clinician5Emp3BaseProd=0,0,IF(calcR2LOB2Clinician5Emp3ModifiedProd=0,calcR2LOB2Clinician5Emp3BaseProd*paramR2LOB2Disc4Meetings*paramR2LOB2Meetings*paramR2LOB2Clinician5Meetings,calcR2LOB2Clinician5Emp3ModifiedProd))</f>
        <v>0</v>
      </c>
      <c r="M1711" s="453">
        <f>IF(calcR2LOB2Clinician5Emp3BaseProd=0,0,IF(calcR2LOB2Clinician5Emp3ModifiedProd=0,calcR2LOB2Clinician5Emp3BaseProd*paramR2LOB2Disc4Meetings*paramR2LOB2Meetings*paramR2LOB2Clinician5Meetings,calcR2LOB2Clinician5Emp3ModifiedProd))</f>
        <v>0</v>
      </c>
      <c r="N1711" s="131" t="s">
        <v>7166</v>
      </c>
    </row>
    <row r="1712" spans="1:14" ht="12.75" customHeight="1">
      <c r="A1712" s="478"/>
      <c r="B1712" s="460"/>
      <c r="C1712" s="170">
        <v>6</v>
      </c>
      <c r="D1712" s="131" t="s">
        <v>556</v>
      </c>
      <c r="E1712" s="453">
        <f>IF(calcLOB2Clinician6Emp3BaseProd=0,0,IF(calcLOB2Clinician6Emp3ModifiedProd=0,calcLOB2Clinician6Emp3BaseProd*paramLOB2Disc4Meetings*paramLOB2Meetings*paramLOB2Clinician6Meetings,calcLOB2Clinician6Emp3ModifiedProd))</f>
        <v>0</v>
      </c>
      <c r="F1712" s="453">
        <f>IF(calcLOB2Clinician6Emp3BaseProd=0,0,IF(calcLOB2Clinician6Emp3ModifiedProd=0,calcLOB2Clinician6Emp3BaseProd*paramLOB2Disc4Meetings*paramLOB2Meetings*paramLOB2Clinician6Meetings,calcLOB2Clinician6Emp3ModifiedProd))</f>
        <v>0</v>
      </c>
      <c r="G1712" s="453">
        <f>IF(calcLOB2Clinician6Emp3BaseProd=0,0,IF(calcLOB2Clinician6Emp3ModifiedProd=0,calcLOB2Clinician6Emp3BaseProd*paramLOB2Disc4Meetings*paramLOB2Meetings*paramLOB2Clinician6Meetings,calcLOB2Clinician6Emp3ModifiedProd))</f>
        <v>0</v>
      </c>
      <c r="H1712" s="131" t="s">
        <v>2533</v>
      </c>
      <c r="J1712" s="131" t="s">
        <v>556</v>
      </c>
      <c r="K1712" s="453">
        <f>IF(calcR2LOB2Clinician6Emp3BaseProd=0,0,IF(calcR2LOB2Clinician6Emp3ModifiedProd=0,calcR2LOB2Clinician6Emp3BaseProd*paramR2LOB2Disc4Meetings*paramR2LOB2Meetings*paramR2LOB2Clinician6Meetings,calcR2LOB2Clinician6Emp3ModifiedProd))</f>
        <v>0</v>
      </c>
      <c r="L1712" s="453">
        <f>IF(calcR2LOB2Clinician6Emp3BaseProd=0,0,IF(calcR2LOB2Clinician6Emp3ModifiedProd=0,calcR2LOB2Clinician6Emp3BaseProd*paramR2LOB2Disc4Meetings*paramR2LOB2Meetings*paramR2LOB2Clinician6Meetings,calcR2LOB2Clinician6Emp3ModifiedProd))</f>
        <v>0</v>
      </c>
      <c r="M1712" s="453">
        <f>IF(calcR2LOB2Clinician6Emp3BaseProd=0,0,IF(calcR2LOB2Clinician6Emp3ModifiedProd=0,calcR2LOB2Clinician6Emp3BaseProd*paramR2LOB2Disc4Meetings*paramR2LOB2Meetings*paramR2LOB2Clinician6Meetings,calcR2LOB2Clinician6Emp3ModifiedProd))</f>
        <v>0</v>
      </c>
      <c r="N1712" s="131" t="s">
        <v>7167</v>
      </c>
    </row>
    <row r="1713" spans="1:14" ht="12.75" customHeight="1">
      <c r="A1713" s="478"/>
      <c r="B1713" s="460"/>
      <c r="C1713" s="170">
        <v>7</v>
      </c>
      <c r="D1713" s="131" t="s">
        <v>556</v>
      </c>
      <c r="E1713" s="453">
        <f>IF(calcLOB2Clinician7Emp3BaseProd=0,0,IF(calcLOB2Clinician7Emp3ModifiedProd=0,calcLOB2Clinician7Emp3BaseProd*paramLOB2Disc4Meetings*paramLOB2Meetings*paramLOB2Clinician7Meetings,calcLOB2Clinician7Emp3ModifiedProd))</f>
        <v>28</v>
      </c>
      <c r="F1713" s="453">
        <f>IF(calcLOB2Clinician7Emp3BaseProd=0,0,IF(calcLOB2Clinician7Emp3ModifiedProd=0,calcLOB2Clinician7Emp3BaseProd*paramLOB2Disc4Meetings*paramLOB2Meetings*paramLOB2Clinician7Meetings,calcLOB2Clinician7Emp3ModifiedProd))</f>
        <v>28</v>
      </c>
      <c r="G1713" s="453">
        <f>IF(calcLOB2Clinician7Emp3BaseProd=0,0,IF(calcLOB2Clinician7Emp3ModifiedProd=0,calcLOB2Clinician7Emp3BaseProd*paramLOB2Disc4Meetings*paramLOB2Meetings*paramLOB2Clinician7Meetings,calcLOB2Clinician7Emp3ModifiedProd))</f>
        <v>28</v>
      </c>
      <c r="H1713" s="131" t="s">
        <v>2534</v>
      </c>
      <c r="J1713" s="131" t="s">
        <v>556</v>
      </c>
      <c r="K1713" s="453">
        <f>IF(calcR2LOB2Clinician7Emp3BaseProd=0,0,IF(calcR2LOB2Clinician7Emp3ModifiedProd=0,calcR2LOB2Clinician7Emp3BaseProd*paramR2LOB2Disc4Meetings*paramR2LOB2Meetings*paramR2LOB2Clinician7Meetings,calcR2LOB2Clinician7Emp3ModifiedProd))</f>
        <v>28</v>
      </c>
      <c r="L1713" s="453">
        <f>IF(calcR2LOB2Clinician7Emp3BaseProd=0,0,IF(calcR2LOB2Clinician7Emp3ModifiedProd=0,calcR2LOB2Clinician7Emp3BaseProd*paramR2LOB2Disc4Meetings*paramR2LOB2Meetings*paramR2LOB2Clinician7Meetings,calcR2LOB2Clinician7Emp3ModifiedProd))</f>
        <v>28</v>
      </c>
      <c r="M1713" s="453">
        <f>IF(calcR2LOB2Clinician7Emp3BaseProd=0,0,IF(calcR2LOB2Clinician7Emp3ModifiedProd=0,calcR2LOB2Clinician7Emp3BaseProd*paramR2LOB2Disc4Meetings*paramR2LOB2Meetings*paramR2LOB2Clinician7Meetings,calcR2LOB2Clinician7Emp3ModifiedProd))</f>
        <v>28</v>
      </c>
      <c r="N1713" s="131" t="s">
        <v>7168</v>
      </c>
    </row>
    <row r="1714" spans="1:14" ht="12.75" customHeight="1">
      <c r="A1714" s="478"/>
      <c r="B1714" s="460"/>
      <c r="C1714" s="170">
        <v>8</v>
      </c>
      <c r="D1714" s="131" t="s">
        <v>556</v>
      </c>
      <c r="E1714" s="453">
        <f>IF(calcLOB2Clinician8Emp3BaseProd=0,0,IF(calcLOB2Clinician8Emp3ModifiedProd=0,calcLOB2Clinician8Emp3BaseProd*paramLOB2Disc4Meetings*paramLOB2Meetings*paramLOB2Clinician8Meetings,calcLOB2Clinician8Emp3ModifiedProd))</f>
        <v>28</v>
      </c>
      <c r="F1714" s="453">
        <f>IF(calcLOB2Clinician8Emp3BaseProd=0,0,IF(calcLOB2Clinician8Emp3ModifiedProd=0,calcLOB2Clinician8Emp3BaseProd*paramLOB2Disc4Meetings*paramLOB2Meetings*paramLOB2Clinician8Meetings,calcLOB2Clinician8Emp3ModifiedProd))</f>
        <v>28</v>
      </c>
      <c r="G1714" s="453">
        <f>IF(calcLOB2Clinician8Emp3BaseProd=0,0,IF(calcLOB2Clinician8Emp3ModifiedProd=0,calcLOB2Clinician8Emp3BaseProd*paramLOB2Disc4Meetings*paramLOB2Meetings*paramLOB2Clinician8Meetings,calcLOB2Clinician8Emp3ModifiedProd))</f>
        <v>28</v>
      </c>
      <c r="H1714" s="131" t="s">
        <v>2535</v>
      </c>
      <c r="J1714" s="131" t="s">
        <v>556</v>
      </c>
      <c r="K1714" s="453">
        <f>IF(calcR2LOB2Clinician8Emp3BaseProd=0,0,IF(calcR2LOB2Clinician8Emp3ModifiedProd=0,calcR2LOB2Clinician8Emp3BaseProd*paramR2LOB2Disc4Meetings*paramR2LOB2Meetings*paramR2LOB2Clinician8Meetings,calcR2LOB2Clinician8Emp3ModifiedProd))</f>
        <v>28</v>
      </c>
      <c r="L1714" s="453">
        <f>IF(calcR2LOB2Clinician8Emp3BaseProd=0,0,IF(calcR2LOB2Clinician8Emp3ModifiedProd=0,calcR2LOB2Clinician8Emp3BaseProd*paramR2LOB2Disc4Meetings*paramR2LOB2Meetings*paramR2LOB2Clinician8Meetings,calcR2LOB2Clinician8Emp3ModifiedProd))</f>
        <v>28</v>
      </c>
      <c r="M1714" s="453">
        <f>IF(calcR2LOB2Clinician8Emp3BaseProd=0,0,IF(calcR2LOB2Clinician8Emp3ModifiedProd=0,calcR2LOB2Clinician8Emp3BaseProd*paramR2LOB2Disc4Meetings*paramR2LOB2Meetings*paramR2LOB2Clinician8Meetings,calcR2LOB2Clinician8Emp3ModifiedProd))</f>
        <v>28</v>
      </c>
      <c r="N1714" s="131" t="s">
        <v>7169</v>
      </c>
    </row>
    <row r="1715" spans="1:14" ht="12.75" customHeight="1">
      <c r="A1715" s="478"/>
      <c r="B1715" s="460"/>
      <c r="C1715" s="170">
        <v>9</v>
      </c>
      <c r="D1715" s="131" t="s">
        <v>556</v>
      </c>
      <c r="E1715" s="453">
        <f>IF(calcLOB2Clinician9Emp3BaseProd=0,0,IF(calcLOB2Clinician9Emp3ModifiedProd=0,calcLOB2Clinician9Emp3BaseProd*paramLOB2Disc4Meetings*paramLOB2Meetings*paramLOB2Clinician9Meetings,calcLOB2Clinician9Emp3ModifiedProd))</f>
        <v>12.5</v>
      </c>
      <c r="F1715" s="453">
        <f>IF(calcLOB2Clinician9Emp3BaseProd=0,0,IF(calcLOB2Clinician9Emp3ModifiedProd=0,calcLOB2Clinician9Emp3BaseProd*paramLOB2Disc4Meetings*paramLOB2Meetings*paramLOB2Clinician9Meetings,calcLOB2Clinician9Emp3ModifiedProd))</f>
        <v>12.5</v>
      </c>
      <c r="G1715" s="453">
        <f>IF(calcLOB2Clinician9Emp3BaseProd=0,0,IF(calcLOB2Clinician9Emp3ModifiedProd=0,calcLOB2Clinician9Emp3BaseProd*paramLOB2Disc4Meetings*paramLOB2Meetings*paramLOB2Clinician9Meetings,calcLOB2Clinician9Emp3ModifiedProd))</f>
        <v>12.5</v>
      </c>
      <c r="H1715" s="131" t="s">
        <v>2536</v>
      </c>
      <c r="J1715" s="131" t="s">
        <v>556</v>
      </c>
      <c r="K1715" s="453">
        <f>IF(calcR2LOB2Clinician9Emp3BaseProd=0,0,IF(calcR2LOB2Clinician9Emp3ModifiedProd=0,calcR2LOB2Clinician9Emp3BaseProd*paramR2LOB2Disc4Meetings*paramR2LOB2Meetings*paramR2LOB2Clinician9Meetings,calcR2LOB2Clinician9Emp3ModifiedProd))</f>
        <v>12.5</v>
      </c>
      <c r="L1715" s="453">
        <f>IF(calcR2LOB2Clinician9Emp3BaseProd=0,0,IF(calcR2LOB2Clinician9Emp3ModifiedProd=0,calcR2LOB2Clinician9Emp3BaseProd*paramR2LOB2Disc4Meetings*paramR2LOB2Meetings*paramR2LOB2Clinician9Meetings,calcR2LOB2Clinician9Emp3ModifiedProd))</f>
        <v>12.5</v>
      </c>
      <c r="M1715" s="453">
        <f>IF(calcR2LOB2Clinician9Emp3BaseProd=0,0,IF(calcR2LOB2Clinician9Emp3ModifiedProd=0,calcR2LOB2Clinician9Emp3BaseProd*paramR2LOB2Disc4Meetings*paramR2LOB2Meetings*paramR2LOB2Clinician9Meetings,calcR2LOB2Clinician9Emp3ModifiedProd))</f>
        <v>12.5</v>
      </c>
      <c r="N1715" s="131" t="s">
        <v>7170</v>
      </c>
    </row>
    <row r="1716" spans="1:14" ht="12.75" customHeight="1">
      <c r="A1716" s="478"/>
      <c r="B1716" s="460"/>
      <c r="C1716" s="170">
        <v>10</v>
      </c>
      <c r="D1716" s="131" t="s">
        <v>556</v>
      </c>
      <c r="E1716" s="453">
        <f>IF(calcLOB2Clinician10Emp3BaseProd=0,0,IF(calcLOB2Clinician10Emp3ModifiedProd=0,calcLOB2Clinician10Emp3BaseProd*paramLOB2Disc4Meetings*paramLOB2Meetings*paramLOB2Clinician10Meetings,calcLOB2Clinician10Emp3ModifiedProd))</f>
        <v>0</v>
      </c>
      <c r="F1716" s="453">
        <f>IF(calcLOB2Clinician10Emp3BaseProd=0,0,IF(calcLOB2Clinician10Emp3ModifiedProd=0,calcLOB2Clinician10Emp3BaseProd*paramLOB2Disc4Meetings*paramLOB2Meetings*paramLOB2Clinician10Meetings,calcLOB2Clinician10Emp3ModifiedProd))</f>
        <v>0</v>
      </c>
      <c r="G1716" s="453">
        <f>IF(calcLOB2Clinician10Emp3BaseProd=0,0,IF(calcLOB2Clinician10Emp3ModifiedProd=0,calcLOB2Clinician10Emp3BaseProd*paramLOB2Disc4Meetings*paramLOB2Meetings*paramLOB2Clinician10Meetings,calcLOB2Clinician10Emp3ModifiedProd))</f>
        <v>0</v>
      </c>
      <c r="H1716" s="131" t="s">
        <v>2537</v>
      </c>
      <c r="J1716" s="131" t="s">
        <v>556</v>
      </c>
      <c r="K1716" s="453">
        <f>IF(calcR2LOB2Clinician10Emp3BaseProd=0,0,IF(calcR2LOB2Clinician10Emp3ModifiedProd=0,calcR2LOB2Clinician10Emp3BaseProd*paramR2LOB2Disc4Meetings*paramR2LOB2Meetings*paramR2LOB2Clinician10Meetings,calcR2LOB2Clinician10Emp3ModifiedProd))</f>
        <v>0</v>
      </c>
      <c r="L1716" s="453">
        <f>IF(calcR2LOB2Clinician10Emp3BaseProd=0,0,IF(calcR2LOB2Clinician10Emp3ModifiedProd=0,calcR2LOB2Clinician10Emp3BaseProd*paramR2LOB2Disc4Meetings*paramR2LOB2Meetings*paramR2LOB2Clinician10Meetings,calcR2LOB2Clinician10Emp3ModifiedProd))</f>
        <v>0</v>
      </c>
      <c r="M1716" s="453">
        <f>IF(calcR2LOB2Clinician10Emp3BaseProd=0,0,IF(calcR2LOB2Clinician10Emp3ModifiedProd=0,calcR2LOB2Clinician10Emp3BaseProd*paramR2LOB2Disc4Meetings*paramR2LOB2Meetings*paramR2LOB2Clinician10Meetings,calcR2LOB2Clinician10Emp3ModifiedProd))</f>
        <v>0</v>
      </c>
      <c r="N1716" s="131" t="s">
        <v>7171</v>
      </c>
    </row>
    <row r="1717" spans="1:14" ht="12.75" customHeight="1">
      <c r="A1717" s="478"/>
      <c r="B1717" s="460"/>
      <c r="C1717" s="170">
        <v>11</v>
      </c>
      <c r="D1717" s="131" t="s">
        <v>556</v>
      </c>
      <c r="E1717" s="453">
        <f>IF(calcLOB2Clinician11Emp3BaseProd=0,0,IF(calcLOB2Clinician11Emp3ModifiedProd=0,calcLOB2Clinician11Emp3BaseProd*paramLOB2Disc4Meetings*paramLOB2Meetings*paramLOB2Clinician11Meetings,calcLOB2Clinician11Emp3ModifiedProd))</f>
        <v>0</v>
      </c>
      <c r="F1717" s="453">
        <f>IF(calcLOB2Clinician11Emp3BaseProd=0,0,IF(calcLOB2Clinician11Emp3ModifiedProd=0,calcLOB2Clinician11Emp3BaseProd*paramLOB2Disc4Meetings*paramLOB2Meetings*paramLOB2Clinician11Meetings,calcLOB2Clinician11Emp3ModifiedProd))</f>
        <v>0</v>
      </c>
      <c r="G1717" s="453">
        <f>IF(calcLOB2Clinician11Emp3BaseProd=0,0,IF(calcLOB2Clinician11Emp3ModifiedProd=0,calcLOB2Clinician11Emp3BaseProd*paramLOB2Disc4Meetings*paramLOB2Meetings*paramLOB2Clinician11Meetings,calcLOB2Clinician11Emp3ModifiedProd))</f>
        <v>0</v>
      </c>
      <c r="H1717" s="131" t="s">
        <v>2538</v>
      </c>
      <c r="J1717" s="131" t="s">
        <v>556</v>
      </c>
      <c r="K1717" s="453">
        <f>IF(calcR2LOB2Clinician11Emp3BaseProd=0,0,IF(calcR2LOB2Clinician11Emp3ModifiedProd=0,calcR2LOB2Clinician11Emp3BaseProd*paramR2LOB2Disc4Meetings*paramR2LOB2Meetings*paramR2LOB2Clinician11Meetings,calcR2LOB2Clinician11Emp3ModifiedProd))</f>
        <v>0</v>
      </c>
      <c r="L1717" s="453">
        <f>IF(calcR2LOB2Clinician11Emp3BaseProd=0,0,IF(calcR2LOB2Clinician11Emp3ModifiedProd=0,calcR2LOB2Clinician11Emp3BaseProd*paramR2LOB2Disc4Meetings*paramR2LOB2Meetings*paramR2LOB2Clinician11Meetings,calcR2LOB2Clinician11Emp3ModifiedProd))</f>
        <v>0</v>
      </c>
      <c r="M1717" s="453">
        <f>IF(calcR2LOB2Clinician11Emp3BaseProd=0,0,IF(calcR2LOB2Clinician11Emp3ModifiedProd=0,calcR2LOB2Clinician11Emp3BaseProd*paramR2LOB2Disc4Meetings*paramR2LOB2Meetings*paramR2LOB2Clinician11Meetings,calcR2LOB2Clinician11Emp3ModifiedProd))</f>
        <v>0</v>
      </c>
      <c r="N1717" s="131" t="s">
        <v>7172</v>
      </c>
    </row>
    <row r="1718" spans="1:14" ht="12.75" customHeight="1">
      <c r="A1718" s="478"/>
      <c r="B1718" s="460"/>
      <c r="C1718" s="170">
        <v>12</v>
      </c>
      <c r="D1718" s="131" t="s">
        <v>556</v>
      </c>
      <c r="E1718" s="453">
        <f>IF(calcLOB2Clinician12Emp3BaseProd=0,0,IF(calcLOB2Clinician12Emp3ModifiedProd=0,calcLOB2Clinician12Emp3BaseProd*paramLOB2Disc4Meetings*paramLOB2Meetings*paramLOB2Clinician12Meetings,calcLOB2Clinician12Emp3ModifiedProd))</f>
        <v>0</v>
      </c>
      <c r="F1718" s="453">
        <f>IF(calcLOB2Clinician12Emp3BaseProd=0,0,IF(calcLOB2Clinician12Emp3ModifiedProd=0,calcLOB2Clinician12Emp3BaseProd*paramLOB2Disc4Meetings*paramLOB2Meetings*paramLOB2Clinician12Meetings,calcLOB2Clinician12Emp3ModifiedProd))</f>
        <v>0</v>
      </c>
      <c r="G1718" s="453">
        <f>IF(calcLOB2Clinician12Emp3BaseProd=0,0,IF(calcLOB2Clinician12Emp3ModifiedProd=0,calcLOB2Clinician12Emp3BaseProd*paramLOB2Disc4Meetings*paramLOB2Meetings*paramLOB2Clinician12Meetings,calcLOB2Clinician12Emp3ModifiedProd))</f>
        <v>0</v>
      </c>
      <c r="H1718" s="131" t="s">
        <v>2539</v>
      </c>
      <c r="J1718" s="131" t="s">
        <v>556</v>
      </c>
      <c r="K1718" s="453">
        <f>IF(calcR2LOB2Clinician12Emp3BaseProd=0,0,IF(calcR2LOB2Clinician12Emp3ModifiedProd=0,calcR2LOB2Clinician12Emp3BaseProd*paramR2LOB2Disc4Meetings*paramR2LOB2Meetings*paramR2LOB2Clinician12Meetings,calcR2LOB2Clinician12Emp3ModifiedProd))</f>
        <v>0</v>
      </c>
      <c r="L1718" s="453">
        <f>IF(calcR2LOB2Clinician12Emp3BaseProd=0,0,IF(calcR2LOB2Clinician12Emp3ModifiedProd=0,calcR2LOB2Clinician12Emp3BaseProd*paramR2LOB2Disc4Meetings*paramR2LOB2Meetings*paramR2LOB2Clinician12Meetings,calcR2LOB2Clinician12Emp3ModifiedProd))</f>
        <v>0</v>
      </c>
      <c r="M1718" s="453">
        <f>IF(calcR2LOB2Clinician12Emp3BaseProd=0,0,IF(calcR2LOB2Clinician12Emp3ModifiedProd=0,calcR2LOB2Clinician12Emp3BaseProd*paramR2LOB2Disc4Meetings*paramR2LOB2Meetings*paramR2LOB2Clinician12Meetings,calcR2LOB2Clinician12Emp3ModifiedProd))</f>
        <v>0</v>
      </c>
      <c r="N1718" s="131" t="s">
        <v>7173</v>
      </c>
    </row>
    <row r="1719" spans="1:14" ht="12.75" customHeight="1">
      <c r="A1719" s="478"/>
      <c r="B1719" s="460"/>
      <c r="D1719" s="131" t="s">
        <v>556</v>
      </c>
      <c r="E1719" s="453">
        <f>cbalLOB2AvgProdClinician15</f>
        <v>110.19999999999999</v>
      </c>
      <c r="F1719" s="453">
        <f>cbalLOB2AvgProdClinician15</f>
        <v>90</v>
      </c>
      <c r="G1719" s="453">
        <f>cbalLOB2AvgProdClinician15</f>
        <v>175</v>
      </c>
      <c r="H1719" s="131" t="s">
        <v>4123</v>
      </c>
      <c r="J1719" s="131" t="s">
        <v>556</v>
      </c>
      <c r="K1719" s="453">
        <f>cbalR2LOB2AvgProdClinician15</f>
        <v>104.22161913405003</v>
      </c>
      <c r="L1719" s="453">
        <f>cbalR2LOB2AvgProdClinician15</f>
        <v>90</v>
      </c>
      <c r="M1719" s="453">
        <f>cbalR2LOB2AvgProdClinician15</f>
        <v>175</v>
      </c>
      <c r="N1719" s="131" t="s">
        <v>7174</v>
      </c>
    </row>
    <row r="1720" spans="1:14" ht="1.5" customHeight="1">
      <c r="A1720" s="461"/>
      <c r="B1720" s="459"/>
      <c r="D1720" s="449"/>
      <c r="E1720" s="450"/>
      <c r="F1720" s="450"/>
      <c r="G1720" s="450"/>
      <c r="H1720" s="131"/>
      <c r="J1720" s="449"/>
      <c r="K1720" s="450"/>
      <c r="L1720" s="450"/>
      <c r="M1720" s="450"/>
      <c r="N1720" s="131"/>
    </row>
    <row r="1721" spans="1:14" ht="12.75" customHeight="1">
      <c r="A1721" s="461"/>
      <c r="B1721" s="459"/>
      <c r="D1721" s="131" t="s">
        <v>1587</v>
      </c>
      <c r="E1721" s="448">
        <f>SUM(E1707:E1720)</f>
        <v>178.7</v>
      </c>
      <c r="F1721" s="448">
        <f t="shared" ref="F1721" si="214">SUM(F1707:F1720)</f>
        <v>158.5</v>
      </c>
      <c r="G1721" s="448">
        <f t="shared" ref="G1721" si="215">SUM(G1707:G1720)</f>
        <v>243.5</v>
      </c>
      <c r="H1721" s="131" t="s">
        <v>8361</v>
      </c>
      <c r="J1721" s="131" t="s">
        <v>1587</v>
      </c>
      <c r="K1721" s="448">
        <f>SUM(K1707:K1720)</f>
        <v>172.72161913405003</v>
      </c>
      <c r="L1721" s="448">
        <f t="shared" ref="L1721" si="216">SUM(L1707:L1720)</f>
        <v>158.5</v>
      </c>
      <c r="M1721" s="448">
        <f t="shared" ref="M1721" si="217">SUM(M1707:M1720)</f>
        <v>243.5</v>
      </c>
      <c r="N1721" s="131" t="s">
        <v>8362</v>
      </c>
    </row>
    <row r="1722" spans="1:14" ht="12.75" customHeight="1">
      <c r="A1722" s="478"/>
      <c r="B1722" s="460"/>
    </row>
    <row r="1723" spans="1:14" ht="12.75" customHeight="1">
      <c r="A1723" s="478"/>
      <c r="B1723" s="635"/>
      <c r="C1723" s="131" t="s">
        <v>1615</v>
      </c>
    </row>
    <row r="1724" spans="1:14" ht="12.75" customHeight="1">
      <c r="A1724" s="478"/>
      <c r="B1724" s="635"/>
      <c r="C1724" s="170">
        <v>1</v>
      </c>
      <c r="D1724" s="131" t="s">
        <v>556</v>
      </c>
      <c r="E1724" s="539">
        <f>IF(calcLOB2Clinician1Emp3BaseProd=0,0,cbalLOB2AvgMissPercClinician1*paramLOB2Disc4Missed*paramLOB2Clinician1Missed)</f>
        <v>0</v>
      </c>
      <c r="F1724" s="539">
        <f>IF(calcLOB2Clinician1Emp3BaseProd=0,0,cbalLOB2AvgMissPercClinician1*paramLOB2Disc4Missed*paramLOB2Clinician1Missed)</f>
        <v>0</v>
      </c>
      <c r="G1724" s="539">
        <f>IF(calcLOB2Clinician1Emp3BaseProd=0,0,cbalLOB2AvgMissPercClinician1*paramLOB2Disc4Missed*paramLOB2Clinician1Missed)</f>
        <v>0</v>
      </c>
      <c r="H1724" s="131" t="s">
        <v>5201</v>
      </c>
      <c r="J1724" s="131" t="s">
        <v>556</v>
      </c>
      <c r="K1724" s="539">
        <f>IF(calcR2LOB2Clinician1Emp3BaseProd=0,0,cbalR2LOB2AvgMissPercClinician1*paramR2LOB2Disc4Missed*paramR2LOB2Clinician1Missed)</f>
        <v>0</v>
      </c>
      <c r="L1724" s="539">
        <f>IF(calcR2LOB2Clinician1Emp3BaseProd=0,0,cbalR2LOB2AvgMissPercClinician1*paramR2LOB2Disc4Missed*paramR2LOB2Clinician1Missed)</f>
        <v>0</v>
      </c>
      <c r="M1724" s="539">
        <f>IF(calcR2LOB2Clinician1Emp3BaseProd=0,0,cbalR2LOB2AvgMissPercClinician1*paramR2LOB2Disc4Missed*paramR2LOB2Clinician1Missed)</f>
        <v>0</v>
      </c>
      <c r="N1724" s="131" t="s">
        <v>7175</v>
      </c>
    </row>
    <row r="1725" spans="1:14" ht="12.75" customHeight="1">
      <c r="A1725" s="478"/>
      <c r="B1725" s="635"/>
      <c r="C1725" s="170">
        <v>2</v>
      </c>
      <c r="D1725" s="131" t="s">
        <v>556</v>
      </c>
      <c r="E1725" s="539">
        <f>IF(calcLOB2Clinician2Emp3BaseProd=0,0,cbalLOB2AvgMissPercClinician2*paramLOB2Disc4Missed*paramLOB2Clinician2Missed)</f>
        <v>0</v>
      </c>
      <c r="F1725" s="539">
        <f>IF(calcLOB2Clinician2Emp3BaseProd=0,0,cbalLOB2AvgMissPercClinician2*paramLOB2Disc4Missed*paramLOB2Clinician2Missed)</f>
        <v>0</v>
      </c>
      <c r="G1725" s="539">
        <f>IF(calcLOB2Clinician2Emp3BaseProd=0,0,cbalLOB2AvgMissPercClinician2*paramLOB2Disc4Missed*paramLOB2Clinician2Missed)</f>
        <v>0</v>
      </c>
      <c r="H1725" s="131" t="s">
        <v>5202</v>
      </c>
      <c r="J1725" s="131" t="s">
        <v>556</v>
      </c>
      <c r="K1725" s="539">
        <f>IF(calcR2LOB2Clinician2Emp3BaseProd=0,0,cbalR2LOB2AvgMissPercClinician2*paramR2LOB2Disc4Missed*paramR2LOB2Clinician2Missed)</f>
        <v>0</v>
      </c>
      <c r="L1725" s="539">
        <f>IF(calcR2LOB2Clinician2Emp3BaseProd=0,0,cbalR2LOB2AvgMissPercClinician2*paramR2LOB2Disc4Missed*paramR2LOB2Clinician2Missed)</f>
        <v>0</v>
      </c>
      <c r="M1725" s="539">
        <f>IF(calcR2LOB2Clinician2Emp3BaseProd=0,0,cbalR2LOB2AvgMissPercClinician2*paramR2LOB2Disc4Missed*paramR2LOB2Clinician2Missed)</f>
        <v>0</v>
      </c>
      <c r="N1725" s="131" t="s">
        <v>7176</v>
      </c>
    </row>
    <row r="1726" spans="1:14" ht="12.75" customHeight="1">
      <c r="A1726" s="478"/>
      <c r="B1726" s="635"/>
      <c r="C1726" s="170">
        <v>3</v>
      </c>
      <c r="D1726" s="131" t="s">
        <v>556</v>
      </c>
      <c r="E1726" s="539">
        <f>IF(calcLOB2Clinician3Emp3BaseProd=0,0,cbalLOB2AvgMissPercClinician3*paramLOB2Disc4Missed*paramLOB2Clinician3Missed)</f>
        <v>0</v>
      </c>
      <c r="F1726" s="539">
        <f>IF(calcLOB2Clinician3Emp3BaseProd=0,0,cbalLOB2AvgMissPercClinician3*paramLOB2Disc4Missed*paramLOB2Clinician3Missed)</f>
        <v>0</v>
      </c>
      <c r="G1726" s="539">
        <f>IF(calcLOB2Clinician3Emp3BaseProd=0,0,cbalLOB2AvgMissPercClinician3*paramLOB2Disc4Missed*paramLOB2Clinician3Missed)</f>
        <v>0</v>
      </c>
      <c r="H1726" s="131" t="s">
        <v>5203</v>
      </c>
      <c r="J1726" s="131" t="s">
        <v>556</v>
      </c>
      <c r="K1726" s="539">
        <f>IF(calcR2LOB2Clinician3Emp3BaseProd=0,0,cbalR2LOB2AvgMissPercClinician3*paramR2LOB2Disc4Missed*paramR2LOB2Clinician3Missed)</f>
        <v>0</v>
      </c>
      <c r="L1726" s="539">
        <f>IF(calcR2LOB2Clinician3Emp3BaseProd=0,0,cbalR2LOB2AvgMissPercClinician3*paramR2LOB2Disc4Missed*paramR2LOB2Clinician3Missed)</f>
        <v>0</v>
      </c>
      <c r="M1726" s="539">
        <f>IF(calcR2LOB2Clinician3Emp3BaseProd=0,0,cbalR2LOB2AvgMissPercClinician3*paramR2LOB2Disc4Missed*paramR2LOB2Clinician3Missed)</f>
        <v>0</v>
      </c>
      <c r="N1726" s="131" t="s">
        <v>7177</v>
      </c>
    </row>
    <row r="1727" spans="1:14" ht="12.75" customHeight="1">
      <c r="A1727" s="478"/>
      <c r="B1727" s="635"/>
      <c r="C1727" s="170">
        <v>4</v>
      </c>
      <c r="D1727" s="131" t="s">
        <v>556</v>
      </c>
      <c r="E1727" s="539">
        <f>IF(calcLOB2Clinician4Emp3BaseProd=0,0,cbalLOB2AvgMissPercClinician4*paramLOB2Disc4Missed*paramLOB2Clinician4Missed)</f>
        <v>0</v>
      </c>
      <c r="F1727" s="539">
        <f>IF(calcLOB2Clinician4Emp3BaseProd=0,0,cbalLOB2AvgMissPercClinician4*paramLOB2Disc4Missed*paramLOB2Clinician4Missed)</f>
        <v>0</v>
      </c>
      <c r="G1727" s="539">
        <f>IF(calcLOB2Clinician4Emp3BaseProd=0,0,cbalLOB2AvgMissPercClinician4*paramLOB2Disc4Missed*paramLOB2Clinician4Missed)</f>
        <v>0</v>
      </c>
      <c r="H1727" s="131" t="s">
        <v>5204</v>
      </c>
      <c r="J1727" s="131" t="s">
        <v>556</v>
      </c>
      <c r="K1727" s="539">
        <f>IF(calcR2LOB2Clinician4Emp3BaseProd=0,0,cbalR2LOB2AvgMissPercClinician4*paramR2LOB2Disc4Missed*paramR2LOB2Clinician4Missed)</f>
        <v>0</v>
      </c>
      <c r="L1727" s="539">
        <f>IF(calcR2LOB2Clinician4Emp3BaseProd=0,0,cbalR2LOB2AvgMissPercClinician4*paramR2LOB2Disc4Missed*paramR2LOB2Clinician4Missed)</f>
        <v>0</v>
      </c>
      <c r="M1727" s="539">
        <f>IF(calcR2LOB2Clinician4Emp3BaseProd=0,0,cbalR2LOB2AvgMissPercClinician4*paramR2LOB2Disc4Missed*paramR2LOB2Clinician4Missed)</f>
        <v>0</v>
      </c>
      <c r="N1727" s="131" t="s">
        <v>7178</v>
      </c>
    </row>
    <row r="1728" spans="1:14" ht="12.75" customHeight="1">
      <c r="A1728" s="478"/>
      <c r="B1728" s="635"/>
      <c r="C1728" s="170">
        <v>5</v>
      </c>
      <c r="D1728" s="131" t="s">
        <v>556</v>
      </c>
      <c r="E1728" s="539">
        <f>IF(calcLOB2Clinician5Emp3BaseProd=0,0,cbalLOB2AvgMissPercClinician5*paramLOB2Disc4Missed*paramLOB2Clinician5Missed)</f>
        <v>0</v>
      </c>
      <c r="F1728" s="539">
        <f>IF(calcLOB2Clinician5Emp3BaseProd=0,0,cbalLOB2AvgMissPercClinician5*paramLOB2Disc4Missed*paramLOB2Clinician5Missed)</f>
        <v>0</v>
      </c>
      <c r="G1728" s="539">
        <f>IF(calcLOB2Clinician5Emp3BaseProd=0,0,cbalLOB2AvgMissPercClinician5*paramLOB2Disc4Missed*paramLOB2Clinician5Missed)</f>
        <v>0</v>
      </c>
      <c r="H1728" s="131" t="s">
        <v>5205</v>
      </c>
      <c r="J1728" s="131" t="s">
        <v>556</v>
      </c>
      <c r="K1728" s="539">
        <f>IF(calcR2LOB2Clinician5Emp3BaseProd=0,0,cbalR2LOB2AvgMissPercClinician5*paramR2LOB2Disc4Missed*paramR2LOB2Clinician5Missed)</f>
        <v>0</v>
      </c>
      <c r="L1728" s="539">
        <f>IF(calcR2LOB2Clinician5Emp3BaseProd=0,0,cbalR2LOB2AvgMissPercClinician5*paramR2LOB2Disc4Missed*paramR2LOB2Clinician5Missed)</f>
        <v>0</v>
      </c>
      <c r="M1728" s="539">
        <f>IF(calcR2LOB2Clinician5Emp3BaseProd=0,0,cbalR2LOB2AvgMissPercClinician5*paramR2LOB2Disc4Missed*paramR2LOB2Clinician5Missed)</f>
        <v>0</v>
      </c>
      <c r="N1728" s="131" t="s">
        <v>7179</v>
      </c>
    </row>
    <row r="1729" spans="1:14" ht="12.75" customHeight="1">
      <c r="A1729" s="478"/>
      <c r="B1729" s="635"/>
      <c r="C1729" s="170">
        <v>6</v>
      </c>
      <c r="D1729" s="131" t="s">
        <v>556</v>
      </c>
      <c r="E1729" s="539">
        <f>IF(calcLOB2Clinician6Emp3BaseProd=0,0,cbalLOB2AvgMissPercClinician6*paramLOB2Disc4Missed*paramLOB2Clinician6Missed)</f>
        <v>0</v>
      </c>
      <c r="F1729" s="539">
        <f>IF(calcLOB2Clinician6Emp3BaseProd=0,0,cbalLOB2AvgMissPercClinician6*paramLOB2Disc4Missed*paramLOB2Clinician6Missed)</f>
        <v>0</v>
      </c>
      <c r="G1729" s="539">
        <f>IF(calcLOB2Clinician6Emp3BaseProd=0,0,cbalLOB2AvgMissPercClinician6*paramLOB2Disc4Missed*paramLOB2Clinician6Missed)</f>
        <v>0</v>
      </c>
      <c r="H1729" s="131" t="s">
        <v>5206</v>
      </c>
      <c r="J1729" s="131" t="s">
        <v>556</v>
      </c>
      <c r="K1729" s="539">
        <f>IF(calcR2LOB2Clinician6Emp3BaseProd=0,0,cbalR2LOB2AvgMissPercClinician6*paramR2LOB2Disc4Missed*paramR2LOB2Clinician6Missed)</f>
        <v>0</v>
      </c>
      <c r="L1729" s="539">
        <f>IF(calcR2LOB2Clinician6Emp3BaseProd=0,0,cbalR2LOB2AvgMissPercClinician6*paramR2LOB2Disc4Missed*paramR2LOB2Clinician6Missed)</f>
        <v>0</v>
      </c>
      <c r="M1729" s="539">
        <f>IF(calcR2LOB2Clinician6Emp3BaseProd=0,0,cbalR2LOB2AvgMissPercClinician6*paramR2LOB2Disc4Missed*paramR2LOB2Clinician6Missed)</f>
        <v>0</v>
      </c>
      <c r="N1729" s="131" t="s">
        <v>7180</v>
      </c>
    </row>
    <row r="1730" spans="1:14" ht="12.75" customHeight="1">
      <c r="A1730" s="478"/>
      <c r="B1730" s="635"/>
      <c r="C1730" s="170">
        <v>7</v>
      </c>
      <c r="D1730" s="131" t="s">
        <v>556</v>
      </c>
      <c r="E1730" s="539">
        <f>IF(calcLOB2Clinician7Emp3BaseProd=0,0,cbalLOB2AvgMissPercClinician7*paramLOB2Disc4Missed*paramLOB2Clinician7Missed)</f>
        <v>0.18</v>
      </c>
      <c r="F1730" s="539">
        <f>IF(calcLOB2Clinician7Emp3BaseProd=0,0,cbalLOB2AvgMissPercClinician7*paramLOB2Disc4Missed*paramLOB2Clinician7Missed)</f>
        <v>0.18</v>
      </c>
      <c r="G1730" s="539">
        <f>IF(calcLOB2Clinician7Emp3BaseProd=0,0,cbalLOB2AvgMissPercClinician7*paramLOB2Disc4Missed*paramLOB2Clinician7Missed)</f>
        <v>0.18</v>
      </c>
      <c r="H1730" s="131" t="s">
        <v>5207</v>
      </c>
      <c r="J1730" s="131" t="s">
        <v>556</v>
      </c>
      <c r="K1730" s="539">
        <f>IF(calcR2LOB2Clinician7Emp3BaseProd=0,0,cbalR2LOB2AvgMissPercClinician7*paramR2LOB2Disc4Missed*paramR2LOB2Clinician7Missed)</f>
        <v>0.18</v>
      </c>
      <c r="L1730" s="539">
        <f>IF(calcR2LOB2Clinician7Emp3BaseProd=0,0,cbalR2LOB2AvgMissPercClinician7*paramR2LOB2Disc4Missed*paramR2LOB2Clinician7Missed)</f>
        <v>0.18</v>
      </c>
      <c r="M1730" s="539">
        <f>IF(calcR2LOB2Clinician7Emp3BaseProd=0,0,cbalR2LOB2AvgMissPercClinician7*paramR2LOB2Disc4Missed*paramR2LOB2Clinician7Missed)</f>
        <v>0.18</v>
      </c>
      <c r="N1730" s="131" t="s">
        <v>7181</v>
      </c>
    </row>
    <row r="1731" spans="1:14" ht="12.75" customHeight="1">
      <c r="A1731" s="478"/>
      <c r="B1731" s="635"/>
      <c r="C1731" s="170">
        <v>8</v>
      </c>
      <c r="D1731" s="131" t="s">
        <v>556</v>
      </c>
      <c r="E1731" s="539">
        <f>IF(calcLOB2Clinician8Emp3BaseProd=0,0,cbalLOB2AvgMissPercClinician8*paramLOB2Disc4Missed*paramLOB2Clinician8Missed)</f>
        <v>0.125</v>
      </c>
      <c r="F1731" s="539">
        <f>IF(calcLOB2Clinician8Emp3BaseProd=0,0,cbalLOB2AvgMissPercClinician8*paramLOB2Disc4Missed*paramLOB2Clinician8Missed)</f>
        <v>0.125</v>
      </c>
      <c r="G1731" s="539">
        <f>IF(calcLOB2Clinician8Emp3BaseProd=0,0,cbalLOB2AvgMissPercClinician8*paramLOB2Disc4Missed*paramLOB2Clinician8Missed)</f>
        <v>0.125</v>
      </c>
      <c r="H1731" s="131" t="s">
        <v>5208</v>
      </c>
      <c r="J1731" s="131" t="s">
        <v>556</v>
      </c>
      <c r="K1731" s="539">
        <f>IF(calcR2LOB2Clinician8Emp3BaseProd=0,0,cbalR2LOB2AvgMissPercClinician8*paramR2LOB2Disc4Missed*paramR2LOB2Clinician8Missed)</f>
        <v>0.125</v>
      </c>
      <c r="L1731" s="539">
        <f>IF(calcR2LOB2Clinician8Emp3BaseProd=0,0,cbalR2LOB2AvgMissPercClinician8*paramR2LOB2Disc4Missed*paramR2LOB2Clinician8Missed)</f>
        <v>0.125</v>
      </c>
      <c r="M1731" s="539">
        <f>IF(calcR2LOB2Clinician8Emp3BaseProd=0,0,cbalR2LOB2AvgMissPercClinician8*paramR2LOB2Disc4Missed*paramR2LOB2Clinician8Missed)</f>
        <v>0.125</v>
      </c>
      <c r="N1731" s="131" t="s">
        <v>7182</v>
      </c>
    </row>
    <row r="1732" spans="1:14" ht="12.75" customHeight="1">
      <c r="A1732" s="478"/>
      <c r="B1732" s="635"/>
      <c r="C1732" s="170">
        <v>9</v>
      </c>
      <c r="D1732" s="131" t="s">
        <v>556</v>
      </c>
      <c r="E1732" s="539">
        <f>IF(calcLOB2Clinician9Emp3BaseProd=0,0,cbalLOB2AvgMissPercClinician9*paramLOB2Disc4Missed*paramLOB2Clinician9Missed)</f>
        <v>0.05</v>
      </c>
      <c r="F1732" s="539">
        <f>IF(calcLOB2Clinician9Emp3BaseProd=0,0,cbalLOB2AvgMissPercClinician9*paramLOB2Disc4Missed*paramLOB2Clinician9Missed)</f>
        <v>0.05</v>
      </c>
      <c r="G1732" s="539">
        <f>IF(calcLOB2Clinician9Emp3BaseProd=0,0,cbalLOB2AvgMissPercClinician9*paramLOB2Disc4Missed*paramLOB2Clinician9Missed)</f>
        <v>0.05</v>
      </c>
      <c r="H1732" s="131" t="s">
        <v>5209</v>
      </c>
      <c r="J1732" s="131" t="s">
        <v>556</v>
      </c>
      <c r="K1732" s="539">
        <f>IF(calcR2LOB2Clinician9Emp3BaseProd=0,0,cbalR2LOB2AvgMissPercClinician9*paramR2LOB2Disc4Missed*paramR2LOB2Clinician9Missed)</f>
        <v>0.05</v>
      </c>
      <c r="L1732" s="539">
        <f>IF(calcR2LOB2Clinician9Emp3BaseProd=0,0,cbalR2LOB2AvgMissPercClinician9*paramR2LOB2Disc4Missed*paramR2LOB2Clinician9Missed)</f>
        <v>0.05</v>
      </c>
      <c r="M1732" s="539">
        <f>IF(calcR2LOB2Clinician9Emp3BaseProd=0,0,cbalR2LOB2AvgMissPercClinician9*paramR2LOB2Disc4Missed*paramR2LOB2Clinician9Missed)</f>
        <v>0.05</v>
      </c>
      <c r="N1732" s="131" t="s">
        <v>7183</v>
      </c>
    </row>
    <row r="1733" spans="1:14" ht="12.75" customHeight="1">
      <c r="A1733" s="478"/>
      <c r="B1733" s="635"/>
      <c r="C1733" s="170">
        <v>10</v>
      </c>
      <c r="D1733" s="131" t="s">
        <v>556</v>
      </c>
      <c r="E1733" s="539">
        <f>IF(calcLOB2Clinician10Emp3BaseProd=0,0,cbalLOB2AvgMissPercClinician10*paramLOB2Disc4Missed*paramLOB2Clinician10Missed)</f>
        <v>0</v>
      </c>
      <c r="F1733" s="539">
        <f>IF(calcLOB2Clinician10Emp3BaseProd=0,0,cbalLOB2AvgMissPercClinician10*paramLOB2Disc4Missed*paramLOB2Clinician10Missed)</f>
        <v>0</v>
      </c>
      <c r="G1733" s="539">
        <f>IF(calcLOB2Clinician10Emp3BaseProd=0,0,cbalLOB2AvgMissPercClinician10*paramLOB2Disc4Missed*paramLOB2Clinician10Missed)</f>
        <v>0</v>
      </c>
      <c r="H1733" s="131" t="s">
        <v>5210</v>
      </c>
      <c r="J1733" s="131" t="s">
        <v>556</v>
      </c>
      <c r="K1733" s="539">
        <f>IF(calcR2LOB2Clinician10Emp3BaseProd=0,0,cbalR2LOB2AvgMissPercClinician10*paramR2LOB2Disc4Missed*paramR2LOB2Clinician10Missed)</f>
        <v>0</v>
      </c>
      <c r="L1733" s="539">
        <f>IF(calcR2LOB2Clinician10Emp3BaseProd=0,0,cbalR2LOB2AvgMissPercClinician10*paramR2LOB2Disc4Missed*paramR2LOB2Clinician10Missed)</f>
        <v>0</v>
      </c>
      <c r="M1733" s="539">
        <f>IF(calcR2LOB2Clinician10Emp3BaseProd=0,0,cbalR2LOB2AvgMissPercClinician10*paramR2LOB2Disc4Missed*paramR2LOB2Clinician10Missed)</f>
        <v>0</v>
      </c>
      <c r="N1733" s="131" t="s">
        <v>7184</v>
      </c>
    </row>
    <row r="1734" spans="1:14" ht="12.75" customHeight="1">
      <c r="A1734" s="478"/>
      <c r="B1734" s="635"/>
      <c r="C1734" s="170">
        <v>11</v>
      </c>
      <c r="D1734" s="131" t="s">
        <v>556</v>
      </c>
      <c r="E1734" s="539">
        <f>IF(calcLOB2Clinician11Emp3BaseProd=0,0,cbalLOB2AvgMissPercClinician11*paramLOB2Disc4Missed*paramLOB2Clinician11Missed)</f>
        <v>0</v>
      </c>
      <c r="F1734" s="539">
        <f>IF(calcLOB2Clinician11Emp3BaseProd=0,0,cbalLOB2AvgMissPercClinician11*paramLOB2Disc4Missed*paramLOB2Clinician11Missed)</f>
        <v>0</v>
      </c>
      <c r="G1734" s="539">
        <f>IF(calcLOB2Clinician11Emp3BaseProd=0,0,cbalLOB2AvgMissPercClinician11*paramLOB2Disc4Missed*paramLOB2Clinician11Missed)</f>
        <v>0</v>
      </c>
      <c r="H1734" s="131" t="s">
        <v>5211</v>
      </c>
      <c r="J1734" s="131" t="s">
        <v>556</v>
      </c>
      <c r="K1734" s="539">
        <f>IF(calcR2LOB2Clinician11Emp3BaseProd=0,0,cbalR2LOB2AvgMissPercClinician11*paramR2LOB2Disc4Missed*paramR2LOB2Clinician11Missed)</f>
        <v>0</v>
      </c>
      <c r="L1734" s="539">
        <f>IF(calcR2LOB2Clinician11Emp3BaseProd=0,0,cbalR2LOB2AvgMissPercClinician11*paramR2LOB2Disc4Missed*paramR2LOB2Clinician11Missed)</f>
        <v>0</v>
      </c>
      <c r="M1734" s="539">
        <f>IF(calcR2LOB2Clinician11Emp3BaseProd=0,0,cbalR2LOB2AvgMissPercClinician11*paramR2LOB2Disc4Missed*paramR2LOB2Clinician11Missed)</f>
        <v>0</v>
      </c>
      <c r="N1734" s="131" t="s">
        <v>7185</v>
      </c>
    </row>
    <row r="1735" spans="1:14" ht="12.75" customHeight="1">
      <c r="A1735" s="478"/>
      <c r="B1735" s="635"/>
      <c r="C1735" s="170">
        <v>12</v>
      </c>
      <c r="D1735" s="131" t="s">
        <v>556</v>
      </c>
      <c r="E1735" s="539">
        <f>IF(calcLOB2Clinician12Emp3BaseProd=0,0,cbalLOB2AvgMissPercClinician12*paramLOB2Disc4Missed*paramLOB2Clinician12Missed)</f>
        <v>0</v>
      </c>
      <c r="F1735" s="539">
        <f>IF(calcLOB2Clinician12Emp3BaseProd=0,0,cbalLOB2AvgMissPercClinician12*paramLOB2Disc4Missed*paramLOB2Clinician12Missed)</f>
        <v>0</v>
      </c>
      <c r="G1735" s="539">
        <f>IF(calcLOB2Clinician12Emp3BaseProd=0,0,cbalLOB2AvgMissPercClinician12*paramLOB2Disc4Missed*paramLOB2Clinician12Missed)</f>
        <v>0</v>
      </c>
      <c r="H1735" s="131" t="s">
        <v>5212</v>
      </c>
      <c r="J1735" s="131" t="s">
        <v>556</v>
      </c>
      <c r="K1735" s="539">
        <f>IF(calcR2LOB2Clinician12Emp3BaseProd=0,0,cbalR2LOB2AvgMissPercClinician12*paramR2LOB2Disc4Missed*paramR2LOB2Clinician12Missed)</f>
        <v>0</v>
      </c>
      <c r="L1735" s="539">
        <f>IF(calcR2LOB2Clinician12Emp3BaseProd=0,0,cbalR2LOB2AvgMissPercClinician12*paramR2LOB2Disc4Missed*paramR2LOB2Clinician12Missed)</f>
        <v>0</v>
      </c>
      <c r="M1735" s="539">
        <f>IF(calcR2LOB2Clinician12Emp3BaseProd=0,0,cbalR2LOB2AvgMissPercClinician12*paramR2LOB2Disc4Missed*paramR2LOB2Clinician12Missed)</f>
        <v>0</v>
      </c>
      <c r="N1735" s="131" t="s">
        <v>7186</v>
      </c>
    </row>
    <row r="1736" spans="1:14" ht="12.75" customHeight="1">
      <c r="A1736" s="478"/>
      <c r="B1736" s="635"/>
      <c r="D1736" s="131" t="s">
        <v>556</v>
      </c>
      <c r="E1736" s="644">
        <f>IF(calcLOB2Clinician15Emp3BaseProd=0,0,cbalLOB2AvgMissPercClinician15*paramLOB2Disc4Missed)</f>
        <v>6.25E-2</v>
      </c>
      <c r="F1736" s="644">
        <f>IF(calcLOB2Clinician15Emp3BaseProd=0,0,cbalLOB2AvgMissPercClinician15*paramLOB2Disc4Missed)</f>
        <v>6.25E-2</v>
      </c>
      <c r="G1736" s="644">
        <f>IF(calcLOB2Clinician15Emp3BaseProd=0,0,cbalLOB2AvgMissPercClinician15*paramLOB2Disc4Missed)</f>
        <v>6.25E-2</v>
      </c>
      <c r="H1736" s="131" t="s">
        <v>5213</v>
      </c>
      <c r="J1736" s="131" t="s">
        <v>556</v>
      </c>
      <c r="K1736" s="644">
        <f>IF(calcR2LOB2Clinician15Emp3BaseProd=0,0,cbalR2LOB2AvgMissPercClinician15*paramR2LOB2Disc4Missed)</f>
        <v>6.25E-2</v>
      </c>
      <c r="L1736" s="644">
        <f>IF(calcR2LOB2Clinician15Emp3BaseProd=0,0,cbalR2LOB2AvgMissPercClinician15*paramR2LOB2Disc4Missed)</f>
        <v>6.25E-2</v>
      </c>
      <c r="M1736" s="644">
        <f>IF(calcR2LOB2Clinician15Emp3BaseProd=0,0,cbalR2LOB2AvgMissPercClinician15*paramR2LOB2Disc4Missed)</f>
        <v>6.25E-2</v>
      </c>
      <c r="N1736" s="131" t="s">
        <v>7187</v>
      </c>
    </row>
    <row r="1737" spans="1:14" ht="12.75" customHeight="1">
      <c r="A1737" s="478"/>
      <c r="B1737" s="635"/>
      <c r="D1737" s="131"/>
      <c r="E1737" s="452"/>
      <c r="F1737" s="452"/>
      <c r="G1737" s="452"/>
      <c r="J1737" s="131"/>
      <c r="K1737" s="452"/>
      <c r="L1737" s="452"/>
      <c r="M1737" s="452"/>
    </row>
    <row r="1738" spans="1:14" ht="12.75" customHeight="1">
      <c r="A1738" s="478"/>
      <c r="B1738" s="460"/>
      <c r="C1738" s="131" t="s">
        <v>1615</v>
      </c>
    </row>
    <row r="1739" spans="1:14" ht="12.75" customHeight="1">
      <c r="A1739" s="478"/>
      <c r="B1739" s="460"/>
      <c r="C1739" s="170">
        <v>1</v>
      </c>
      <c r="D1739" s="131" t="s">
        <v>556</v>
      </c>
      <c r="E1739" s="539">
        <f>IF(calcLOB2Clinician1Emp3BaseProd=0,0,cbalLOB2AvgMissPercClinician1+(calcLOB2Clinician1Emp3GrossProd/calcLOB2Clinician1Emp3BaseProd-1)/paramTimeConversion)</f>
        <v>0</v>
      </c>
      <c r="F1739" s="539">
        <f>IF(calcLOB2Clinician1Emp3BaseProd=0,0,cbalLOB2AvgMissPercClinician1+(calcLOB2Clinician1Emp3GrossProd/calcLOB2Clinician1Emp3BaseProd-1)/paramTimeConversion)</f>
        <v>0</v>
      </c>
      <c r="G1739" s="539">
        <f>IF(calcLOB2Clinician1Emp3BaseProd=0,0,cbalLOB2AvgMissPercClinician1+(calcLOB2Clinician1Emp3GrossProd/calcLOB2Clinician1Emp3BaseProd-1)/paramTimeConversion)</f>
        <v>0</v>
      </c>
      <c r="H1739" s="131" t="s">
        <v>3927</v>
      </c>
      <c r="J1739" s="131" t="s">
        <v>556</v>
      </c>
      <c r="K1739" s="539">
        <f>IF(calcR2LOB2Clinician1Emp3BaseProd=0,0,cbalR2LOB2AvgMissPercClinician1+(calcR2LOB2Clinician1Emp3GrossProd/calcR2LOB2Clinician1Emp3BaseProd-1)/paramR2TimeConversion)</f>
        <v>0</v>
      </c>
      <c r="L1739" s="539">
        <f>IF(calcR2LOB2Clinician1Emp3BaseProd=0,0,cbalR2LOB2AvgMissPercClinician1+(calcR2LOB2Clinician1Emp3GrossProd/calcR2LOB2Clinician1Emp3BaseProd-1)/paramR2TimeConversion)</f>
        <v>0</v>
      </c>
      <c r="M1739" s="539">
        <f>IF(calcR2LOB2Clinician1Emp3BaseProd=0,0,cbalR2LOB2AvgMissPercClinician1+(calcR2LOB2Clinician1Emp3GrossProd/calcR2LOB2Clinician1Emp3BaseProd-1)/paramR2TimeConversion)</f>
        <v>0</v>
      </c>
      <c r="N1739" s="131" t="s">
        <v>7188</v>
      </c>
    </row>
    <row r="1740" spans="1:14" ht="12.75" customHeight="1">
      <c r="A1740" s="478"/>
      <c r="B1740" s="460"/>
      <c r="C1740" s="170">
        <v>2</v>
      </c>
      <c r="D1740" s="131" t="s">
        <v>556</v>
      </c>
      <c r="E1740" s="539">
        <f>IF(calcLOB2Clinician2Emp3BaseProd=0,0,cbalLOB2AvgMissPercClinician2+(calcLOB2Clinician2Emp3GrossProd/calcLOB2Clinician2Emp3BaseProd-1)/paramTimeConversion)</f>
        <v>0</v>
      </c>
      <c r="F1740" s="539">
        <f>IF(calcLOB2Clinician2Emp3BaseProd=0,0,cbalLOB2AvgMissPercClinician2+(calcLOB2Clinician2Emp3GrossProd/calcLOB2Clinician2Emp3BaseProd-1)/paramTimeConversion)</f>
        <v>0</v>
      </c>
      <c r="G1740" s="539">
        <f>IF(calcLOB2Clinician2Emp3BaseProd=0,0,cbalLOB2AvgMissPercClinician2+(calcLOB2Clinician2Emp3GrossProd/calcLOB2Clinician2Emp3BaseProd-1)/paramTimeConversion)</f>
        <v>0</v>
      </c>
      <c r="H1740" s="131" t="s">
        <v>3928</v>
      </c>
      <c r="J1740" s="131" t="s">
        <v>556</v>
      </c>
      <c r="K1740" s="539">
        <f>IF(calcR2LOB2Clinician2Emp3BaseProd=0,0,cbalR2LOB2AvgMissPercClinician2+(calcR2LOB2Clinician2Emp3GrossProd/calcR2LOB2Clinician2Emp3BaseProd-1)/paramR2TimeConversion)</f>
        <v>0</v>
      </c>
      <c r="L1740" s="539">
        <f>IF(calcR2LOB2Clinician2Emp3BaseProd=0,0,cbalR2LOB2AvgMissPercClinician2+(calcR2LOB2Clinician2Emp3GrossProd/calcR2LOB2Clinician2Emp3BaseProd-1)/paramR2TimeConversion)</f>
        <v>0</v>
      </c>
      <c r="M1740" s="539">
        <f>IF(calcR2LOB2Clinician2Emp3BaseProd=0,0,cbalR2LOB2AvgMissPercClinician2+(calcR2LOB2Clinician2Emp3GrossProd/calcR2LOB2Clinician2Emp3BaseProd-1)/paramR2TimeConversion)</f>
        <v>0</v>
      </c>
      <c r="N1740" s="131" t="s">
        <v>7189</v>
      </c>
    </row>
    <row r="1741" spans="1:14" ht="12.75" customHeight="1">
      <c r="A1741" s="478"/>
      <c r="B1741" s="460"/>
      <c r="C1741" s="170">
        <v>3</v>
      </c>
      <c r="D1741" s="131" t="s">
        <v>556</v>
      </c>
      <c r="E1741" s="539">
        <f>IF(calcLOB2Clinician3Emp3BaseProd=0,0,cbalLOB2AvgMissPercClinician3+(calcLOB2Clinician3Emp3GrossProd/calcLOB2Clinician3Emp3BaseProd-1)/paramTimeConversion)</f>
        <v>0</v>
      </c>
      <c r="F1741" s="539">
        <f>IF(calcLOB2Clinician3Emp3BaseProd=0,0,cbalLOB2AvgMissPercClinician3+(calcLOB2Clinician3Emp3GrossProd/calcLOB2Clinician3Emp3BaseProd-1)/paramTimeConversion)</f>
        <v>0</v>
      </c>
      <c r="G1741" s="539">
        <f>IF(calcLOB2Clinician3Emp3BaseProd=0,0,cbalLOB2AvgMissPercClinician3+(calcLOB2Clinician3Emp3GrossProd/calcLOB2Clinician3Emp3BaseProd-1)/paramTimeConversion)</f>
        <v>0</v>
      </c>
      <c r="H1741" s="131" t="s">
        <v>3929</v>
      </c>
      <c r="J1741" s="131" t="s">
        <v>556</v>
      </c>
      <c r="K1741" s="539">
        <f>IF(calcR2LOB2Clinician3Emp3BaseProd=0,0,cbalR2LOB2AvgMissPercClinician3+(calcR2LOB2Clinician3Emp3GrossProd/calcR2LOB2Clinician3Emp3BaseProd-1)/paramR2TimeConversion)</f>
        <v>0</v>
      </c>
      <c r="L1741" s="539">
        <f>IF(calcR2LOB2Clinician3Emp3BaseProd=0,0,cbalR2LOB2AvgMissPercClinician3+(calcR2LOB2Clinician3Emp3GrossProd/calcR2LOB2Clinician3Emp3BaseProd-1)/paramR2TimeConversion)</f>
        <v>0</v>
      </c>
      <c r="M1741" s="539">
        <f>IF(calcR2LOB2Clinician3Emp3BaseProd=0,0,cbalR2LOB2AvgMissPercClinician3+(calcR2LOB2Clinician3Emp3GrossProd/calcR2LOB2Clinician3Emp3BaseProd-1)/paramR2TimeConversion)</f>
        <v>0</v>
      </c>
      <c r="N1741" s="131" t="s">
        <v>7190</v>
      </c>
    </row>
    <row r="1742" spans="1:14" ht="12.75" customHeight="1">
      <c r="A1742" s="478"/>
      <c r="B1742" s="460"/>
      <c r="C1742" s="170">
        <v>4</v>
      </c>
      <c r="D1742" s="131" t="s">
        <v>556</v>
      </c>
      <c r="E1742" s="539">
        <f>IF(calcLOB2Clinician4Emp3BaseProd=0,0,cbalLOB2AvgMissPercClinician4+(calcLOB2Clinician4Emp3GrossProd/calcLOB2Clinician4Emp3BaseProd-1)/paramTimeConversion)</f>
        <v>0</v>
      </c>
      <c r="F1742" s="539">
        <f>IF(calcLOB2Clinician4Emp3BaseProd=0,0,cbalLOB2AvgMissPercClinician4+(calcLOB2Clinician4Emp3GrossProd/calcLOB2Clinician4Emp3BaseProd-1)/paramTimeConversion)</f>
        <v>0</v>
      </c>
      <c r="G1742" s="539">
        <f>IF(calcLOB2Clinician4Emp3BaseProd=0,0,cbalLOB2AvgMissPercClinician4+(calcLOB2Clinician4Emp3GrossProd/calcLOB2Clinician4Emp3BaseProd-1)/paramTimeConversion)</f>
        <v>0</v>
      </c>
      <c r="H1742" s="131" t="s">
        <v>3930</v>
      </c>
      <c r="J1742" s="131" t="s">
        <v>556</v>
      </c>
      <c r="K1742" s="539">
        <f>IF(calcR2LOB2Clinician4Emp3BaseProd=0,0,cbalR2LOB2AvgMissPercClinician4+(calcR2LOB2Clinician4Emp3GrossProd/calcR2LOB2Clinician4Emp3BaseProd-1)/paramR2TimeConversion)</f>
        <v>0</v>
      </c>
      <c r="L1742" s="539">
        <f>IF(calcR2LOB2Clinician4Emp3BaseProd=0,0,cbalR2LOB2AvgMissPercClinician4+(calcR2LOB2Clinician4Emp3GrossProd/calcR2LOB2Clinician4Emp3BaseProd-1)/paramR2TimeConversion)</f>
        <v>0</v>
      </c>
      <c r="M1742" s="539">
        <f>IF(calcR2LOB2Clinician4Emp3BaseProd=0,0,cbalR2LOB2AvgMissPercClinician4+(calcR2LOB2Clinician4Emp3GrossProd/calcR2LOB2Clinician4Emp3BaseProd-1)/paramR2TimeConversion)</f>
        <v>0</v>
      </c>
      <c r="N1742" s="131" t="s">
        <v>7191</v>
      </c>
    </row>
    <row r="1743" spans="1:14" ht="12.75" customHeight="1">
      <c r="A1743" s="478"/>
      <c r="B1743" s="460"/>
      <c r="C1743" s="170">
        <v>5</v>
      </c>
      <c r="D1743" s="131" t="s">
        <v>556</v>
      </c>
      <c r="E1743" s="539">
        <f>IF(calcLOB2Clinician5Emp3BaseProd=0,0,cbalLOB2AvgMissPercClinician5+(calcLOB2Clinician5Emp3GrossProd/calcLOB2Clinician5Emp3BaseProd-1)/paramTimeConversion)</f>
        <v>0</v>
      </c>
      <c r="F1743" s="539">
        <f>IF(calcLOB2Clinician5Emp3BaseProd=0,0,cbalLOB2AvgMissPercClinician5+(calcLOB2Clinician5Emp3GrossProd/calcLOB2Clinician5Emp3BaseProd-1)/paramTimeConversion)</f>
        <v>0</v>
      </c>
      <c r="G1743" s="539">
        <f>IF(calcLOB2Clinician5Emp3BaseProd=0,0,cbalLOB2AvgMissPercClinician5+(calcLOB2Clinician5Emp3GrossProd/calcLOB2Clinician5Emp3BaseProd-1)/paramTimeConversion)</f>
        <v>0</v>
      </c>
      <c r="H1743" s="131" t="s">
        <v>3931</v>
      </c>
      <c r="J1743" s="131" t="s">
        <v>556</v>
      </c>
      <c r="K1743" s="539">
        <f>IF(calcR2LOB2Clinician5Emp3BaseProd=0,0,cbalR2LOB2AvgMissPercClinician5+(calcR2LOB2Clinician5Emp3GrossProd/calcR2LOB2Clinician5Emp3BaseProd-1)/paramR2TimeConversion)</f>
        <v>0</v>
      </c>
      <c r="L1743" s="539">
        <f>IF(calcR2LOB2Clinician5Emp3BaseProd=0,0,cbalR2LOB2AvgMissPercClinician5+(calcR2LOB2Clinician5Emp3GrossProd/calcR2LOB2Clinician5Emp3BaseProd-1)/paramR2TimeConversion)</f>
        <v>0</v>
      </c>
      <c r="M1743" s="539">
        <f>IF(calcR2LOB2Clinician5Emp3BaseProd=0,0,cbalR2LOB2AvgMissPercClinician5+(calcR2LOB2Clinician5Emp3GrossProd/calcR2LOB2Clinician5Emp3BaseProd-1)/paramR2TimeConversion)</f>
        <v>0</v>
      </c>
      <c r="N1743" s="131" t="s">
        <v>7192</v>
      </c>
    </row>
    <row r="1744" spans="1:14" ht="12.75" customHeight="1">
      <c r="A1744" s="478"/>
      <c r="B1744" s="460"/>
      <c r="C1744" s="170">
        <v>6</v>
      </c>
      <c r="D1744" s="131" t="s">
        <v>556</v>
      </c>
      <c r="E1744" s="539">
        <f>IF(calcLOB2Clinician6Emp3BaseProd=0,0,cbalLOB2AvgMissPercClinician6+(calcLOB2Clinician6Emp3GrossProd/calcLOB2Clinician6Emp3BaseProd-1)/paramTimeConversion)</f>
        <v>0</v>
      </c>
      <c r="F1744" s="539">
        <f>IF(calcLOB2Clinician6Emp3BaseProd=0,0,cbalLOB2AvgMissPercClinician6+(calcLOB2Clinician6Emp3GrossProd/calcLOB2Clinician6Emp3BaseProd-1)/paramTimeConversion)</f>
        <v>0</v>
      </c>
      <c r="G1744" s="539">
        <f>IF(calcLOB2Clinician6Emp3BaseProd=0,0,cbalLOB2AvgMissPercClinician6+(calcLOB2Clinician6Emp3GrossProd/calcLOB2Clinician6Emp3BaseProd-1)/paramTimeConversion)</f>
        <v>0</v>
      </c>
      <c r="H1744" s="131" t="s">
        <v>3932</v>
      </c>
      <c r="J1744" s="131" t="s">
        <v>556</v>
      </c>
      <c r="K1744" s="539">
        <f>IF(calcR2LOB2Clinician6Emp3BaseProd=0,0,cbalR2LOB2AvgMissPercClinician6+(calcR2LOB2Clinician6Emp3GrossProd/calcR2LOB2Clinician6Emp3BaseProd-1)/paramR2TimeConversion)</f>
        <v>0</v>
      </c>
      <c r="L1744" s="539">
        <f>IF(calcR2LOB2Clinician6Emp3BaseProd=0,0,cbalR2LOB2AvgMissPercClinician6+(calcR2LOB2Clinician6Emp3GrossProd/calcR2LOB2Clinician6Emp3BaseProd-1)/paramR2TimeConversion)</f>
        <v>0</v>
      </c>
      <c r="M1744" s="539">
        <f>IF(calcR2LOB2Clinician6Emp3BaseProd=0,0,cbalR2LOB2AvgMissPercClinician6+(calcR2LOB2Clinician6Emp3GrossProd/calcR2LOB2Clinician6Emp3BaseProd-1)/paramR2TimeConversion)</f>
        <v>0</v>
      </c>
      <c r="N1744" s="131" t="s">
        <v>7193</v>
      </c>
    </row>
    <row r="1745" spans="1:14" ht="12.75" customHeight="1">
      <c r="A1745" s="478"/>
      <c r="B1745" s="460"/>
      <c r="C1745" s="170">
        <v>7</v>
      </c>
      <c r="D1745" s="131" t="s">
        <v>556</v>
      </c>
      <c r="E1745" s="539">
        <f>IF(calcLOB2Clinician7Emp3BaseProd=0,0,cbalLOB2AvgMissPercClinician7+(calcLOB2Clinician7Emp3GrossProd/calcLOB2Clinician7Emp3BaseProd-1)/paramTimeConversion)</f>
        <v>0.18</v>
      </c>
      <c r="F1745" s="539">
        <f>IF(calcLOB2Clinician7Emp3BaseProd=0,0,cbalLOB2AvgMissPercClinician7+(calcLOB2Clinician7Emp3GrossProd/calcLOB2Clinician7Emp3BaseProd-1)/paramTimeConversion)</f>
        <v>0.18</v>
      </c>
      <c r="G1745" s="539">
        <f>IF(calcLOB2Clinician7Emp3BaseProd=0,0,cbalLOB2AvgMissPercClinician7+(calcLOB2Clinician7Emp3GrossProd/calcLOB2Clinician7Emp3BaseProd-1)/paramTimeConversion)</f>
        <v>0.18</v>
      </c>
      <c r="H1745" s="131" t="s">
        <v>3933</v>
      </c>
      <c r="J1745" s="131" t="s">
        <v>556</v>
      </c>
      <c r="K1745" s="539">
        <f>IF(calcR2LOB2Clinician7Emp3BaseProd=0,0,cbalR2LOB2AvgMissPercClinician7+(calcR2LOB2Clinician7Emp3GrossProd/calcR2LOB2Clinician7Emp3BaseProd-1)/paramR2TimeConversion)</f>
        <v>0.18</v>
      </c>
      <c r="L1745" s="539">
        <f>IF(calcR2LOB2Clinician7Emp3BaseProd=0,0,cbalR2LOB2AvgMissPercClinician7+(calcR2LOB2Clinician7Emp3GrossProd/calcR2LOB2Clinician7Emp3BaseProd-1)/paramR2TimeConversion)</f>
        <v>0.18</v>
      </c>
      <c r="M1745" s="539">
        <f>IF(calcR2LOB2Clinician7Emp3BaseProd=0,0,cbalR2LOB2AvgMissPercClinician7+(calcR2LOB2Clinician7Emp3GrossProd/calcR2LOB2Clinician7Emp3BaseProd-1)/paramR2TimeConversion)</f>
        <v>0.18</v>
      </c>
      <c r="N1745" s="131" t="s">
        <v>7194</v>
      </c>
    </row>
    <row r="1746" spans="1:14" ht="12.75" customHeight="1">
      <c r="A1746" s="478"/>
      <c r="B1746" s="460"/>
      <c r="C1746" s="170">
        <v>8</v>
      </c>
      <c r="D1746" s="131" t="s">
        <v>556</v>
      </c>
      <c r="E1746" s="539">
        <f>IF(calcLOB2Clinician8Emp3BaseProd=0,0,cbalLOB2AvgMissPercClinician8+(calcLOB2Clinician8Emp3GrossProd/calcLOB2Clinician8Emp3BaseProd-1)/paramTimeConversion)</f>
        <v>0.125</v>
      </c>
      <c r="F1746" s="539">
        <f>IF(calcLOB2Clinician8Emp3BaseProd=0,0,cbalLOB2AvgMissPercClinician8+(calcLOB2Clinician8Emp3GrossProd/calcLOB2Clinician8Emp3BaseProd-1)/paramTimeConversion)</f>
        <v>0.125</v>
      </c>
      <c r="G1746" s="539">
        <f>IF(calcLOB2Clinician8Emp3BaseProd=0,0,cbalLOB2AvgMissPercClinician8+(calcLOB2Clinician8Emp3GrossProd/calcLOB2Clinician8Emp3BaseProd-1)/paramTimeConversion)</f>
        <v>0.125</v>
      </c>
      <c r="H1746" s="131" t="s">
        <v>3934</v>
      </c>
      <c r="J1746" s="131" t="s">
        <v>556</v>
      </c>
      <c r="K1746" s="539">
        <f>IF(calcR2LOB2Clinician8Emp3BaseProd=0,0,cbalR2LOB2AvgMissPercClinician8+(calcR2LOB2Clinician8Emp3GrossProd/calcR2LOB2Clinician8Emp3BaseProd-1)/paramR2TimeConversion)</f>
        <v>0.125</v>
      </c>
      <c r="L1746" s="539">
        <f>IF(calcR2LOB2Clinician8Emp3BaseProd=0,0,cbalR2LOB2AvgMissPercClinician8+(calcR2LOB2Clinician8Emp3GrossProd/calcR2LOB2Clinician8Emp3BaseProd-1)/paramR2TimeConversion)</f>
        <v>0.125</v>
      </c>
      <c r="M1746" s="539">
        <f>IF(calcR2LOB2Clinician8Emp3BaseProd=0,0,cbalR2LOB2AvgMissPercClinician8+(calcR2LOB2Clinician8Emp3GrossProd/calcR2LOB2Clinician8Emp3BaseProd-1)/paramR2TimeConversion)</f>
        <v>0.125</v>
      </c>
      <c r="N1746" s="131" t="s">
        <v>7195</v>
      </c>
    </row>
    <row r="1747" spans="1:14" ht="12.75" customHeight="1">
      <c r="A1747" s="478"/>
      <c r="B1747" s="460"/>
      <c r="C1747" s="170">
        <v>9</v>
      </c>
      <c r="D1747" s="131" t="s">
        <v>556</v>
      </c>
      <c r="E1747" s="539">
        <f>IF(calcLOB2Clinician9Emp3BaseProd=0,0,cbalLOB2AvgMissPercClinician9+(calcLOB2Clinician9Emp3GrossProd/calcLOB2Clinician9Emp3BaseProd-1)/paramTimeConversion)</f>
        <v>0.05</v>
      </c>
      <c r="F1747" s="539">
        <f>IF(calcLOB2Clinician9Emp3BaseProd=0,0,cbalLOB2AvgMissPercClinician9+(calcLOB2Clinician9Emp3GrossProd/calcLOB2Clinician9Emp3BaseProd-1)/paramTimeConversion)</f>
        <v>0.05</v>
      </c>
      <c r="G1747" s="539">
        <f>IF(calcLOB2Clinician9Emp3BaseProd=0,0,cbalLOB2AvgMissPercClinician9+(calcLOB2Clinician9Emp3GrossProd/calcLOB2Clinician9Emp3BaseProd-1)/paramTimeConversion)</f>
        <v>0.05</v>
      </c>
      <c r="H1747" s="131" t="s">
        <v>3935</v>
      </c>
      <c r="J1747" s="131" t="s">
        <v>556</v>
      </c>
      <c r="K1747" s="539">
        <f>IF(calcR2LOB2Clinician9Emp3BaseProd=0,0,cbalR2LOB2AvgMissPercClinician9+(calcR2LOB2Clinician9Emp3GrossProd/calcR2LOB2Clinician9Emp3BaseProd-1)/paramR2TimeConversion)</f>
        <v>0.05</v>
      </c>
      <c r="L1747" s="539">
        <f>IF(calcR2LOB2Clinician9Emp3BaseProd=0,0,cbalR2LOB2AvgMissPercClinician9+(calcR2LOB2Clinician9Emp3GrossProd/calcR2LOB2Clinician9Emp3BaseProd-1)/paramR2TimeConversion)</f>
        <v>0.05</v>
      </c>
      <c r="M1747" s="539">
        <f>IF(calcR2LOB2Clinician9Emp3BaseProd=0,0,cbalR2LOB2AvgMissPercClinician9+(calcR2LOB2Clinician9Emp3GrossProd/calcR2LOB2Clinician9Emp3BaseProd-1)/paramR2TimeConversion)</f>
        <v>0.05</v>
      </c>
      <c r="N1747" s="131" t="s">
        <v>7196</v>
      </c>
    </row>
    <row r="1748" spans="1:14" ht="12.75" customHeight="1">
      <c r="A1748" s="478"/>
      <c r="B1748" s="460"/>
      <c r="C1748" s="170">
        <v>10</v>
      </c>
      <c r="D1748" s="131" t="s">
        <v>556</v>
      </c>
      <c r="E1748" s="539">
        <f>IF(calcLOB2Clinician10Emp3BaseProd=0,0,cbalLOB2AvgMissPercClinician10+(calcLOB2Clinician10Emp3GrossProd/calcLOB2Clinician10Emp3BaseProd-1)/paramTimeConversion)</f>
        <v>0</v>
      </c>
      <c r="F1748" s="539">
        <f>IF(calcLOB2Clinician10Emp3BaseProd=0,0,cbalLOB2AvgMissPercClinician10+(calcLOB2Clinician10Emp3GrossProd/calcLOB2Clinician10Emp3BaseProd-1)/paramTimeConversion)</f>
        <v>0</v>
      </c>
      <c r="G1748" s="539">
        <f>IF(calcLOB2Clinician10Emp3BaseProd=0,0,cbalLOB2AvgMissPercClinician10+(calcLOB2Clinician10Emp3GrossProd/calcLOB2Clinician10Emp3BaseProd-1)/paramTimeConversion)</f>
        <v>0</v>
      </c>
      <c r="H1748" s="131" t="s">
        <v>3936</v>
      </c>
      <c r="J1748" s="131" t="s">
        <v>556</v>
      </c>
      <c r="K1748" s="539">
        <f>IF(calcR2LOB2Clinician10Emp3BaseProd=0,0,cbalR2LOB2AvgMissPercClinician10+(calcR2LOB2Clinician10Emp3GrossProd/calcR2LOB2Clinician10Emp3BaseProd-1)/paramR2TimeConversion)</f>
        <v>0</v>
      </c>
      <c r="L1748" s="539">
        <f>IF(calcR2LOB2Clinician10Emp3BaseProd=0,0,cbalR2LOB2AvgMissPercClinician10+(calcR2LOB2Clinician10Emp3GrossProd/calcR2LOB2Clinician10Emp3BaseProd-1)/paramR2TimeConversion)</f>
        <v>0</v>
      </c>
      <c r="M1748" s="539">
        <f>IF(calcR2LOB2Clinician10Emp3BaseProd=0,0,cbalR2LOB2AvgMissPercClinician10+(calcR2LOB2Clinician10Emp3GrossProd/calcR2LOB2Clinician10Emp3BaseProd-1)/paramR2TimeConversion)</f>
        <v>0</v>
      </c>
      <c r="N1748" s="131" t="s">
        <v>7197</v>
      </c>
    </row>
    <row r="1749" spans="1:14" ht="12.75" customHeight="1">
      <c r="A1749" s="478"/>
      <c r="B1749" s="460"/>
      <c r="C1749" s="170">
        <v>11</v>
      </c>
      <c r="D1749" s="131" t="s">
        <v>556</v>
      </c>
      <c r="E1749" s="539">
        <f>IF(calcLOB2Clinician11Emp3BaseProd=0,0,cbalLOB2AvgMissPercClinician11+(calcLOB2Clinician11Emp3GrossProd/calcLOB2Clinician11Emp3BaseProd-1)/paramTimeConversion)</f>
        <v>0</v>
      </c>
      <c r="F1749" s="539">
        <f>IF(calcLOB2Clinician11Emp3BaseProd=0,0,cbalLOB2AvgMissPercClinician11+(calcLOB2Clinician11Emp3GrossProd/calcLOB2Clinician11Emp3BaseProd-1)/paramTimeConversion)</f>
        <v>0</v>
      </c>
      <c r="G1749" s="539">
        <f>IF(calcLOB2Clinician11Emp3BaseProd=0,0,cbalLOB2AvgMissPercClinician11+(calcLOB2Clinician11Emp3GrossProd/calcLOB2Clinician11Emp3BaseProd-1)/paramTimeConversion)</f>
        <v>0</v>
      </c>
      <c r="H1749" s="131" t="s">
        <v>3937</v>
      </c>
      <c r="J1749" s="131" t="s">
        <v>556</v>
      </c>
      <c r="K1749" s="539">
        <f>IF(calcR2LOB2Clinician11Emp3BaseProd=0,0,cbalR2LOB2AvgMissPercClinician11+(calcR2LOB2Clinician11Emp3GrossProd/calcR2LOB2Clinician11Emp3BaseProd-1)/paramR2TimeConversion)</f>
        <v>0</v>
      </c>
      <c r="L1749" s="539">
        <f>IF(calcR2LOB2Clinician11Emp3BaseProd=0,0,cbalR2LOB2AvgMissPercClinician11+(calcR2LOB2Clinician11Emp3GrossProd/calcR2LOB2Clinician11Emp3BaseProd-1)/paramR2TimeConversion)</f>
        <v>0</v>
      </c>
      <c r="M1749" s="539">
        <f>IF(calcR2LOB2Clinician11Emp3BaseProd=0,0,cbalR2LOB2AvgMissPercClinician11+(calcR2LOB2Clinician11Emp3GrossProd/calcR2LOB2Clinician11Emp3BaseProd-1)/paramR2TimeConversion)</f>
        <v>0</v>
      </c>
      <c r="N1749" s="131" t="s">
        <v>7198</v>
      </c>
    </row>
    <row r="1750" spans="1:14" ht="12.75" customHeight="1">
      <c r="A1750" s="478"/>
      <c r="B1750" s="460"/>
      <c r="C1750" s="170">
        <v>12</v>
      </c>
      <c r="D1750" s="131" t="s">
        <v>556</v>
      </c>
      <c r="E1750" s="539">
        <f>IF(calcLOB2Clinician12Emp3BaseProd=0,0,cbalLOB2AvgMissPercClinician12+(calcLOB2Clinician12Emp3GrossProd/calcLOB2Clinician12Emp3BaseProd-1)/paramTimeConversion)</f>
        <v>0</v>
      </c>
      <c r="F1750" s="539">
        <f>IF(calcLOB2Clinician12Emp3BaseProd=0,0,cbalLOB2AvgMissPercClinician12+(calcLOB2Clinician12Emp3GrossProd/calcLOB2Clinician12Emp3BaseProd-1)/paramTimeConversion)</f>
        <v>0</v>
      </c>
      <c r="G1750" s="539">
        <f>IF(calcLOB2Clinician12Emp3BaseProd=0,0,cbalLOB2AvgMissPercClinician12+(calcLOB2Clinician12Emp3GrossProd/calcLOB2Clinician12Emp3BaseProd-1)/paramTimeConversion)</f>
        <v>0</v>
      </c>
      <c r="H1750" s="131" t="s">
        <v>3938</v>
      </c>
      <c r="J1750" s="131" t="s">
        <v>556</v>
      </c>
      <c r="K1750" s="539">
        <f>IF(calcR2LOB2Clinician12Emp3BaseProd=0,0,cbalR2LOB2AvgMissPercClinician12+(calcR2LOB2Clinician12Emp3GrossProd/calcR2LOB2Clinician12Emp3BaseProd-1)/paramR2TimeConversion)</f>
        <v>0</v>
      </c>
      <c r="L1750" s="539">
        <f>IF(calcR2LOB2Clinician12Emp3BaseProd=0,0,cbalR2LOB2AvgMissPercClinician12+(calcR2LOB2Clinician12Emp3GrossProd/calcR2LOB2Clinician12Emp3BaseProd-1)/paramR2TimeConversion)</f>
        <v>0</v>
      </c>
      <c r="M1750" s="539">
        <f>IF(calcR2LOB2Clinician12Emp3BaseProd=0,0,cbalR2LOB2AvgMissPercClinician12+(calcR2LOB2Clinician12Emp3GrossProd/calcR2LOB2Clinician12Emp3BaseProd-1)/paramR2TimeConversion)</f>
        <v>0</v>
      </c>
      <c r="N1750" s="131" t="s">
        <v>7199</v>
      </c>
    </row>
    <row r="1751" spans="1:14" ht="12.75" customHeight="1">
      <c r="A1751" s="478"/>
      <c r="B1751" s="460"/>
      <c r="D1751" s="131" t="s">
        <v>556</v>
      </c>
      <c r="E1751" s="539">
        <f>IF(calcLOB2Clinician15Emp3BaseProd=0,0,cbalLOB2AvgMissPercClinician15+(calcLOB2Clinician15Emp3GrossProd/calcLOB2Clinician15Emp3BaseProd-1)/paramTimeConversion)</f>
        <v>5.8333333333333327E-2</v>
      </c>
      <c r="F1751" s="539">
        <f>IF(calcLOB2Clinician15Emp3BaseProd=0,0,cbalLOB2AvgMissPercClinician15+(calcLOB2Clinician15Emp3GrossProd/calcLOB2Clinician15Emp3BaseProd-1)/paramTimeConversion)</f>
        <v>6.25E-2</v>
      </c>
      <c r="G1751" s="539">
        <f>IF(calcLOB2Clinician15Emp3BaseProd=0,0,cbalLOB2AvgMissPercClinician15+(calcLOB2Clinician15Emp3GrossProd/calcLOB2Clinician15Emp3BaseProd-1)/paramTimeConversion)</f>
        <v>6.25E-2</v>
      </c>
      <c r="H1751" s="131" t="s">
        <v>4124</v>
      </c>
      <c r="J1751" s="131" t="s">
        <v>556</v>
      </c>
      <c r="K1751" s="539">
        <f>IF(calcR2LOB2Clinician15Emp3BaseProd=0,0,cbalR2LOB2AvgMissPercClinician15+(calcR2LOB2Clinician15Emp3GrossProd/calcR2LOB2Clinician15Emp3BaseProd-1)/paramR2TimeConversion)</f>
        <v>5.7979143325809168E-2</v>
      </c>
      <c r="L1751" s="539">
        <f>IF(calcR2LOB2Clinician15Emp3BaseProd=0,0,cbalR2LOB2AvgMissPercClinician15+(calcR2LOB2Clinician15Emp3GrossProd/calcR2LOB2Clinician15Emp3BaseProd-1)/paramR2TimeConversion)</f>
        <v>6.25E-2</v>
      </c>
      <c r="M1751" s="539">
        <f>IF(calcR2LOB2Clinician15Emp3BaseProd=0,0,cbalR2LOB2AvgMissPercClinician15+(calcR2LOB2Clinician15Emp3GrossProd/calcR2LOB2Clinician15Emp3BaseProd-1)/paramR2TimeConversion)</f>
        <v>6.25E-2</v>
      </c>
      <c r="N1751" s="131" t="s">
        <v>7200</v>
      </c>
    </row>
    <row r="1752" spans="1:14" ht="12.75" customHeight="1">
      <c r="A1752" s="478"/>
      <c r="B1752" s="460"/>
      <c r="D1752" s="131"/>
      <c r="E1752" s="452"/>
      <c r="F1752" s="452"/>
      <c r="G1752" s="452"/>
      <c r="J1752" s="131"/>
      <c r="K1752" s="452"/>
      <c r="L1752" s="452"/>
      <c r="M1752" s="452"/>
    </row>
    <row r="1753" spans="1:14" ht="12.75" customHeight="1">
      <c r="A1753" s="478"/>
      <c r="B1753" s="460"/>
      <c r="C1753" s="131" t="s">
        <v>1615</v>
      </c>
    </row>
    <row r="1754" spans="1:14" ht="12.75" customHeight="1">
      <c r="A1754" s="478"/>
      <c r="B1754" s="460"/>
      <c r="C1754" s="170">
        <v>1</v>
      </c>
      <c r="D1754" s="131" t="s">
        <v>556</v>
      </c>
      <c r="E1754" s="540">
        <f>calcLOB2Clinician1Emp3AvgMissPerc*calcLOB2Clinician1Emp3GrossProd*paramLOB2Disc4Missed*paramLOB2Clinician1Missed</f>
        <v>0</v>
      </c>
      <c r="F1754" s="540">
        <f>calcLOB2Clinician1Emp3AvgMissPerc*calcLOB2Clinician1Emp3GrossProd*paramLOB2Disc4Missed*paramLOB2Clinician1Missed</f>
        <v>0</v>
      </c>
      <c r="G1754" s="540">
        <f>calcLOB2Clinician1Emp3AvgMissPerc*calcLOB2Clinician1Emp3GrossProd*paramLOB2Disc4Missed*paramLOB2Clinician1Missed</f>
        <v>0</v>
      </c>
      <c r="H1754" s="131" t="s">
        <v>2540</v>
      </c>
      <c r="J1754" s="131" t="s">
        <v>556</v>
      </c>
      <c r="K1754" s="540">
        <f>calcR2LOB2Clinician1Emp3AvgMissPerc*calcR2LOB2Clinician1Emp3GrossProd*paramR2LOB2Disc4Missed*paramR2LOB2Clinician1Missed</f>
        <v>0</v>
      </c>
      <c r="L1754" s="540">
        <f>calcR2LOB2Clinician1Emp3AvgMissPerc*calcR2LOB2Clinician1Emp3GrossProd*paramR2LOB2Disc4Missed*paramR2LOB2Clinician1Missed</f>
        <v>0</v>
      </c>
      <c r="M1754" s="540">
        <f>calcR2LOB2Clinician1Emp3AvgMissPerc*calcR2LOB2Clinician1Emp3GrossProd*paramR2LOB2Disc4Missed*paramR2LOB2Clinician1Missed</f>
        <v>0</v>
      </c>
      <c r="N1754" s="131" t="s">
        <v>7201</v>
      </c>
    </row>
    <row r="1755" spans="1:14" ht="12.75" customHeight="1">
      <c r="A1755" s="478"/>
      <c r="B1755" s="460"/>
      <c r="C1755" s="170">
        <v>2</v>
      </c>
      <c r="D1755" s="131" t="s">
        <v>556</v>
      </c>
      <c r="E1755" s="540">
        <f>calcLOB2Clinician2Emp3AvgMissPerc*calcLOB2Clinician2Emp3GrossProd*paramLOB2Disc4Missed*paramLOB2Clinician2Missed</f>
        <v>0</v>
      </c>
      <c r="F1755" s="540">
        <f>calcLOB2Clinician2Emp3AvgMissPerc*calcLOB2Clinician2Emp3GrossProd*paramLOB2Disc4Missed*paramLOB2Clinician2Missed</f>
        <v>0</v>
      </c>
      <c r="G1755" s="540">
        <f>calcLOB2Clinician2Emp3AvgMissPerc*calcLOB2Clinician2Emp3GrossProd*paramLOB2Disc4Missed*paramLOB2Clinician2Missed</f>
        <v>0</v>
      </c>
      <c r="H1755" s="131" t="s">
        <v>2541</v>
      </c>
      <c r="J1755" s="131" t="s">
        <v>556</v>
      </c>
      <c r="K1755" s="540">
        <f>calcR2LOB2Clinician2Emp3AvgMissPerc*calcR2LOB2Clinician2Emp3GrossProd*paramR2LOB2Disc4Missed*paramR2LOB2Clinician2Missed</f>
        <v>0</v>
      </c>
      <c r="L1755" s="540">
        <f>calcR2LOB2Clinician2Emp3AvgMissPerc*calcR2LOB2Clinician2Emp3GrossProd*paramR2LOB2Disc4Missed*paramR2LOB2Clinician2Missed</f>
        <v>0</v>
      </c>
      <c r="M1755" s="540">
        <f>calcR2LOB2Clinician2Emp3AvgMissPerc*calcR2LOB2Clinician2Emp3GrossProd*paramR2LOB2Disc4Missed*paramR2LOB2Clinician2Missed</f>
        <v>0</v>
      </c>
      <c r="N1755" s="131" t="s">
        <v>7202</v>
      </c>
    </row>
    <row r="1756" spans="1:14" ht="12.75" customHeight="1">
      <c r="A1756" s="478"/>
      <c r="B1756" s="460"/>
      <c r="C1756" s="170">
        <v>3</v>
      </c>
      <c r="D1756" s="131" t="s">
        <v>556</v>
      </c>
      <c r="E1756" s="540">
        <f>calcLOB2Clinician3Emp3AvgMissPerc*calcLOB2Clinician3Emp3GrossProd*paramLOB2Disc4Missed*paramLOB2Clinician3Missed</f>
        <v>0</v>
      </c>
      <c r="F1756" s="540">
        <f>calcLOB2Clinician3Emp3AvgMissPerc*calcLOB2Clinician3Emp3GrossProd*paramLOB2Disc4Missed*paramLOB2Clinician3Missed</f>
        <v>0</v>
      </c>
      <c r="G1756" s="540">
        <f>calcLOB2Clinician3Emp3AvgMissPerc*calcLOB2Clinician3Emp3GrossProd*paramLOB2Disc4Missed*paramLOB2Clinician3Missed</f>
        <v>0</v>
      </c>
      <c r="H1756" s="131" t="s">
        <v>2542</v>
      </c>
      <c r="J1756" s="131" t="s">
        <v>556</v>
      </c>
      <c r="K1756" s="540">
        <f>calcR2LOB2Clinician3Emp3AvgMissPerc*calcR2LOB2Clinician3Emp3GrossProd*paramR2LOB2Disc4Missed*paramR2LOB2Clinician3Missed</f>
        <v>0</v>
      </c>
      <c r="L1756" s="540">
        <f>calcR2LOB2Clinician3Emp3AvgMissPerc*calcR2LOB2Clinician3Emp3GrossProd*paramR2LOB2Disc4Missed*paramR2LOB2Clinician3Missed</f>
        <v>0</v>
      </c>
      <c r="M1756" s="540">
        <f>calcR2LOB2Clinician3Emp3AvgMissPerc*calcR2LOB2Clinician3Emp3GrossProd*paramR2LOB2Disc4Missed*paramR2LOB2Clinician3Missed</f>
        <v>0</v>
      </c>
      <c r="N1756" s="131" t="s">
        <v>7203</v>
      </c>
    </row>
    <row r="1757" spans="1:14" ht="12.75" customHeight="1">
      <c r="A1757" s="478"/>
      <c r="B1757" s="460"/>
      <c r="C1757" s="170">
        <v>4</v>
      </c>
      <c r="D1757" s="131" t="s">
        <v>556</v>
      </c>
      <c r="E1757" s="540">
        <f>calcLOB2Clinician4Emp3AvgMissPerc*calcLOB2Clinician4Emp3GrossProd*paramLOB2Disc4Missed*paramLOB2Clinician4Missed</f>
        <v>0</v>
      </c>
      <c r="F1757" s="540">
        <f>calcLOB2Clinician4Emp3AvgMissPerc*calcLOB2Clinician4Emp3GrossProd*paramLOB2Disc4Missed*paramLOB2Clinician4Missed</f>
        <v>0</v>
      </c>
      <c r="G1757" s="540">
        <f>calcLOB2Clinician4Emp3AvgMissPerc*calcLOB2Clinician4Emp3GrossProd*paramLOB2Disc4Missed*paramLOB2Clinician4Missed</f>
        <v>0</v>
      </c>
      <c r="H1757" s="131" t="s">
        <v>2543</v>
      </c>
      <c r="J1757" s="131" t="s">
        <v>556</v>
      </c>
      <c r="K1757" s="540">
        <f>calcR2LOB2Clinician4Emp3AvgMissPerc*calcR2LOB2Clinician4Emp3GrossProd*paramR2LOB2Disc4Missed*paramR2LOB2Clinician4Missed</f>
        <v>0</v>
      </c>
      <c r="L1757" s="540">
        <f>calcR2LOB2Clinician4Emp3AvgMissPerc*calcR2LOB2Clinician4Emp3GrossProd*paramR2LOB2Disc4Missed*paramR2LOB2Clinician4Missed</f>
        <v>0</v>
      </c>
      <c r="M1757" s="540">
        <f>calcR2LOB2Clinician4Emp3AvgMissPerc*calcR2LOB2Clinician4Emp3GrossProd*paramR2LOB2Disc4Missed*paramR2LOB2Clinician4Missed</f>
        <v>0</v>
      </c>
      <c r="N1757" s="131" t="s">
        <v>7204</v>
      </c>
    </row>
    <row r="1758" spans="1:14" ht="12.75" customHeight="1">
      <c r="A1758" s="478"/>
      <c r="B1758" s="460"/>
      <c r="C1758" s="170">
        <v>5</v>
      </c>
      <c r="D1758" s="131" t="s">
        <v>556</v>
      </c>
      <c r="E1758" s="540">
        <f>calcLOB2Clinician5Emp3AvgMissPerc*calcLOB2Clinician5Emp3GrossProd*paramLOB2Disc4Missed*paramLOB2Clinician5Missed</f>
        <v>0</v>
      </c>
      <c r="F1758" s="540">
        <f>calcLOB2Clinician5Emp3AvgMissPerc*calcLOB2Clinician5Emp3GrossProd*paramLOB2Disc4Missed*paramLOB2Clinician5Missed</f>
        <v>0</v>
      </c>
      <c r="G1758" s="540">
        <f>calcLOB2Clinician5Emp3AvgMissPerc*calcLOB2Clinician5Emp3GrossProd*paramLOB2Disc4Missed*paramLOB2Clinician5Missed</f>
        <v>0</v>
      </c>
      <c r="H1758" s="131" t="s">
        <v>2544</v>
      </c>
      <c r="J1758" s="131" t="s">
        <v>556</v>
      </c>
      <c r="K1758" s="540">
        <f>calcR2LOB2Clinician5Emp3AvgMissPerc*calcR2LOB2Clinician5Emp3GrossProd*paramR2LOB2Disc4Missed*paramR2LOB2Clinician5Missed</f>
        <v>0</v>
      </c>
      <c r="L1758" s="540">
        <f>calcR2LOB2Clinician5Emp3AvgMissPerc*calcR2LOB2Clinician5Emp3GrossProd*paramR2LOB2Disc4Missed*paramR2LOB2Clinician5Missed</f>
        <v>0</v>
      </c>
      <c r="M1758" s="540">
        <f>calcR2LOB2Clinician5Emp3AvgMissPerc*calcR2LOB2Clinician5Emp3GrossProd*paramR2LOB2Disc4Missed*paramR2LOB2Clinician5Missed</f>
        <v>0</v>
      </c>
      <c r="N1758" s="131" t="s">
        <v>7205</v>
      </c>
    </row>
    <row r="1759" spans="1:14" ht="12.75" customHeight="1">
      <c r="A1759" s="478"/>
      <c r="B1759" s="460"/>
      <c r="C1759" s="170">
        <v>6</v>
      </c>
      <c r="D1759" s="131" t="s">
        <v>556</v>
      </c>
      <c r="E1759" s="540">
        <f>calcLOB2Clinician6Emp3AvgMissPerc*calcLOB2Clinician6Emp3GrossProd*paramLOB2Disc4Missed*paramLOB2Clinician6Missed</f>
        <v>0</v>
      </c>
      <c r="F1759" s="540">
        <f>calcLOB2Clinician6Emp3AvgMissPerc*calcLOB2Clinician6Emp3GrossProd*paramLOB2Disc4Missed*paramLOB2Clinician6Missed</f>
        <v>0</v>
      </c>
      <c r="G1759" s="540">
        <f>calcLOB2Clinician6Emp3AvgMissPerc*calcLOB2Clinician6Emp3GrossProd*paramLOB2Disc4Missed*paramLOB2Clinician6Missed</f>
        <v>0</v>
      </c>
      <c r="H1759" s="131" t="s">
        <v>2545</v>
      </c>
      <c r="J1759" s="131" t="s">
        <v>556</v>
      </c>
      <c r="K1759" s="540">
        <f>calcR2LOB2Clinician6Emp3AvgMissPerc*calcR2LOB2Clinician6Emp3GrossProd*paramR2LOB2Disc4Missed*paramR2LOB2Clinician6Missed</f>
        <v>0</v>
      </c>
      <c r="L1759" s="540">
        <f>calcR2LOB2Clinician6Emp3AvgMissPerc*calcR2LOB2Clinician6Emp3GrossProd*paramR2LOB2Disc4Missed*paramR2LOB2Clinician6Missed</f>
        <v>0</v>
      </c>
      <c r="M1759" s="540">
        <f>calcR2LOB2Clinician6Emp3AvgMissPerc*calcR2LOB2Clinician6Emp3GrossProd*paramR2LOB2Disc4Missed*paramR2LOB2Clinician6Missed</f>
        <v>0</v>
      </c>
      <c r="N1759" s="131" t="s">
        <v>7206</v>
      </c>
    </row>
    <row r="1760" spans="1:14" ht="12.75" customHeight="1">
      <c r="A1760" s="478"/>
      <c r="B1760" s="460"/>
      <c r="C1760" s="170">
        <v>7</v>
      </c>
      <c r="D1760" s="131" t="s">
        <v>556</v>
      </c>
      <c r="E1760" s="540">
        <f>calcLOB2Clinician7Emp3AvgMissPerc*calcLOB2Clinician7Emp3GrossProd*paramLOB2Disc4Missed*paramLOB2Clinician7Missed</f>
        <v>5.04</v>
      </c>
      <c r="F1760" s="540">
        <f>calcLOB2Clinician7Emp3AvgMissPerc*calcLOB2Clinician7Emp3GrossProd*paramLOB2Disc4Missed*paramLOB2Clinician7Missed</f>
        <v>5.04</v>
      </c>
      <c r="G1760" s="540">
        <f>calcLOB2Clinician7Emp3AvgMissPerc*calcLOB2Clinician7Emp3GrossProd*paramLOB2Disc4Missed*paramLOB2Clinician7Missed</f>
        <v>5.04</v>
      </c>
      <c r="H1760" s="131" t="s">
        <v>2546</v>
      </c>
      <c r="J1760" s="131" t="s">
        <v>556</v>
      </c>
      <c r="K1760" s="540">
        <f>calcR2LOB2Clinician7Emp3AvgMissPerc*calcR2LOB2Clinician7Emp3GrossProd*paramR2LOB2Disc4Missed*paramR2LOB2Clinician7Missed</f>
        <v>5.04</v>
      </c>
      <c r="L1760" s="540">
        <f>calcR2LOB2Clinician7Emp3AvgMissPerc*calcR2LOB2Clinician7Emp3GrossProd*paramR2LOB2Disc4Missed*paramR2LOB2Clinician7Missed</f>
        <v>5.04</v>
      </c>
      <c r="M1760" s="540">
        <f>calcR2LOB2Clinician7Emp3AvgMissPerc*calcR2LOB2Clinician7Emp3GrossProd*paramR2LOB2Disc4Missed*paramR2LOB2Clinician7Missed</f>
        <v>5.04</v>
      </c>
      <c r="N1760" s="131" t="s">
        <v>7207</v>
      </c>
    </row>
    <row r="1761" spans="1:14" ht="12.75" customHeight="1">
      <c r="A1761" s="478"/>
      <c r="B1761" s="460"/>
      <c r="C1761" s="170">
        <v>8</v>
      </c>
      <c r="D1761" s="131" t="s">
        <v>556</v>
      </c>
      <c r="E1761" s="540">
        <f>calcLOB2Clinician8Emp3AvgMissPerc*calcLOB2Clinician8Emp3GrossProd*paramLOB2Disc4Missed*paramLOB2Clinician8Missed</f>
        <v>3.5</v>
      </c>
      <c r="F1761" s="540">
        <f>calcLOB2Clinician8Emp3AvgMissPerc*calcLOB2Clinician8Emp3GrossProd*paramLOB2Disc4Missed*paramLOB2Clinician8Missed</f>
        <v>3.5</v>
      </c>
      <c r="G1761" s="540">
        <f>calcLOB2Clinician8Emp3AvgMissPerc*calcLOB2Clinician8Emp3GrossProd*paramLOB2Disc4Missed*paramLOB2Clinician8Missed</f>
        <v>3.5</v>
      </c>
      <c r="H1761" s="131" t="s">
        <v>2547</v>
      </c>
      <c r="J1761" s="131" t="s">
        <v>556</v>
      </c>
      <c r="K1761" s="540">
        <f>calcR2LOB2Clinician8Emp3AvgMissPerc*calcR2LOB2Clinician8Emp3GrossProd*paramR2LOB2Disc4Missed*paramR2LOB2Clinician8Missed</f>
        <v>3.5</v>
      </c>
      <c r="L1761" s="540">
        <f>calcR2LOB2Clinician8Emp3AvgMissPerc*calcR2LOB2Clinician8Emp3GrossProd*paramR2LOB2Disc4Missed*paramR2LOB2Clinician8Missed</f>
        <v>3.5</v>
      </c>
      <c r="M1761" s="540">
        <f>calcR2LOB2Clinician8Emp3AvgMissPerc*calcR2LOB2Clinician8Emp3GrossProd*paramR2LOB2Disc4Missed*paramR2LOB2Clinician8Missed</f>
        <v>3.5</v>
      </c>
      <c r="N1761" s="131" t="s">
        <v>7208</v>
      </c>
    </row>
    <row r="1762" spans="1:14" ht="12.75" customHeight="1">
      <c r="A1762" s="478"/>
      <c r="B1762" s="460"/>
      <c r="C1762" s="170">
        <v>9</v>
      </c>
      <c r="D1762" s="131" t="s">
        <v>556</v>
      </c>
      <c r="E1762" s="540">
        <f>calcLOB2Clinician9Emp3AvgMissPerc*calcLOB2Clinician9Emp3GrossProd*paramLOB2Disc4Missed*paramLOB2Clinician9Missed</f>
        <v>0.625</v>
      </c>
      <c r="F1762" s="540">
        <f>calcLOB2Clinician9Emp3AvgMissPerc*calcLOB2Clinician9Emp3GrossProd*paramLOB2Disc4Missed*paramLOB2Clinician9Missed</f>
        <v>0.625</v>
      </c>
      <c r="G1762" s="540">
        <f>calcLOB2Clinician9Emp3AvgMissPerc*calcLOB2Clinician9Emp3GrossProd*paramLOB2Disc4Missed*paramLOB2Clinician9Missed</f>
        <v>0.625</v>
      </c>
      <c r="H1762" s="131" t="s">
        <v>2548</v>
      </c>
      <c r="J1762" s="131" t="s">
        <v>556</v>
      </c>
      <c r="K1762" s="540">
        <f>calcR2LOB2Clinician9Emp3AvgMissPerc*calcR2LOB2Clinician9Emp3GrossProd*paramR2LOB2Disc4Missed*paramR2LOB2Clinician9Missed</f>
        <v>0.625</v>
      </c>
      <c r="L1762" s="540">
        <f>calcR2LOB2Clinician9Emp3AvgMissPerc*calcR2LOB2Clinician9Emp3GrossProd*paramR2LOB2Disc4Missed*paramR2LOB2Clinician9Missed</f>
        <v>0.625</v>
      </c>
      <c r="M1762" s="540">
        <f>calcR2LOB2Clinician9Emp3AvgMissPerc*calcR2LOB2Clinician9Emp3GrossProd*paramR2LOB2Disc4Missed*paramR2LOB2Clinician9Missed</f>
        <v>0.625</v>
      </c>
      <c r="N1762" s="131" t="s">
        <v>7209</v>
      </c>
    </row>
    <row r="1763" spans="1:14" ht="12.75" customHeight="1">
      <c r="A1763" s="478"/>
      <c r="B1763" s="460"/>
      <c r="C1763" s="170">
        <v>10</v>
      </c>
      <c r="D1763" s="131" t="s">
        <v>556</v>
      </c>
      <c r="E1763" s="540">
        <f>calcLOB2Clinician10Emp3AvgMissPerc*calcLOB2Clinician10Emp3GrossProd*paramLOB2Disc4Missed*paramLOB2Clinician10Missed</f>
        <v>0</v>
      </c>
      <c r="F1763" s="540">
        <f>calcLOB2Clinician10Emp3AvgMissPerc*calcLOB2Clinician10Emp3GrossProd*paramLOB2Disc4Missed*paramLOB2Clinician10Missed</f>
        <v>0</v>
      </c>
      <c r="G1763" s="540">
        <f>calcLOB2Clinician10Emp3AvgMissPerc*calcLOB2Clinician10Emp3GrossProd*paramLOB2Disc4Missed*paramLOB2Clinician10Missed</f>
        <v>0</v>
      </c>
      <c r="H1763" s="131" t="s">
        <v>2549</v>
      </c>
      <c r="J1763" s="131" t="s">
        <v>556</v>
      </c>
      <c r="K1763" s="540">
        <f>calcR2LOB2Clinician10Emp3AvgMissPerc*calcR2LOB2Clinician10Emp3GrossProd*paramR2LOB2Disc4Missed*paramR2LOB2Clinician10Missed</f>
        <v>0</v>
      </c>
      <c r="L1763" s="540">
        <f>calcR2LOB2Clinician10Emp3AvgMissPerc*calcR2LOB2Clinician10Emp3GrossProd*paramR2LOB2Disc4Missed*paramR2LOB2Clinician10Missed</f>
        <v>0</v>
      </c>
      <c r="M1763" s="540">
        <f>calcR2LOB2Clinician10Emp3AvgMissPerc*calcR2LOB2Clinician10Emp3GrossProd*paramR2LOB2Disc4Missed*paramR2LOB2Clinician10Missed</f>
        <v>0</v>
      </c>
      <c r="N1763" s="131" t="s">
        <v>7210</v>
      </c>
    </row>
    <row r="1764" spans="1:14" ht="12.75" customHeight="1">
      <c r="A1764" s="478"/>
      <c r="B1764" s="460"/>
      <c r="C1764" s="170">
        <v>11</v>
      </c>
      <c r="D1764" s="131" t="s">
        <v>556</v>
      </c>
      <c r="E1764" s="540">
        <f>calcLOB2Clinician11Emp3AvgMissPerc*calcLOB2Clinician11Emp3GrossProd*paramLOB2Disc4Missed*paramLOB2Clinician11Missed</f>
        <v>0</v>
      </c>
      <c r="F1764" s="540">
        <f>calcLOB2Clinician11Emp3AvgMissPerc*calcLOB2Clinician11Emp3GrossProd*paramLOB2Disc4Missed*paramLOB2Clinician11Missed</f>
        <v>0</v>
      </c>
      <c r="G1764" s="540">
        <f>calcLOB2Clinician11Emp3AvgMissPerc*calcLOB2Clinician11Emp3GrossProd*paramLOB2Disc4Missed*paramLOB2Clinician11Missed</f>
        <v>0</v>
      </c>
      <c r="H1764" s="131" t="s">
        <v>2550</v>
      </c>
      <c r="J1764" s="131" t="s">
        <v>556</v>
      </c>
      <c r="K1764" s="540">
        <f>calcR2LOB2Clinician11Emp3AvgMissPerc*calcR2LOB2Clinician11Emp3GrossProd*paramR2LOB2Disc4Missed*paramR2LOB2Clinician11Missed</f>
        <v>0</v>
      </c>
      <c r="L1764" s="540">
        <f>calcR2LOB2Clinician11Emp3AvgMissPerc*calcR2LOB2Clinician11Emp3GrossProd*paramR2LOB2Disc4Missed*paramR2LOB2Clinician11Missed</f>
        <v>0</v>
      </c>
      <c r="M1764" s="540">
        <f>calcR2LOB2Clinician11Emp3AvgMissPerc*calcR2LOB2Clinician11Emp3GrossProd*paramR2LOB2Disc4Missed*paramR2LOB2Clinician11Missed</f>
        <v>0</v>
      </c>
      <c r="N1764" s="131" t="s">
        <v>7211</v>
      </c>
    </row>
    <row r="1765" spans="1:14" ht="12.75" customHeight="1">
      <c r="A1765" s="478"/>
      <c r="B1765" s="460"/>
      <c r="C1765" s="170">
        <v>12</v>
      </c>
      <c r="D1765" s="131" t="s">
        <v>556</v>
      </c>
      <c r="E1765" s="540">
        <f>calcLOB2Clinician12Emp3AvgMissPerc*calcLOB2Clinician12Emp3GrossProd*paramLOB2Disc4Missed*paramLOB2Clinician12Missed</f>
        <v>0</v>
      </c>
      <c r="F1765" s="540">
        <f>calcLOB2Clinician12Emp3AvgMissPerc*calcLOB2Clinician12Emp3GrossProd*paramLOB2Disc4Missed*paramLOB2Clinician12Missed</f>
        <v>0</v>
      </c>
      <c r="G1765" s="540">
        <f>calcLOB2Clinician12Emp3AvgMissPerc*calcLOB2Clinician12Emp3GrossProd*paramLOB2Disc4Missed*paramLOB2Clinician12Missed</f>
        <v>0</v>
      </c>
      <c r="H1765" s="131" t="s">
        <v>2551</v>
      </c>
      <c r="J1765" s="131" t="s">
        <v>556</v>
      </c>
      <c r="K1765" s="540">
        <f>calcR2LOB2Clinician12Emp3AvgMissPerc*calcR2LOB2Clinician12Emp3GrossProd*paramR2LOB2Disc4Missed*paramR2LOB2Clinician12Missed</f>
        <v>0</v>
      </c>
      <c r="L1765" s="540">
        <f>calcR2LOB2Clinician12Emp3AvgMissPerc*calcR2LOB2Clinician12Emp3GrossProd*paramR2LOB2Disc4Missed*paramR2LOB2Clinician12Missed</f>
        <v>0</v>
      </c>
      <c r="M1765" s="540">
        <f>calcR2LOB2Clinician12Emp3AvgMissPerc*calcR2LOB2Clinician12Emp3GrossProd*paramR2LOB2Disc4Missed*paramR2LOB2Clinician12Missed</f>
        <v>0</v>
      </c>
      <c r="N1765" s="131" t="s">
        <v>7212</v>
      </c>
    </row>
    <row r="1766" spans="1:14" ht="12.75" customHeight="1">
      <c r="A1766" s="478"/>
      <c r="B1766" s="460"/>
      <c r="D1766" s="131" t="s">
        <v>556</v>
      </c>
      <c r="E1766" s="540">
        <f>calcLOB2Clinician15Emp3AvgMissPerc*calcLOB2Clinician15Emp3GrossProd*paramLOB2Disc4Missed</f>
        <v>6.4283333333333319</v>
      </c>
      <c r="F1766" s="540">
        <f>calcLOB2Clinician15Emp3AvgMissPerc*calcLOB2Clinician15Emp3GrossProd*paramLOB2Disc4Missed</f>
        <v>5.625</v>
      </c>
      <c r="G1766" s="540">
        <f>calcLOB2Clinician15Emp3AvgMissPerc*calcLOB2Clinician15Emp3GrossProd*paramLOB2Disc4Missed</f>
        <v>10.9375</v>
      </c>
      <c r="H1766" s="131" t="s">
        <v>4125</v>
      </c>
      <c r="J1766" s="131" t="s">
        <v>556</v>
      </c>
      <c r="K1766" s="540">
        <f>calcR2LOB2Clinician15Emp3AvgMissPerc*calcR2LOB2Clinician15Emp3GrossProd*paramR2LOB2Disc4Missed</f>
        <v>6.0426801934209822</v>
      </c>
      <c r="L1766" s="540">
        <f>calcR2LOB2Clinician15Emp3AvgMissPerc*calcR2LOB2Clinician15Emp3GrossProd*paramR2LOB2Disc4Missed</f>
        <v>5.625</v>
      </c>
      <c r="M1766" s="540">
        <f>calcR2LOB2Clinician15Emp3AvgMissPerc*calcR2LOB2Clinician15Emp3GrossProd*paramR2LOB2Disc4Missed</f>
        <v>10.9375</v>
      </c>
      <c r="N1766" s="131" t="s">
        <v>7213</v>
      </c>
    </row>
    <row r="1767" spans="1:14" ht="12.75" customHeight="1">
      <c r="A1767" s="478"/>
      <c r="B1767" s="460"/>
      <c r="D1767" s="131"/>
      <c r="E1767" s="452"/>
      <c r="F1767" s="452"/>
      <c r="G1767" s="452"/>
      <c r="J1767" s="131"/>
      <c r="K1767" s="452"/>
      <c r="L1767" s="452"/>
      <c r="M1767" s="452"/>
    </row>
    <row r="1768" spans="1:14" ht="12.75" customHeight="1">
      <c r="A1768" s="478"/>
      <c r="B1768" s="460"/>
      <c r="C1768" s="131" t="s">
        <v>1617</v>
      </c>
    </row>
    <row r="1769" spans="1:14" ht="12.75" customHeight="1">
      <c r="A1769" s="478"/>
      <c r="B1769" s="460"/>
      <c r="C1769" s="170">
        <v>1</v>
      </c>
      <c r="D1769" s="131" t="s">
        <v>556</v>
      </c>
      <c r="E1769" s="453">
        <f>calcLOB2Clinician1Emp3GrossProd-calcLOB2Clinician1Emp3MissVisits</f>
        <v>0</v>
      </c>
      <c r="F1769" s="453">
        <f>calcLOB2Clinician1Emp3GrossProd-calcLOB2Clinician1Emp3MissVisits</f>
        <v>0</v>
      </c>
      <c r="G1769" s="453">
        <f>calcLOB2Clinician1Emp3GrossProd-calcLOB2Clinician1Emp3MissVisits</f>
        <v>0</v>
      </c>
      <c r="H1769" s="131" t="s">
        <v>2552</v>
      </c>
      <c r="J1769" s="131" t="s">
        <v>556</v>
      </c>
      <c r="K1769" s="453">
        <f>calcR2LOB2Clinician1Emp3GrossProd-calcR2LOB2Clinician1Emp3MissVisits</f>
        <v>0</v>
      </c>
      <c r="L1769" s="453">
        <f>calcR2LOB2Clinician1Emp3GrossProd-calcR2LOB2Clinician1Emp3MissVisits</f>
        <v>0</v>
      </c>
      <c r="M1769" s="453">
        <f>calcR2LOB2Clinician1Emp3GrossProd-calcR2LOB2Clinician1Emp3MissVisits</f>
        <v>0</v>
      </c>
      <c r="N1769" s="131" t="s">
        <v>7214</v>
      </c>
    </row>
    <row r="1770" spans="1:14" ht="12.75" customHeight="1">
      <c r="A1770" s="478"/>
      <c r="B1770" s="460"/>
      <c r="C1770" s="170">
        <v>2</v>
      </c>
      <c r="D1770" s="131" t="s">
        <v>556</v>
      </c>
      <c r="E1770" s="453">
        <f>calcLOB2Clinician2Emp3GrossProd-calcLOB2Clinician2Emp3MissVisits</f>
        <v>0</v>
      </c>
      <c r="F1770" s="453">
        <f>calcLOB2Clinician2Emp3GrossProd-calcLOB2Clinician2Emp3MissVisits</f>
        <v>0</v>
      </c>
      <c r="G1770" s="453">
        <f>calcLOB2Clinician2Emp3GrossProd-calcLOB2Clinician2Emp3MissVisits</f>
        <v>0</v>
      </c>
      <c r="H1770" s="131" t="s">
        <v>2553</v>
      </c>
      <c r="J1770" s="131" t="s">
        <v>556</v>
      </c>
      <c r="K1770" s="453">
        <f>calcR2LOB2Clinician2Emp3GrossProd-calcR2LOB2Clinician2Emp3MissVisits</f>
        <v>0</v>
      </c>
      <c r="L1770" s="453">
        <f>calcR2LOB2Clinician2Emp3GrossProd-calcR2LOB2Clinician2Emp3MissVisits</f>
        <v>0</v>
      </c>
      <c r="M1770" s="453">
        <f>calcR2LOB2Clinician2Emp3GrossProd-calcR2LOB2Clinician2Emp3MissVisits</f>
        <v>0</v>
      </c>
      <c r="N1770" s="131" t="s">
        <v>7215</v>
      </c>
    </row>
    <row r="1771" spans="1:14" ht="12.75" customHeight="1">
      <c r="A1771" s="478"/>
      <c r="B1771" s="460"/>
      <c r="C1771" s="170">
        <v>3</v>
      </c>
      <c r="D1771" s="131" t="s">
        <v>556</v>
      </c>
      <c r="E1771" s="453">
        <f>calcLOB2Clinician3Emp3GrossProd-calcLOB2Clinician3Emp3MissVisits</f>
        <v>0</v>
      </c>
      <c r="F1771" s="453">
        <f>calcLOB2Clinician3Emp3GrossProd-calcLOB2Clinician3Emp3MissVisits</f>
        <v>0</v>
      </c>
      <c r="G1771" s="453">
        <f>calcLOB2Clinician3Emp3GrossProd-calcLOB2Clinician3Emp3MissVisits</f>
        <v>0</v>
      </c>
      <c r="H1771" s="131" t="s">
        <v>2554</v>
      </c>
      <c r="J1771" s="131" t="s">
        <v>556</v>
      </c>
      <c r="K1771" s="453">
        <f>calcR2LOB2Clinician3Emp3GrossProd-calcR2LOB2Clinician3Emp3MissVisits</f>
        <v>0</v>
      </c>
      <c r="L1771" s="453">
        <f>calcR2LOB2Clinician3Emp3GrossProd-calcR2LOB2Clinician3Emp3MissVisits</f>
        <v>0</v>
      </c>
      <c r="M1771" s="453">
        <f>calcR2LOB2Clinician3Emp3GrossProd-calcR2LOB2Clinician3Emp3MissVisits</f>
        <v>0</v>
      </c>
      <c r="N1771" s="131" t="s">
        <v>7216</v>
      </c>
    </row>
    <row r="1772" spans="1:14" ht="12.75" customHeight="1">
      <c r="A1772" s="478"/>
      <c r="B1772" s="460"/>
      <c r="C1772" s="170">
        <v>4</v>
      </c>
      <c r="D1772" s="131" t="s">
        <v>556</v>
      </c>
      <c r="E1772" s="453">
        <f>calcLOB2Clinician4Emp3GrossProd-calcLOB2Clinician4Emp3MissVisits</f>
        <v>0</v>
      </c>
      <c r="F1772" s="453">
        <f>calcLOB2Clinician4Emp3GrossProd-calcLOB2Clinician4Emp3MissVisits</f>
        <v>0</v>
      </c>
      <c r="G1772" s="453">
        <f>calcLOB2Clinician4Emp3GrossProd-calcLOB2Clinician4Emp3MissVisits</f>
        <v>0</v>
      </c>
      <c r="H1772" s="131" t="s">
        <v>2555</v>
      </c>
      <c r="J1772" s="131" t="s">
        <v>556</v>
      </c>
      <c r="K1772" s="453">
        <f>calcR2LOB2Clinician4Emp3GrossProd-calcR2LOB2Clinician4Emp3MissVisits</f>
        <v>0</v>
      </c>
      <c r="L1772" s="453">
        <f>calcR2LOB2Clinician4Emp3GrossProd-calcR2LOB2Clinician4Emp3MissVisits</f>
        <v>0</v>
      </c>
      <c r="M1772" s="453">
        <f>calcR2LOB2Clinician4Emp3GrossProd-calcR2LOB2Clinician4Emp3MissVisits</f>
        <v>0</v>
      </c>
      <c r="N1772" s="131" t="s">
        <v>7217</v>
      </c>
    </row>
    <row r="1773" spans="1:14" ht="12.75" customHeight="1">
      <c r="A1773" s="478"/>
      <c r="B1773" s="460"/>
      <c r="C1773" s="170">
        <v>5</v>
      </c>
      <c r="D1773" s="131" t="s">
        <v>556</v>
      </c>
      <c r="E1773" s="453">
        <f>calcLOB2Clinician5Emp3GrossProd-calcLOB2Clinician5Emp3MissVisits</f>
        <v>0</v>
      </c>
      <c r="F1773" s="453">
        <f>calcLOB2Clinician5Emp3GrossProd-calcLOB2Clinician5Emp3MissVisits</f>
        <v>0</v>
      </c>
      <c r="G1773" s="453">
        <f>calcLOB2Clinician5Emp3GrossProd-calcLOB2Clinician5Emp3MissVisits</f>
        <v>0</v>
      </c>
      <c r="H1773" s="131" t="s">
        <v>2556</v>
      </c>
      <c r="J1773" s="131" t="s">
        <v>556</v>
      </c>
      <c r="K1773" s="453">
        <f>calcR2LOB2Clinician5Emp3GrossProd-calcR2LOB2Clinician5Emp3MissVisits</f>
        <v>0</v>
      </c>
      <c r="L1773" s="453">
        <f>calcR2LOB2Clinician5Emp3GrossProd-calcR2LOB2Clinician5Emp3MissVisits</f>
        <v>0</v>
      </c>
      <c r="M1773" s="453">
        <f>calcR2LOB2Clinician5Emp3GrossProd-calcR2LOB2Clinician5Emp3MissVisits</f>
        <v>0</v>
      </c>
      <c r="N1773" s="131" t="s">
        <v>7218</v>
      </c>
    </row>
    <row r="1774" spans="1:14" ht="12.75" customHeight="1">
      <c r="A1774" s="478"/>
      <c r="B1774" s="460"/>
      <c r="C1774" s="170">
        <v>6</v>
      </c>
      <c r="D1774" s="131" t="s">
        <v>556</v>
      </c>
      <c r="E1774" s="453">
        <f>calcLOB2Clinician6Emp3GrossProd-calcLOB2Clinician6Emp3MissVisits</f>
        <v>0</v>
      </c>
      <c r="F1774" s="453">
        <f>calcLOB2Clinician6Emp3GrossProd-calcLOB2Clinician6Emp3MissVisits</f>
        <v>0</v>
      </c>
      <c r="G1774" s="453">
        <f>calcLOB2Clinician6Emp3GrossProd-calcLOB2Clinician6Emp3MissVisits</f>
        <v>0</v>
      </c>
      <c r="H1774" s="131" t="s">
        <v>2557</v>
      </c>
      <c r="J1774" s="131" t="s">
        <v>556</v>
      </c>
      <c r="K1774" s="453">
        <f>calcR2LOB2Clinician6Emp3GrossProd-calcR2LOB2Clinician6Emp3MissVisits</f>
        <v>0</v>
      </c>
      <c r="L1774" s="453">
        <f>calcR2LOB2Clinician6Emp3GrossProd-calcR2LOB2Clinician6Emp3MissVisits</f>
        <v>0</v>
      </c>
      <c r="M1774" s="453">
        <f>calcR2LOB2Clinician6Emp3GrossProd-calcR2LOB2Clinician6Emp3MissVisits</f>
        <v>0</v>
      </c>
      <c r="N1774" s="131" t="s">
        <v>7219</v>
      </c>
    </row>
    <row r="1775" spans="1:14" ht="12.75" customHeight="1">
      <c r="A1775" s="478"/>
      <c r="B1775" s="460"/>
      <c r="C1775" s="170">
        <v>7</v>
      </c>
      <c r="D1775" s="131" t="s">
        <v>556</v>
      </c>
      <c r="E1775" s="453">
        <f>calcLOB2Clinician7Emp3GrossProd-calcLOB2Clinician7Emp3MissVisits</f>
        <v>22.96</v>
      </c>
      <c r="F1775" s="453">
        <f>calcLOB2Clinician7Emp3GrossProd-calcLOB2Clinician7Emp3MissVisits</f>
        <v>22.96</v>
      </c>
      <c r="G1775" s="453">
        <f>calcLOB2Clinician7Emp3GrossProd-calcLOB2Clinician7Emp3MissVisits</f>
        <v>22.96</v>
      </c>
      <c r="H1775" s="131" t="s">
        <v>2558</v>
      </c>
      <c r="J1775" s="131" t="s">
        <v>556</v>
      </c>
      <c r="K1775" s="453">
        <f>calcR2LOB2Clinician7Emp3GrossProd-calcR2LOB2Clinician7Emp3MissVisits</f>
        <v>22.96</v>
      </c>
      <c r="L1775" s="453">
        <f>calcR2LOB2Clinician7Emp3GrossProd-calcR2LOB2Clinician7Emp3MissVisits</f>
        <v>22.96</v>
      </c>
      <c r="M1775" s="453">
        <f>calcR2LOB2Clinician7Emp3GrossProd-calcR2LOB2Clinician7Emp3MissVisits</f>
        <v>22.96</v>
      </c>
      <c r="N1775" s="131" t="s">
        <v>7220</v>
      </c>
    </row>
    <row r="1776" spans="1:14" ht="12.75" customHeight="1">
      <c r="A1776" s="478"/>
      <c r="B1776" s="460"/>
      <c r="C1776" s="170">
        <v>8</v>
      </c>
      <c r="D1776" s="131" t="s">
        <v>556</v>
      </c>
      <c r="E1776" s="453">
        <f>calcLOB2Clinician8Emp3GrossProd-calcLOB2Clinician8Emp3MissVisits</f>
        <v>24.5</v>
      </c>
      <c r="F1776" s="453">
        <f>calcLOB2Clinician8Emp3GrossProd-calcLOB2Clinician8Emp3MissVisits</f>
        <v>24.5</v>
      </c>
      <c r="G1776" s="453">
        <f>calcLOB2Clinician8Emp3GrossProd-calcLOB2Clinician8Emp3MissVisits</f>
        <v>24.5</v>
      </c>
      <c r="H1776" s="131" t="s">
        <v>2559</v>
      </c>
      <c r="J1776" s="131" t="s">
        <v>556</v>
      </c>
      <c r="K1776" s="453">
        <f>calcR2LOB2Clinician8Emp3GrossProd-calcR2LOB2Clinician8Emp3MissVisits</f>
        <v>24.5</v>
      </c>
      <c r="L1776" s="453">
        <f>calcR2LOB2Clinician8Emp3GrossProd-calcR2LOB2Clinician8Emp3MissVisits</f>
        <v>24.5</v>
      </c>
      <c r="M1776" s="453">
        <f>calcR2LOB2Clinician8Emp3GrossProd-calcR2LOB2Clinician8Emp3MissVisits</f>
        <v>24.5</v>
      </c>
      <c r="N1776" s="131" t="s">
        <v>7221</v>
      </c>
    </row>
    <row r="1777" spans="1:14" ht="12.75" customHeight="1">
      <c r="A1777" s="478"/>
      <c r="B1777" s="460"/>
      <c r="C1777" s="170">
        <v>9</v>
      </c>
      <c r="D1777" s="131" t="s">
        <v>556</v>
      </c>
      <c r="E1777" s="453">
        <f>calcLOB2Clinician9Emp3GrossProd-calcLOB2Clinician9Emp3MissVisits</f>
        <v>11.875</v>
      </c>
      <c r="F1777" s="453">
        <f>calcLOB2Clinician9Emp3GrossProd-calcLOB2Clinician9Emp3MissVisits</f>
        <v>11.875</v>
      </c>
      <c r="G1777" s="453">
        <f>calcLOB2Clinician9Emp3GrossProd-calcLOB2Clinician9Emp3MissVisits</f>
        <v>11.875</v>
      </c>
      <c r="H1777" s="131" t="s">
        <v>2560</v>
      </c>
      <c r="J1777" s="131" t="s">
        <v>556</v>
      </c>
      <c r="K1777" s="453">
        <f>calcR2LOB2Clinician9Emp3GrossProd-calcR2LOB2Clinician9Emp3MissVisits</f>
        <v>11.875</v>
      </c>
      <c r="L1777" s="453">
        <f>calcR2LOB2Clinician9Emp3GrossProd-calcR2LOB2Clinician9Emp3MissVisits</f>
        <v>11.875</v>
      </c>
      <c r="M1777" s="453">
        <f>calcR2LOB2Clinician9Emp3GrossProd-calcR2LOB2Clinician9Emp3MissVisits</f>
        <v>11.875</v>
      </c>
      <c r="N1777" s="131" t="s">
        <v>7222</v>
      </c>
    </row>
    <row r="1778" spans="1:14" ht="12.75" customHeight="1">
      <c r="A1778" s="478"/>
      <c r="B1778" s="460"/>
      <c r="C1778" s="170">
        <v>10</v>
      </c>
      <c r="D1778" s="131" t="s">
        <v>556</v>
      </c>
      <c r="E1778" s="453">
        <f>calcLOB2Clinician10Emp3GrossProd-calcLOB2Clinician10Emp3MissVisits</f>
        <v>0</v>
      </c>
      <c r="F1778" s="453">
        <f>calcLOB2Clinician10Emp3GrossProd-calcLOB2Clinician10Emp3MissVisits</f>
        <v>0</v>
      </c>
      <c r="G1778" s="453">
        <f>calcLOB2Clinician10Emp3GrossProd-calcLOB2Clinician10Emp3MissVisits</f>
        <v>0</v>
      </c>
      <c r="H1778" s="131" t="s">
        <v>2561</v>
      </c>
      <c r="J1778" s="131" t="s">
        <v>556</v>
      </c>
      <c r="K1778" s="453">
        <f>calcR2LOB2Clinician10Emp3GrossProd-calcR2LOB2Clinician10Emp3MissVisits</f>
        <v>0</v>
      </c>
      <c r="L1778" s="453">
        <f>calcR2LOB2Clinician10Emp3GrossProd-calcR2LOB2Clinician10Emp3MissVisits</f>
        <v>0</v>
      </c>
      <c r="M1778" s="453">
        <f>calcR2LOB2Clinician10Emp3GrossProd-calcR2LOB2Clinician10Emp3MissVisits</f>
        <v>0</v>
      </c>
      <c r="N1778" s="131" t="s">
        <v>7223</v>
      </c>
    </row>
    <row r="1779" spans="1:14" ht="12.75" customHeight="1">
      <c r="A1779" s="478"/>
      <c r="B1779" s="460"/>
      <c r="C1779" s="170">
        <v>11</v>
      </c>
      <c r="D1779" s="131" t="s">
        <v>556</v>
      </c>
      <c r="E1779" s="453">
        <f>calcLOB2Clinician11Emp3GrossProd-calcLOB2Clinician11Emp3MissVisits</f>
        <v>0</v>
      </c>
      <c r="F1779" s="453">
        <f>calcLOB2Clinician11Emp3GrossProd-calcLOB2Clinician11Emp3MissVisits</f>
        <v>0</v>
      </c>
      <c r="G1779" s="453">
        <f>calcLOB2Clinician11Emp3GrossProd-calcLOB2Clinician11Emp3MissVisits</f>
        <v>0</v>
      </c>
      <c r="H1779" s="131" t="s">
        <v>2562</v>
      </c>
      <c r="J1779" s="131" t="s">
        <v>556</v>
      </c>
      <c r="K1779" s="453">
        <f>calcR2LOB2Clinician11Emp3GrossProd-calcR2LOB2Clinician11Emp3MissVisits</f>
        <v>0</v>
      </c>
      <c r="L1779" s="453">
        <f>calcR2LOB2Clinician11Emp3GrossProd-calcR2LOB2Clinician11Emp3MissVisits</f>
        <v>0</v>
      </c>
      <c r="M1779" s="453">
        <f>calcR2LOB2Clinician11Emp3GrossProd-calcR2LOB2Clinician11Emp3MissVisits</f>
        <v>0</v>
      </c>
      <c r="N1779" s="131" t="s">
        <v>7224</v>
      </c>
    </row>
    <row r="1780" spans="1:14" ht="12.75" customHeight="1">
      <c r="A1780" s="478"/>
      <c r="B1780" s="460"/>
      <c r="C1780" s="170">
        <v>12</v>
      </c>
      <c r="D1780" s="131" t="s">
        <v>556</v>
      </c>
      <c r="E1780" s="453">
        <f>calcLOB2Clinician12Emp3GrossProd-calcLOB2Clinician12Emp3MissVisits</f>
        <v>0</v>
      </c>
      <c r="F1780" s="453">
        <f>calcLOB2Clinician12Emp3GrossProd-calcLOB2Clinician12Emp3MissVisits</f>
        <v>0</v>
      </c>
      <c r="G1780" s="453">
        <f>calcLOB2Clinician12Emp3GrossProd-calcLOB2Clinician12Emp3MissVisits</f>
        <v>0</v>
      </c>
      <c r="H1780" s="131" t="s">
        <v>2563</v>
      </c>
      <c r="J1780" s="131" t="s">
        <v>556</v>
      </c>
      <c r="K1780" s="453">
        <f>calcR2LOB2Clinician12Emp3GrossProd-calcR2LOB2Clinician12Emp3MissVisits</f>
        <v>0</v>
      </c>
      <c r="L1780" s="453">
        <f>calcR2LOB2Clinician12Emp3GrossProd-calcR2LOB2Clinician12Emp3MissVisits</f>
        <v>0</v>
      </c>
      <c r="M1780" s="453">
        <f>calcR2LOB2Clinician12Emp3GrossProd-calcR2LOB2Clinician12Emp3MissVisits</f>
        <v>0</v>
      </c>
      <c r="N1780" s="131" t="s">
        <v>7225</v>
      </c>
    </row>
    <row r="1781" spans="1:14" ht="12.75" customHeight="1">
      <c r="A1781" s="478"/>
      <c r="B1781" s="460"/>
      <c r="D1781" s="131" t="s">
        <v>556</v>
      </c>
      <c r="E1781" s="453">
        <f>calcLOB2Clinician15Emp3GrossProd-calcLOB2Clinician15Emp3MissVisits</f>
        <v>103.77166666666666</v>
      </c>
      <c r="F1781" s="453">
        <f>calcLOB2Clinician15Emp3GrossProd-calcLOB2Clinician15Emp3MissVisits</f>
        <v>84.375</v>
      </c>
      <c r="G1781" s="453">
        <f>calcLOB2Clinician15Emp3GrossProd-calcLOB2Clinician15Emp3MissVisits</f>
        <v>164.0625</v>
      </c>
      <c r="H1781" s="131" t="s">
        <v>4126</v>
      </c>
      <c r="J1781" s="131" t="s">
        <v>556</v>
      </c>
      <c r="K1781" s="453">
        <f>calcR2LOB2Clinician15Emp3GrossProd-calcR2LOB2Clinician15Emp3MissVisits</f>
        <v>98.178938940629052</v>
      </c>
      <c r="L1781" s="453">
        <f>calcR2LOB2Clinician15Emp3GrossProd-calcR2LOB2Clinician15Emp3MissVisits</f>
        <v>84.375</v>
      </c>
      <c r="M1781" s="453">
        <f>calcR2LOB2Clinician15Emp3GrossProd-calcR2LOB2Clinician15Emp3MissVisits</f>
        <v>164.0625</v>
      </c>
      <c r="N1781" s="131" t="s">
        <v>7226</v>
      </c>
    </row>
    <row r="1782" spans="1:14" ht="1.5" customHeight="1">
      <c r="A1782" s="478"/>
      <c r="B1782" s="460"/>
      <c r="D1782" s="449"/>
      <c r="E1782" s="450"/>
      <c r="F1782" s="450"/>
      <c r="G1782" s="450"/>
      <c r="H1782" s="131"/>
      <c r="J1782" s="449"/>
      <c r="K1782" s="450"/>
      <c r="L1782" s="450"/>
      <c r="M1782" s="450"/>
      <c r="N1782" s="131"/>
    </row>
    <row r="1783" spans="1:14" ht="12.75" customHeight="1">
      <c r="A1783" s="478"/>
      <c r="B1783" s="460"/>
      <c r="D1783" s="131" t="s">
        <v>2632</v>
      </c>
      <c r="E1783" s="448">
        <f>SUM(E1769:E1782)</f>
        <v>163.10666666666665</v>
      </c>
      <c r="F1783" s="448">
        <f t="shared" ref="F1783:G1783" si="218">SUM(F1769:F1782)</f>
        <v>143.71</v>
      </c>
      <c r="G1783" s="448">
        <f t="shared" si="218"/>
        <v>223.39750000000001</v>
      </c>
      <c r="H1783" s="131" t="s">
        <v>2727</v>
      </c>
      <c r="J1783" s="131" t="s">
        <v>2632</v>
      </c>
      <c r="K1783" s="448">
        <f>SUM(K1769:K1782)</f>
        <v>157.51393894062906</v>
      </c>
      <c r="L1783" s="448">
        <f t="shared" ref="L1783:M1783" si="219">SUM(L1769:L1782)</f>
        <v>143.71</v>
      </c>
      <c r="M1783" s="448">
        <f t="shared" si="219"/>
        <v>223.39750000000001</v>
      </c>
      <c r="N1783" s="131" t="s">
        <v>7227</v>
      </c>
    </row>
    <row r="1784" spans="1:14" ht="12.75" customHeight="1">
      <c r="A1784" s="478"/>
      <c r="B1784" s="460"/>
    </row>
    <row r="1785" spans="1:14" ht="12.75" customHeight="1">
      <c r="A1785" s="478"/>
      <c r="B1785" s="460"/>
      <c r="C1785" s="131" t="s">
        <v>1618</v>
      </c>
    </row>
    <row r="1786" spans="1:14" ht="12.75" customHeight="1">
      <c r="A1786" s="478"/>
      <c r="B1786" s="460"/>
      <c r="C1786" s="170">
        <v>1</v>
      </c>
      <c r="D1786" s="131" t="s">
        <v>556</v>
      </c>
      <c r="E1786" s="453">
        <f>MAX(0,calcLOB2Clinician1Emp3GrossProd-30)</f>
        <v>0</v>
      </c>
      <c r="F1786" s="453">
        <f>MAX(0,calcLOB2Clinician1Emp3GrossProd-30)</f>
        <v>0</v>
      </c>
      <c r="G1786" s="453">
        <f>MAX(0,calcLOB2Clinician1Emp3GrossProd-30)</f>
        <v>0</v>
      </c>
      <c r="H1786" s="131" t="s">
        <v>2564</v>
      </c>
      <c r="J1786" s="131" t="s">
        <v>556</v>
      </c>
      <c r="K1786" s="453">
        <f>MAX(0,calcR2LOB2Clinician1Emp3GrossProd-30)</f>
        <v>0</v>
      </c>
      <c r="L1786" s="453">
        <f>MAX(0,calcR2LOB2Clinician1Emp3GrossProd-30)</f>
        <v>0</v>
      </c>
      <c r="M1786" s="453">
        <f>MAX(0,calcR2LOB2Clinician1Emp3GrossProd-30)</f>
        <v>0</v>
      </c>
      <c r="N1786" s="131" t="s">
        <v>7228</v>
      </c>
    </row>
    <row r="1787" spans="1:14" ht="12.75" customHeight="1">
      <c r="A1787" s="478"/>
      <c r="B1787" s="460"/>
      <c r="C1787" s="170">
        <v>2</v>
      </c>
      <c r="D1787" s="131" t="s">
        <v>556</v>
      </c>
      <c r="E1787" s="453">
        <f>MAX(0,calcLOB2Clinician2Emp3GrossProd-30)</f>
        <v>0</v>
      </c>
      <c r="F1787" s="453">
        <f>MAX(0,calcLOB2Clinician2Emp3GrossProd-30)</f>
        <v>0</v>
      </c>
      <c r="G1787" s="453">
        <f>MAX(0,calcLOB2Clinician2Emp3GrossProd-30)</f>
        <v>0</v>
      </c>
      <c r="H1787" s="131" t="s">
        <v>2565</v>
      </c>
      <c r="J1787" s="131" t="s">
        <v>556</v>
      </c>
      <c r="K1787" s="453">
        <f>MAX(0,calcR2LOB2Clinician2Emp3GrossProd-30)</f>
        <v>0</v>
      </c>
      <c r="L1787" s="453">
        <f>MAX(0,calcR2LOB2Clinician2Emp3GrossProd-30)</f>
        <v>0</v>
      </c>
      <c r="M1787" s="453">
        <f>MAX(0,calcR2LOB2Clinician2Emp3GrossProd-30)</f>
        <v>0</v>
      </c>
      <c r="N1787" s="131" t="s">
        <v>7229</v>
      </c>
    </row>
    <row r="1788" spans="1:14" ht="12.75" customHeight="1">
      <c r="A1788" s="478"/>
      <c r="B1788" s="460"/>
      <c r="C1788" s="170">
        <v>3</v>
      </c>
      <c r="D1788" s="131" t="s">
        <v>556</v>
      </c>
      <c r="E1788" s="453">
        <f>MAX(0,calcLOB2Clinician3Emp3GrossProd-30)</f>
        <v>0</v>
      </c>
      <c r="F1788" s="453">
        <f>MAX(0,calcLOB2Clinician3Emp3GrossProd-30)</f>
        <v>0</v>
      </c>
      <c r="G1788" s="453">
        <f>MAX(0,calcLOB2Clinician3Emp3GrossProd-30)</f>
        <v>0</v>
      </c>
      <c r="H1788" s="131" t="s">
        <v>2566</v>
      </c>
      <c r="J1788" s="131" t="s">
        <v>556</v>
      </c>
      <c r="K1788" s="453">
        <f>MAX(0,calcR2LOB2Clinician3Emp3GrossProd-30)</f>
        <v>0</v>
      </c>
      <c r="L1788" s="453">
        <f>MAX(0,calcR2LOB2Clinician3Emp3GrossProd-30)</f>
        <v>0</v>
      </c>
      <c r="M1788" s="453">
        <f>MAX(0,calcR2LOB2Clinician3Emp3GrossProd-30)</f>
        <v>0</v>
      </c>
      <c r="N1788" s="131" t="s">
        <v>7230</v>
      </c>
    </row>
    <row r="1789" spans="1:14" ht="12.75" customHeight="1">
      <c r="A1789" s="478"/>
      <c r="B1789" s="460"/>
      <c r="C1789" s="170">
        <v>4</v>
      </c>
      <c r="D1789" s="131" t="s">
        <v>556</v>
      </c>
      <c r="E1789" s="453">
        <f>MAX(0,calcLOB2Clinician4Emp3GrossProd-30)</f>
        <v>0</v>
      </c>
      <c r="F1789" s="453">
        <f>MAX(0,calcLOB2Clinician4Emp3GrossProd-30)</f>
        <v>0</v>
      </c>
      <c r="G1789" s="453">
        <f>MAX(0,calcLOB2Clinician4Emp3GrossProd-30)</f>
        <v>0</v>
      </c>
      <c r="H1789" s="131" t="s">
        <v>2567</v>
      </c>
      <c r="J1789" s="131" t="s">
        <v>556</v>
      </c>
      <c r="K1789" s="453">
        <f>MAX(0,calcR2LOB2Clinician4Emp3GrossProd-30)</f>
        <v>0</v>
      </c>
      <c r="L1789" s="453">
        <f>MAX(0,calcR2LOB2Clinician4Emp3GrossProd-30)</f>
        <v>0</v>
      </c>
      <c r="M1789" s="453">
        <f>MAX(0,calcR2LOB2Clinician4Emp3GrossProd-30)</f>
        <v>0</v>
      </c>
      <c r="N1789" s="131" t="s">
        <v>7231</v>
      </c>
    </row>
    <row r="1790" spans="1:14" ht="12.75" customHeight="1">
      <c r="A1790" s="478"/>
      <c r="B1790" s="460"/>
      <c r="C1790" s="170">
        <v>5</v>
      </c>
      <c r="D1790" s="131" t="s">
        <v>556</v>
      </c>
      <c r="E1790" s="453">
        <f>MAX(0,calcLOB2Clinician5Emp3GrossProd-30)</f>
        <v>0</v>
      </c>
      <c r="F1790" s="453">
        <f>MAX(0,calcLOB2Clinician5Emp3GrossProd-30)</f>
        <v>0</v>
      </c>
      <c r="G1790" s="453">
        <f>MAX(0,calcLOB2Clinician5Emp3GrossProd-30)</f>
        <v>0</v>
      </c>
      <c r="H1790" s="131" t="s">
        <v>2568</v>
      </c>
      <c r="J1790" s="131" t="s">
        <v>556</v>
      </c>
      <c r="K1790" s="453">
        <f>MAX(0,calcR2LOB2Clinician5Emp3GrossProd-30)</f>
        <v>0</v>
      </c>
      <c r="L1790" s="453">
        <f>MAX(0,calcR2LOB2Clinician5Emp3GrossProd-30)</f>
        <v>0</v>
      </c>
      <c r="M1790" s="453">
        <f>MAX(0,calcR2LOB2Clinician5Emp3GrossProd-30)</f>
        <v>0</v>
      </c>
      <c r="N1790" s="131" t="s">
        <v>7232</v>
      </c>
    </row>
    <row r="1791" spans="1:14" ht="12.75" customHeight="1">
      <c r="A1791" s="478"/>
      <c r="B1791" s="460"/>
      <c r="C1791" s="170">
        <v>6</v>
      </c>
      <c r="D1791" s="131" t="s">
        <v>556</v>
      </c>
      <c r="E1791" s="453">
        <f>MAX(0,calcLOB2Clinician6Emp3GrossProd-30)</f>
        <v>0</v>
      </c>
      <c r="F1791" s="453">
        <f>MAX(0,calcLOB2Clinician6Emp3GrossProd-30)</f>
        <v>0</v>
      </c>
      <c r="G1791" s="453">
        <f>MAX(0,calcLOB2Clinician6Emp3GrossProd-30)</f>
        <v>0</v>
      </c>
      <c r="H1791" s="131" t="s">
        <v>2569</v>
      </c>
      <c r="J1791" s="131" t="s">
        <v>556</v>
      </c>
      <c r="K1791" s="453">
        <f>MAX(0,calcR2LOB2Clinician6Emp3GrossProd-30)</f>
        <v>0</v>
      </c>
      <c r="L1791" s="453">
        <f>MAX(0,calcR2LOB2Clinician6Emp3GrossProd-30)</f>
        <v>0</v>
      </c>
      <c r="M1791" s="453">
        <f>MAX(0,calcR2LOB2Clinician6Emp3GrossProd-30)</f>
        <v>0</v>
      </c>
      <c r="N1791" s="131" t="s">
        <v>7233</v>
      </c>
    </row>
    <row r="1792" spans="1:14" ht="12.75" customHeight="1">
      <c r="A1792" s="478"/>
      <c r="B1792" s="460"/>
      <c r="C1792" s="170">
        <v>7</v>
      </c>
      <c r="D1792" s="131" t="s">
        <v>556</v>
      </c>
      <c r="E1792" s="453">
        <f>MAX(0,calcLOB2Clinician7Emp3GrossProd-30)</f>
        <v>0</v>
      </c>
      <c r="F1792" s="453">
        <f>MAX(0,calcLOB2Clinician7Emp3GrossProd-30)</f>
        <v>0</v>
      </c>
      <c r="G1792" s="453">
        <f>MAX(0,calcLOB2Clinician7Emp3GrossProd-30)</f>
        <v>0</v>
      </c>
      <c r="H1792" s="131" t="s">
        <v>2570</v>
      </c>
      <c r="J1792" s="131" t="s">
        <v>556</v>
      </c>
      <c r="K1792" s="453">
        <f>MAX(0,calcR2LOB2Clinician7Emp3GrossProd-30)</f>
        <v>0</v>
      </c>
      <c r="L1792" s="453">
        <f>MAX(0,calcR2LOB2Clinician7Emp3GrossProd-30)</f>
        <v>0</v>
      </c>
      <c r="M1792" s="453">
        <f>MAX(0,calcR2LOB2Clinician7Emp3GrossProd-30)</f>
        <v>0</v>
      </c>
      <c r="N1792" s="131" t="s">
        <v>7234</v>
      </c>
    </row>
    <row r="1793" spans="1:14" ht="12.75" customHeight="1">
      <c r="A1793" s="478"/>
      <c r="B1793" s="460"/>
      <c r="C1793" s="170">
        <v>8</v>
      </c>
      <c r="D1793" s="131" t="s">
        <v>556</v>
      </c>
      <c r="E1793" s="453">
        <f>MAX(0,calcLOB2Clinician8Emp3GrossProd-30)</f>
        <v>0</v>
      </c>
      <c r="F1793" s="453">
        <f>MAX(0,calcLOB2Clinician8Emp3GrossProd-30)</f>
        <v>0</v>
      </c>
      <c r="G1793" s="453">
        <f>MAX(0,calcLOB2Clinician8Emp3GrossProd-30)</f>
        <v>0</v>
      </c>
      <c r="H1793" s="131" t="s">
        <v>2571</v>
      </c>
      <c r="J1793" s="131" t="s">
        <v>556</v>
      </c>
      <c r="K1793" s="453">
        <f>MAX(0,calcR2LOB2Clinician8Emp3GrossProd-30)</f>
        <v>0</v>
      </c>
      <c r="L1793" s="453">
        <f>MAX(0,calcR2LOB2Clinician8Emp3GrossProd-30)</f>
        <v>0</v>
      </c>
      <c r="M1793" s="453">
        <f>MAX(0,calcR2LOB2Clinician8Emp3GrossProd-30)</f>
        <v>0</v>
      </c>
      <c r="N1793" s="131" t="s">
        <v>7235</v>
      </c>
    </row>
    <row r="1794" spans="1:14" ht="12.75" customHeight="1">
      <c r="A1794" s="478"/>
      <c r="B1794" s="460"/>
      <c r="C1794" s="170">
        <v>9</v>
      </c>
      <c r="D1794" s="131" t="s">
        <v>556</v>
      </c>
      <c r="E1794" s="724">
        <f>MAX(0,calcLOB2Clinician9Emp3GrossProd-20)</f>
        <v>0</v>
      </c>
      <c r="F1794" s="724">
        <f>MAX(0,calcLOB2Clinician9Emp3GrossProd-20)</f>
        <v>0</v>
      </c>
      <c r="G1794" s="724">
        <f>MAX(0,calcLOB2Clinician9Emp3GrossProd-20)</f>
        <v>0</v>
      </c>
      <c r="H1794" s="131" t="s">
        <v>2572</v>
      </c>
      <c r="J1794" s="131" t="s">
        <v>556</v>
      </c>
      <c r="K1794" s="724">
        <f>MAX(0,calcR2LOB2Clinician9Emp3GrossProd-20)</f>
        <v>0</v>
      </c>
      <c r="L1794" s="724">
        <f>MAX(0,calcR2LOB2Clinician9Emp3GrossProd-20)</f>
        <v>0</v>
      </c>
      <c r="M1794" s="724">
        <f>MAX(0,calcR2LOB2Clinician9Emp3GrossProd-20)</f>
        <v>0</v>
      </c>
      <c r="N1794" s="131" t="s">
        <v>7236</v>
      </c>
    </row>
    <row r="1795" spans="1:14" ht="12.75" customHeight="1">
      <c r="A1795" s="478"/>
      <c r="B1795" s="460"/>
      <c r="C1795" s="170">
        <v>10</v>
      </c>
      <c r="D1795" s="131" t="s">
        <v>556</v>
      </c>
      <c r="E1795" s="453">
        <f>MAX(0,calcLOB2Clinician10Emp3GrossProd-30)</f>
        <v>0</v>
      </c>
      <c r="F1795" s="453">
        <f>MAX(0,calcLOB2Clinician10Emp3GrossProd-30)</f>
        <v>0</v>
      </c>
      <c r="G1795" s="453">
        <f>MAX(0,calcLOB2Clinician10Emp3GrossProd-30)</f>
        <v>0</v>
      </c>
      <c r="H1795" s="131" t="s">
        <v>2573</v>
      </c>
      <c r="J1795" s="131" t="s">
        <v>556</v>
      </c>
      <c r="K1795" s="453">
        <f>MAX(0,calcR2LOB2Clinician10Emp3GrossProd-30)</f>
        <v>0</v>
      </c>
      <c r="L1795" s="453">
        <f>MAX(0,calcR2LOB2Clinician10Emp3GrossProd-30)</f>
        <v>0</v>
      </c>
      <c r="M1795" s="453">
        <f>MAX(0,calcR2LOB2Clinician10Emp3GrossProd-30)</f>
        <v>0</v>
      </c>
      <c r="N1795" s="131" t="s">
        <v>7237</v>
      </c>
    </row>
    <row r="1796" spans="1:14" ht="12.75" customHeight="1">
      <c r="A1796" s="478"/>
      <c r="B1796" s="460"/>
      <c r="C1796" s="170">
        <v>11</v>
      </c>
      <c r="D1796" s="131" t="s">
        <v>556</v>
      </c>
      <c r="E1796" s="453">
        <f>MAX(0,calcLOB2Clinician11Emp3GrossProd-30)</f>
        <v>0</v>
      </c>
      <c r="F1796" s="453">
        <f>MAX(0,calcLOB2Clinician11Emp3GrossProd-30)</f>
        <v>0</v>
      </c>
      <c r="G1796" s="453">
        <f>MAX(0,calcLOB2Clinician11Emp3GrossProd-30)</f>
        <v>0</v>
      </c>
      <c r="H1796" s="131" t="s">
        <v>2574</v>
      </c>
      <c r="J1796" s="131" t="s">
        <v>556</v>
      </c>
      <c r="K1796" s="453">
        <f>MAX(0,calcR2LOB2Clinician11Emp3GrossProd-30)</f>
        <v>0</v>
      </c>
      <c r="L1796" s="453">
        <f>MAX(0,calcR2LOB2Clinician11Emp3GrossProd-30)</f>
        <v>0</v>
      </c>
      <c r="M1796" s="453">
        <f>MAX(0,calcR2LOB2Clinician11Emp3GrossProd-30)</f>
        <v>0</v>
      </c>
      <c r="N1796" s="131" t="s">
        <v>7238</v>
      </c>
    </row>
    <row r="1797" spans="1:14" ht="12.75" customHeight="1">
      <c r="A1797" s="478"/>
      <c r="B1797" s="460"/>
      <c r="C1797" s="170">
        <v>12</v>
      </c>
      <c r="D1797" s="131" t="s">
        <v>556</v>
      </c>
      <c r="E1797" s="453">
        <f>MAX(0,calcLOB2Clinician12Emp3GrossProd-30)</f>
        <v>0</v>
      </c>
      <c r="F1797" s="453">
        <f>MAX(0,calcLOB2Clinician12Emp3GrossProd-30)</f>
        <v>0</v>
      </c>
      <c r="G1797" s="453">
        <f>MAX(0,calcLOB2Clinician12Emp3GrossProd-30)</f>
        <v>0</v>
      </c>
      <c r="H1797" s="131" t="s">
        <v>2575</v>
      </c>
      <c r="J1797" s="131" t="s">
        <v>556</v>
      </c>
      <c r="K1797" s="453">
        <f>MAX(0,calcR2LOB2Clinician12Emp3GrossProd-30)</f>
        <v>0</v>
      </c>
      <c r="L1797" s="453">
        <f>MAX(0,calcR2LOB2Clinician12Emp3GrossProd-30)</f>
        <v>0</v>
      </c>
      <c r="M1797" s="453">
        <f>MAX(0,calcR2LOB2Clinician12Emp3GrossProd-30)</f>
        <v>0</v>
      </c>
      <c r="N1797" s="131" t="s">
        <v>7239</v>
      </c>
    </row>
    <row r="1798" spans="1:14" ht="12.75" customHeight="1">
      <c r="A1798" s="478"/>
    </row>
    <row r="1799" spans="1:14" ht="12.75" customHeight="1">
      <c r="A1799" s="478"/>
      <c r="C1799" s="131" t="s">
        <v>1586</v>
      </c>
    </row>
    <row r="1800" spans="1:14" ht="12.75" customHeight="1">
      <c r="A1800" s="478"/>
      <c r="D1800" s="8" t="s">
        <v>595</v>
      </c>
      <c r="E1800" s="170">
        <f>calcLOB2Clinician1Disc1Emp1BaseProd+calcLOB2Clinician1Disc2Emp1BaseProd+calcLOB2Clinician1Emp2BaseProd+calcLOB2Clinician1Emp3BaseProd</f>
        <v>27</v>
      </c>
      <c r="F1800" s="170">
        <f>calcLOB2Clinician1Disc1Emp1BaseProd+calcLOB2Clinician1Disc2Emp1BaseProd+calcLOB2Clinician1Emp2BaseProd+calcLOB2Clinician1Emp3BaseProd</f>
        <v>27</v>
      </c>
      <c r="G1800" s="170">
        <f>calcLOB2Clinician1Disc1Emp1BaseProd+calcLOB2Clinician1Disc2Emp1BaseProd+calcLOB2Clinician1Emp2BaseProd+calcLOB2Clinician1Emp3BaseProd</f>
        <v>27</v>
      </c>
      <c r="H1800" s="131" t="s">
        <v>2576</v>
      </c>
      <c r="J1800" s="8" t="s">
        <v>595</v>
      </c>
      <c r="K1800" s="170">
        <f>calcR2LOB2Clinician1Disc1Emp1BaseProd+calcR2LOB2Clinician1Disc2Emp1BaseProd+calcR2LOB2Clinician1Emp2BaseProd+calcR2LOB2Clinician1Emp3BaseProd</f>
        <v>27</v>
      </c>
      <c r="L1800" s="170">
        <f>calcR2LOB2Clinician1Disc1Emp1BaseProd+calcR2LOB2Clinician1Disc2Emp1BaseProd+calcR2LOB2Clinician1Emp2BaseProd+calcR2LOB2Clinician1Emp3BaseProd</f>
        <v>27</v>
      </c>
      <c r="M1800" s="170">
        <f>calcR2LOB2Clinician1Disc1Emp1BaseProd+calcR2LOB2Clinician1Disc2Emp1BaseProd+calcR2LOB2Clinician1Emp2BaseProd+calcR2LOB2Clinician1Emp3BaseProd</f>
        <v>27</v>
      </c>
      <c r="N1800" s="131" t="s">
        <v>7240</v>
      </c>
    </row>
    <row r="1801" spans="1:14" ht="12.75" customHeight="1">
      <c r="A1801" s="478"/>
      <c r="D1801" s="8" t="s">
        <v>596</v>
      </c>
      <c r="E1801" s="170">
        <f>calcLOB2Clinician2Disc1Emp1BaseProd+calcLOB2Clinician2Disc2Emp1BaseProd+calcLOB2Clinician2Emp2BaseProd+calcLOB2Clinician2Emp3BaseProd</f>
        <v>28</v>
      </c>
      <c r="F1801" s="170">
        <f>calcLOB2Clinician2Disc1Emp1BaseProd+calcLOB2Clinician2Disc2Emp1BaseProd+calcLOB2Clinician2Emp2BaseProd+calcLOB2Clinician2Emp3BaseProd</f>
        <v>28</v>
      </c>
      <c r="G1801" s="170">
        <f>calcLOB2Clinician2Disc1Emp1BaseProd+calcLOB2Clinician2Disc2Emp1BaseProd+calcLOB2Clinician2Emp2BaseProd+calcLOB2Clinician2Emp3BaseProd</f>
        <v>28</v>
      </c>
      <c r="H1801" s="131" t="s">
        <v>2577</v>
      </c>
      <c r="J1801" s="8" t="s">
        <v>596</v>
      </c>
      <c r="K1801" s="170">
        <f>calcR2LOB2Clinician2Disc1Emp1BaseProd+calcR2LOB2Clinician2Disc2Emp1BaseProd+calcR2LOB2Clinician2Emp2BaseProd+calcR2LOB2Clinician2Emp3BaseProd</f>
        <v>28</v>
      </c>
      <c r="L1801" s="170">
        <f>calcR2LOB2Clinician2Disc1Emp1BaseProd+calcR2LOB2Clinician2Disc2Emp1BaseProd+calcR2LOB2Clinician2Emp2BaseProd+calcR2LOB2Clinician2Emp3BaseProd</f>
        <v>28</v>
      </c>
      <c r="M1801" s="170">
        <f>calcR2LOB2Clinician2Disc1Emp1BaseProd+calcR2LOB2Clinician2Disc2Emp1BaseProd+calcR2LOB2Clinician2Emp2BaseProd+calcR2LOB2Clinician2Emp3BaseProd</f>
        <v>28</v>
      </c>
      <c r="N1801" s="131" t="s">
        <v>7241</v>
      </c>
    </row>
    <row r="1802" spans="1:14" ht="12.75" customHeight="1">
      <c r="A1802" s="478"/>
      <c r="D1802" s="8" t="s">
        <v>597</v>
      </c>
      <c r="E1802" s="170">
        <f>calcLOB2Clinician3Disc1Emp1BaseProd+calcLOB2Clinician3Disc2Emp1BaseProd+calcLOB2Clinician3Emp2BaseProd+calcLOB2Clinician3Emp3BaseProd</f>
        <v>17.021276595744681</v>
      </c>
      <c r="F1802" s="170">
        <f>calcLOB2Clinician3Disc1Emp1BaseProd+calcLOB2Clinician3Disc2Emp1BaseProd+calcLOB2Clinician3Emp2BaseProd+calcLOB2Clinician3Emp3BaseProd</f>
        <v>17.021276595744681</v>
      </c>
      <c r="G1802" s="170">
        <f>calcLOB2Clinician3Disc1Emp1BaseProd+calcLOB2Clinician3Disc2Emp1BaseProd+calcLOB2Clinician3Emp2BaseProd+calcLOB2Clinician3Emp3BaseProd</f>
        <v>17.021276595744681</v>
      </c>
      <c r="H1802" s="131" t="s">
        <v>2578</v>
      </c>
      <c r="J1802" s="8" t="s">
        <v>597</v>
      </c>
      <c r="K1802" s="170">
        <f>calcR2LOB2Clinician3Disc1Emp1BaseProd+calcR2LOB2Clinician3Disc2Emp1BaseProd+calcR2LOB2Clinician3Emp2BaseProd+calcR2LOB2Clinician3Emp3BaseProd</f>
        <v>17.021276595744681</v>
      </c>
      <c r="L1802" s="170">
        <f>calcR2LOB2Clinician3Disc1Emp1BaseProd+calcR2LOB2Clinician3Disc2Emp1BaseProd+calcR2LOB2Clinician3Emp2BaseProd+calcR2LOB2Clinician3Emp3BaseProd</f>
        <v>17.021276595744681</v>
      </c>
      <c r="M1802" s="170">
        <f>calcR2LOB2Clinician3Disc1Emp1BaseProd+calcR2LOB2Clinician3Disc2Emp1BaseProd+calcR2LOB2Clinician3Emp2BaseProd+calcR2LOB2Clinician3Emp3BaseProd</f>
        <v>17.021276595744681</v>
      </c>
      <c r="N1802" s="131" t="s">
        <v>7242</v>
      </c>
    </row>
    <row r="1803" spans="1:14" ht="12.75" customHeight="1">
      <c r="A1803" s="478"/>
      <c r="D1803" s="8" t="s">
        <v>598</v>
      </c>
      <c r="E1803" s="170">
        <f>calcLOB2Clinician4Disc1Emp1BaseProd+calcLOB2Clinician4Disc2Emp1BaseProd+calcLOB2Clinician4Emp2BaseProd+calcLOB2Clinician4Emp3BaseProd</f>
        <v>16.666666666666668</v>
      </c>
      <c r="F1803" s="170">
        <f>calcLOB2Clinician4Disc1Emp1BaseProd+calcLOB2Clinician4Disc2Emp1BaseProd+calcLOB2Clinician4Emp2BaseProd+calcLOB2Clinician4Emp3BaseProd</f>
        <v>16.666666666666668</v>
      </c>
      <c r="G1803" s="170">
        <f>calcLOB2Clinician4Disc1Emp1BaseProd+calcLOB2Clinician4Disc2Emp1BaseProd+calcLOB2Clinician4Emp2BaseProd+calcLOB2Clinician4Emp3BaseProd</f>
        <v>16.666666666666668</v>
      </c>
      <c r="H1803" s="131" t="s">
        <v>2579</v>
      </c>
      <c r="J1803" s="8" t="s">
        <v>598</v>
      </c>
      <c r="K1803" s="170">
        <f>calcR2LOB2Clinician4Disc1Emp1BaseProd+calcR2LOB2Clinician4Disc2Emp1BaseProd+calcR2LOB2Clinician4Emp2BaseProd+calcR2LOB2Clinician4Emp3BaseProd</f>
        <v>16.666666666666668</v>
      </c>
      <c r="L1803" s="170">
        <f>calcR2LOB2Clinician4Disc1Emp1BaseProd+calcR2LOB2Clinician4Disc2Emp1BaseProd+calcR2LOB2Clinician4Emp2BaseProd+calcR2LOB2Clinician4Emp3BaseProd</f>
        <v>16.666666666666668</v>
      </c>
      <c r="M1803" s="170">
        <f>calcR2LOB2Clinician4Disc1Emp1BaseProd+calcR2LOB2Clinician4Disc2Emp1BaseProd+calcR2LOB2Clinician4Emp2BaseProd+calcR2LOB2Clinician4Emp3BaseProd</f>
        <v>16.666666666666668</v>
      </c>
      <c r="N1803" s="131" t="s">
        <v>7243</v>
      </c>
    </row>
    <row r="1804" spans="1:14" ht="12.75" customHeight="1">
      <c r="A1804" s="478"/>
      <c r="D1804" s="8" t="s">
        <v>599</v>
      </c>
      <c r="E1804" s="170">
        <f>calcLOB2Clinician5Disc1Emp1BaseProd+calcLOB2Clinician5Disc2Emp1BaseProd+calcLOB2Clinician5Emp2BaseProd+calcLOB2Clinician5Emp3BaseProd</f>
        <v>27.5</v>
      </c>
      <c r="F1804" s="170">
        <f>calcLOB2Clinician5Disc1Emp1BaseProd+calcLOB2Clinician5Disc2Emp1BaseProd+calcLOB2Clinician5Emp2BaseProd+calcLOB2Clinician5Emp3BaseProd</f>
        <v>27.5</v>
      </c>
      <c r="G1804" s="170">
        <f>calcLOB2Clinician5Disc1Emp1BaseProd+calcLOB2Clinician5Disc2Emp1BaseProd+calcLOB2Clinician5Emp2BaseProd+calcLOB2Clinician5Emp3BaseProd</f>
        <v>27.5</v>
      </c>
      <c r="H1804" s="131" t="s">
        <v>2580</v>
      </c>
      <c r="J1804" s="8" t="s">
        <v>599</v>
      </c>
      <c r="K1804" s="170">
        <f>calcR2LOB2Clinician5Disc1Emp1BaseProd+calcR2LOB2Clinician5Disc2Emp1BaseProd+calcR2LOB2Clinician5Emp2BaseProd+calcR2LOB2Clinician5Emp3BaseProd</f>
        <v>27.5</v>
      </c>
      <c r="L1804" s="170">
        <f>calcR2LOB2Clinician5Disc1Emp1BaseProd+calcR2LOB2Clinician5Disc2Emp1BaseProd+calcR2LOB2Clinician5Emp2BaseProd+calcR2LOB2Clinician5Emp3BaseProd</f>
        <v>27.5</v>
      </c>
      <c r="M1804" s="170">
        <f>calcR2LOB2Clinician5Disc1Emp1BaseProd+calcR2LOB2Clinician5Disc2Emp1BaseProd+calcR2LOB2Clinician5Emp2BaseProd+calcR2LOB2Clinician5Emp3BaseProd</f>
        <v>27.5</v>
      </c>
      <c r="N1804" s="131" t="s">
        <v>7244</v>
      </c>
    </row>
    <row r="1805" spans="1:14" ht="12.75" customHeight="1">
      <c r="A1805" s="478"/>
      <c r="D1805" s="8" t="s">
        <v>600</v>
      </c>
      <c r="E1805" s="170">
        <f>calcLOB2Clinician6Disc1Emp1BaseProd+calcLOB2Clinician6Disc2Emp1BaseProd+calcLOB2Clinician6Emp2BaseProd+calcLOB2Clinician6Emp3BaseProd</f>
        <v>28</v>
      </c>
      <c r="F1805" s="170">
        <f>calcLOB2Clinician6Disc1Emp1BaseProd+calcLOB2Clinician6Disc2Emp1BaseProd+calcLOB2Clinician6Emp2BaseProd+calcLOB2Clinician6Emp3BaseProd</f>
        <v>28</v>
      </c>
      <c r="G1805" s="170">
        <f>calcLOB2Clinician6Disc1Emp1BaseProd+calcLOB2Clinician6Disc2Emp1BaseProd+calcLOB2Clinician6Emp2BaseProd+calcLOB2Clinician6Emp3BaseProd</f>
        <v>28</v>
      </c>
      <c r="H1805" s="131" t="s">
        <v>2581</v>
      </c>
      <c r="J1805" s="8" t="s">
        <v>600</v>
      </c>
      <c r="K1805" s="170">
        <f>calcR2LOB2Clinician6Disc1Emp1BaseProd+calcR2LOB2Clinician6Disc2Emp1BaseProd+calcR2LOB2Clinician6Emp2BaseProd+calcR2LOB2Clinician6Emp3BaseProd</f>
        <v>28</v>
      </c>
      <c r="L1805" s="170">
        <f>calcR2LOB2Clinician6Disc1Emp1BaseProd+calcR2LOB2Clinician6Disc2Emp1BaseProd+calcR2LOB2Clinician6Emp2BaseProd+calcR2LOB2Clinician6Emp3BaseProd</f>
        <v>28</v>
      </c>
      <c r="M1805" s="170">
        <f>calcR2LOB2Clinician6Disc1Emp1BaseProd+calcR2LOB2Clinician6Disc2Emp1BaseProd+calcR2LOB2Clinician6Emp2BaseProd+calcR2LOB2Clinician6Emp3BaseProd</f>
        <v>28</v>
      </c>
      <c r="N1805" s="131" t="s">
        <v>7245</v>
      </c>
    </row>
    <row r="1806" spans="1:14" ht="12.75" customHeight="1">
      <c r="A1806" s="478"/>
      <c r="D1806" s="8" t="s">
        <v>601</v>
      </c>
      <c r="E1806" s="170">
        <f>calcLOB2Clinician7Disc1Emp1BaseProd+calcLOB2Clinician7Disc2Emp1BaseProd+calcLOB2Clinician7Emp2BaseProd+calcLOB2Clinician7Emp3BaseProd</f>
        <v>28</v>
      </c>
      <c r="F1806" s="170">
        <f>calcLOB2Clinician7Disc1Emp1BaseProd+calcLOB2Clinician7Disc2Emp1BaseProd+calcLOB2Clinician7Emp2BaseProd+calcLOB2Clinician7Emp3BaseProd</f>
        <v>28</v>
      </c>
      <c r="G1806" s="170">
        <f>calcLOB2Clinician7Disc1Emp1BaseProd+calcLOB2Clinician7Disc2Emp1BaseProd+calcLOB2Clinician7Emp2BaseProd+calcLOB2Clinician7Emp3BaseProd</f>
        <v>28</v>
      </c>
      <c r="H1806" s="131" t="s">
        <v>2582</v>
      </c>
      <c r="J1806" s="8" t="s">
        <v>601</v>
      </c>
      <c r="K1806" s="170">
        <f>calcR2LOB2Clinician7Disc1Emp1BaseProd+calcR2LOB2Clinician7Disc2Emp1BaseProd+calcR2LOB2Clinician7Emp2BaseProd+calcR2LOB2Clinician7Emp3BaseProd</f>
        <v>28</v>
      </c>
      <c r="L1806" s="170">
        <f>calcR2LOB2Clinician7Disc1Emp1BaseProd+calcR2LOB2Clinician7Disc2Emp1BaseProd+calcR2LOB2Clinician7Emp2BaseProd+calcR2LOB2Clinician7Emp3BaseProd</f>
        <v>28</v>
      </c>
      <c r="M1806" s="170">
        <f>calcR2LOB2Clinician7Disc1Emp1BaseProd+calcR2LOB2Clinician7Disc2Emp1BaseProd+calcR2LOB2Clinician7Emp2BaseProd+calcR2LOB2Clinician7Emp3BaseProd</f>
        <v>28</v>
      </c>
      <c r="N1806" s="131" t="s">
        <v>7246</v>
      </c>
    </row>
    <row r="1807" spans="1:14" ht="12.75" customHeight="1">
      <c r="A1807" s="478"/>
      <c r="D1807" s="8" t="s">
        <v>602</v>
      </c>
      <c r="E1807" s="170">
        <f>calcLOB2Clinician8Disc1Emp1BaseProd+calcLOB2Clinician8Disc2Emp1BaseProd+calcLOB2Clinician8Emp2BaseProd+calcLOB2Clinician8Emp3BaseProd</f>
        <v>28</v>
      </c>
      <c r="F1807" s="170">
        <f>calcLOB2Clinician8Disc1Emp1BaseProd+calcLOB2Clinician8Disc2Emp1BaseProd+calcLOB2Clinician8Emp2BaseProd+calcLOB2Clinician8Emp3BaseProd</f>
        <v>28</v>
      </c>
      <c r="G1807" s="170">
        <f>calcLOB2Clinician8Disc1Emp1BaseProd+calcLOB2Clinician8Disc2Emp1BaseProd+calcLOB2Clinician8Emp2BaseProd+calcLOB2Clinician8Emp3BaseProd</f>
        <v>28</v>
      </c>
      <c r="H1807" s="131" t="s">
        <v>2583</v>
      </c>
      <c r="J1807" s="8" t="s">
        <v>602</v>
      </c>
      <c r="K1807" s="170">
        <f>calcR2LOB2Clinician8Disc1Emp1BaseProd+calcR2LOB2Clinician8Disc2Emp1BaseProd+calcR2LOB2Clinician8Emp2BaseProd+calcR2LOB2Clinician8Emp3BaseProd</f>
        <v>28</v>
      </c>
      <c r="L1807" s="170">
        <f>calcR2LOB2Clinician8Disc1Emp1BaseProd+calcR2LOB2Clinician8Disc2Emp1BaseProd+calcR2LOB2Clinician8Emp2BaseProd+calcR2LOB2Clinician8Emp3BaseProd</f>
        <v>28</v>
      </c>
      <c r="M1807" s="170">
        <f>calcR2LOB2Clinician8Disc1Emp1BaseProd+calcR2LOB2Clinician8Disc2Emp1BaseProd+calcR2LOB2Clinician8Emp2BaseProd+calcR2LOB2Clinician8Emp3BaseProd</f>
        <v>28</v>
      </c>
      <c r="N1807" s="131" t="s">
        <v>7247</v>
      </c>
    </row>
    <row r="1808" spans="1:14" ht="12.75" customHeight="1">
      <c r="A1808" s="478"/>
      <c r="D1808" s="8" t="s">
        <v>603</v>
      </c>
      <c r="E1808" s="170">
        <f>calcLOB2Clinician9Disc1Emp1BaseProd+calcLOB2Clinician9Disc2Emp1BaseProd+calcLOB2Clinician9Emp2BaseProd+calcLOB2Clinician9Emp3BaseProd</f>
        <v>12.5</v>
      </c>
      <c r="F1808" s="170">
        <f>calcLOB2Clinician9Disc1Emp1BaseProd+calcLOB2Clinician9Disc2Emp1BaseProd+calcLOB2Clinician9Emp2BaseProd+calcLOB2Clinician9Emp3BaseProd</f>
        <v>12.5</v>
      </c>
      <c r="G1808" s="170">
        <f>calcLOB2Clinician9Disc1Emp1BaseProd+calcLOB2Clinician9Disc2Emp1BaseProd+calcLOB2Clinician9Emp2BaseProd+calcLOB2Clinician9Emp3BaseProd</f>
        <v>12.5</v>
      </c>
      <c r="H1808" s="131" t="s">
        <v>2584</v>
      </c>
      <c r="J1808" s="8" t="s">
        <v>603</v>
      </c>
      <c r="K1808" s="170">
        <f>calcR2LOB2Clinician9Disc1Emp1BaseProd+calcR2LOB2Clinician9Disc2Emp1BaseProd+calcR2LOB2Clinician9Emp2BaseProd+calcR2LOB2Clinician9Emp3BaseProd</f>
        <v>12.5</v>
      </c>
      <c r="L1808" s="170">
        <f>calcR2LOB2Clinician9Disc1Emp1BaseProd+calcR2LOB2Clinician9Disc2Emp1BaseProd+calcR2LOB2Clinician9Emp2BaseProd+calcR2LOB2Clinician9Emp3BaseProd</f>
        <v>12.5</v>
      </c>
      <c r="M1808" s="170">
        <f>calcR2LOB2Clinician9Disc1Emp1BaseProd+calcR2LOB2Clinician9Disc2Emp1BaseProd+calcR2LOB2Clinician9Emp2BaseProd+calcR2LOB2Clinician9Emp3BaseProd</f>
        <v>12.5</v>
      </c>
      <c r="N1808" s="131" t="s">
        <v>7248</v>
      </c>
    </row>
    <row r="1809" spans="1:14" ht="12.75" customHeight="1">
      <c r="A1809" s="478"/>
      <c r="D1809" s="8" t="s">
        <v>604</v>
      </c>
      <c r="E1809" s="170">
        <f>calcLOB2Clinician10Disc1Emp1BaseProd+calcLOB2Clinician10Disc2Emp1BaseProd+calcLOB2Clinician10Emp2BaseProd+calcLOB2Clinician10Emp3BaseProd</f>
        <v>22.680412371134022</v>
      </c>
      <c r="F1809" s="170">
        <f>calcLOB2Clinician10Disc1Emp1BaseProd+calcLOB2Clinician10Disc2Emp1BaseProd+calcLOB2Clinician10Emp2BaseProd+calcLOB2Clinician10Emp3BaseProd</f>
        <v>22.680412371134022</v>
      </c>
      <c r="G1809" s="170">
        <f>calcLOB2Clinician10Disc1Emp1BaseProd+calcLOB2Clinician10Disc2Emp1BaseProd+calcLOB2Clinician10Emp2BaseProd+calcLOB2Clinician10Emp3BaseProd</f>
        <v>22.680412371134022</v>
      </c>
      <c r="H1809" s="131" t="s">
        <v>2585</v>
      </c>
      <c r="J1809" s="8" t="s">
        <v>604</v>
      </c>
      <c r="K1809" s="170">
        <f>calcR2LOB2Clinician10Disc1Emp1BaseProd+calcR2LOB2Clinician10Disc2Emp1BaseProd+calcR2LOB2Clinician10Emp2BaseProd+calcR2LOB2Clinician10Emp3BaseProd</f>
        <v>22.680412371134022</v>
      </c>
      <c r="L1809" s="170">
        <f>calcR2LOB2Clinician10Disc1Emp1BaseProd+calcR2LOB2Clinician10Disc2Emp1BaseProd+calcR2LOB2Clinician10Emp2BaseProd+calcR2LOB2Clinician10Emp3BaseProd</f>
        <v>22.680412371134022</v>
      </c>
      <c r="M1809" s="170">
        <f>calcR2LOB2Clinician10Disc1Emp1BaseProd+calcR2LOB2Clinician10Disc2Emp1BaseProd+calcR2LOB2Clinician10Emp2BaseProd+calcR2LOB2Clinician10Emp3BaseProd</f>
        <v>22.680412371134022</v>
      </c>
      <c r="N1809" s="131" t="s">
        <v>7249</v>
      </c>
    </row>
    <row r="1810" spans="1:14" ht="12.75" customHeight="1">
      <c r="A1810" s="478"/>
      <c r="D1810" s="8" t="s">
        <v>1497</v>
      </c>
      <c r="E1810" s="170">
        <f>calcLOB2Clinician11Disc1Emp1BaseProd+calcLOB2Clinician11Disc2Emp1BaseProd+calcLOB2Clinician11Emp2BaseProd+calcLOB2Clinician11Emp3BaseProd</f>
        <v>0</v>
      </c>
      <c r="F1810" s="170">
        <f>calcLOB2Clinician11Disc1Emp1BaseProd+calcLOB2Clinician11Disc2Emp1BaseProd+calcLOB2Clinician11Emp2BaseProd+calcLOB2Clinician11Emp3BaseProd</f>
        <v>0</v>
      </c>
      <c r="G1810" s="170">
        <f>calcLOB2Clinician11Disc1Emp1BaseProd+calcLOB2Clinician11Disc2Emp1BaseProd+calcLOB2Clinician11Emp2BaseProd+calcLOB2Clinician11Emp3BaseProd</f>
        <v>0</v>
      </c>
      <c r="H1810" s="131" t="s">
        <v>2586</v>
      </c>
      <c r="J1810" s="8" t="s">
        <v>1497</v>
      </c>
      <c r="K1810" s="170">
        <f>calcR2LOB2Clinician11Disc1Emp1BaseProd+calcR2LOB2Clinician11Disc2Emp1BaseProd+calcR2LOB2Clinician11Emp2BaseProd+calcR2LOB2Clinician11Emp3BaseProd</f>
        <v>0</v>
      </c>
      <c r="L1810" s="170">
        <f>calcR2LOB2Clinician11Disc1Emp1BaseProd+calcR2LOB2Clinician11Disc2Emp1BaseProd+calcR2LOB2Clinician11Emp2BaseProd+calcR2LOB2Clinician11Emp3BaseProd</f>
        <v>0</v>
      </c>
      <c r="M1810" s="170">
        <f>calcR2LOB2Clinician11Disc1Emp1BaseProd+calcR2LOB2Clinician11Disc2Emp1BaseProd+calcR2LOB2Clinician11Emp2BaseProd+calcR2LOB2Clinician11Emp3BaseProd</f>
        <v>0</v>
      </c>
      <c r="N1810" s="131" t="s">
        <v>7250</v>
      </c>
    </row>
    <row r="1811" spans="1:14" ht="12.75" customHeight="1">
      <c r="A1811" s="478"/>
      <c r="D1811" s="8" t="s">
        <v>1498</v>
      </c>
      <c r="E1811" s="170">
        <f>calcLOB2Clinician12Disc1Emp1BaseProd+calcLOB2Clinician12Disc2Emp1BaseProd+calcLOB2Clinician12Emp2BaseProd+calcLOB2Clinician12Emp3BaseProd</f>
        <v>0</v>
      </c>
      <c r="F1811" s="170">
        <f>calcLOB2Clinician12Disc1Emp1BaseProd+calcLOB2Clinician12Disc2Emp1BaseProd+calcLOB2Clinician12Emp2BaseProd+calcLOB2Clinician12Emp3BaseProd</f>
        <v>0</v>
      </c>
      <c r="G1811" s="170">
        <f>calcLOB2Clinician12Disc1Emp1BaseProd+calcLOB2Clinician12Disc2Emp1BaseProd+calcLOB2Clinician12Emp2BaseProd+calcLOB2Clinician12Emp3BaseProd</f>
        <v>0</v>
      </c>
      <c r="H1811" s="131" t="s">
        <v>2587</v>
      </c>
      <c r="J1811" s="8" t="s">
        <v>1498</v>
      </c>
      <c r="K1811" s="170">
        <f>calcR2LOB2Clinician12Disc1Emp1BaseProd+calcR2LOB2Clinician12Disc2Emp1BaseProd+calcR2LOB2Clinician12Emp2BaseProd+calcR2LOB2Clinician12Emp3BaseProd</f>
        <v>0</v>
      </c>
      <c r="L1811" s="170">
        <f>calcR2LOB2Clinician12Disc1Emp1BaseProd+calcR2LOB2Clinician12Disc2Emp1BaseProd+calcR2LOB2Clinician12Emp2BaseProd+calcR2LOB2Clinician12Emp3BaseProd</f>
        <v>0</v>
      </c>
      <c r="M1811" s="170">
        <f>calcR2LOB2Clinician12Disc1Emp1BaseProd+calcR2LOB2Clinician12Disc2Emp1BaseProd+calcR2LOB2Clinician12Emp2BaseProd+calcR2LOB2Clinician12Emp3BaseProd</f>
        <v>0</v>
      </c>
      <c r="N1811" s="131" t="s">
        <v>7251</v>
      </c>
    </row>
    <row r="1812" spans="1:14" ht="12.75" customHeight="1">
      <c r="A1812" s="478"/>
    </row>
    <row r="1813" spans="1:14" ht="12.75" customHeight="1">
      <c r="A1813" s="478"/>
      <c r="B1813" s="635"/>
      <c r="C1813" s="131" t="s">
        <v>4992</v>
      </c>
    </row>
    <row r="1814" spans="1:14" ht="12.75" customHeight="1">
      <c r="A1814" s="478"/>
      <c r="B1814" s="635"/>
      <c r="D1814" s="8" t="s">
        <v>595</v>
      </c>
      <c r="E1814" s="448">
        <f>calcLOB2Clinician1Disc1Emp1AllocatedProd+calcLOB2Clinician1Disc2Emp1AllocatedProd+calcLOB2Clinician1Emp2AllocatedProd+calcLOB2Clinician1Emp3AllocatedProd</f>
        <v>26.215051239435063</v>
      </c>
      <c r="F1814" s="448">
        <f>calcLOB2Clinician1Disc1Emp1AllocatedProd+calcLOB2Clinician1Disc2Emp1AllocatedProd+calcLOB2Clinician1Emp2AllocatedProd+calcLOB2Clinician1Emp3AllocatedProd</f>
        <v>26.263557968700095</v>
      </c>
      <c r="G1814" s="448">
        <f>calcLOB2Clinician1Disc1Emp1AllocatedProd+calcLOB2Clinician1Disc2Emp1AllocatedProd+calcLOB2Clinician1Emp2AllocatedProd+calcLOB2Clinician1Emp3AllocatedProd</f>
        <v>33.10699037540482</v>
      </c>
      <c r="H1814" s="131" t="s">
        <v>4993</v>
      </c>
      <c r="J1814" s="8" t="s">
        <v>595</v>
      </c>
      <c r="K1814" s="448">
        <f>calcR2LOB2Clinician1Disc1Emp1AllocatedProd+calcR2LOB2Clinician1Disc2Emp1AllocatedProd+calcR2LOB2Clinician1Emp2AllocatedProd+calcR2LOB2Clinician1Emp3AllocatedProd</f>
        <v>28.292115683179166</v>
      </c>
      <c r="L1814" s="448">
        <f>calcR2LOB2Clinician1Disc1Emp1AllocatedProd+calcR2LOB2Clinician1Disc2Emp1AllocatedProd+calcR2LOB2Clinician1Emp2AllocatedProd+calcR2LOB2Clinician1Emp3AllocatedProd</f>
        <v>26.263557968700095</v>
      </c>
      <c r="M1814" s="448">
        <f>calcR2LOB2Clinician1Disc1Emp1AllocatedProd+calcR2LOB2Clinician1Disc2Emp1AllocatedProd+calcR2LOB2Clinician1Emp2AllocatedProd+calcR2LOB2Clinician1Emp3AllocatedProd</f>
        <v>33.10699037540482</v>
      </c>
      <c r="N1814" s="131" t="s">
        <v>7252</v>
      </c>
    </row>
    <row r="1815" spans="1:14" ht="12.75" customHeight="1">
      <c r="A1815" s="478"/>
      <c r="B1815" s="635"/>
      <c r="D1815" s="8" t="s">
        <v>596</v>
      </c>
      <c r="E1815" s="448">
        <f>calcLOB2Clinician2Disc1Emp1AllocatedProd+calcLOB2Clinician2Disc2Emp1AllocatedProd+calcLOB2Clinician2Emp2AllocatedProd+calcLOB2Clinician2Emp3AllocatedProd</f>
        <v>27.185979063117845</v>
      </c>
      <c r="F1815" s="448">
        <f>calcLOB2Clinician2Disc1Emp1AllocatedProd+calcLOB2Clinician2Disc2Emp1AllocatedProd+calcLOB2Clinician2Emp2AllocatedProd+calcLOB2Clinician2Emp3AllocatedProd</f>
        <v>27.236282337911213</v>
      </c>
      <c r="G1815" s="448">
        <f>calcLOB2Clinician2Disc1Emp1AllocatedProd+calcLOB2Clinician2Disc2Emp1AllocatedProd+calcLOB2Clinician2Emp2AllocatedProd+calcLOB2Clinician2Emp3AllocatedProd</f>
        <v>34.333175204123521</v>
      </c>
      <c r="H1815" s="131" t="s">
        <v>4994</v>
      </c>
      <c r="J1815" s="8" t="s">
        <v>596</v>
      </c>
      <c r="K1815" s="448">
        <f>calcR2LOB2Clinician2Disc1Emp1AllocatedProd+calcR2LOB2Clinician2Disc2Emp1AllocatedProd+calcR2LOB2Clinician2Emp2AllocatedProd+calcR2LOB2Clinician2Emp3AllocatedProd</f>
        <v>29.33997181959321</v>
      </c>
      <c r="L1815" s="448">
        <f>calcR2LOB2Clinician2Disc1Emp1AllocatedProd+calcR2LOB2Clinician2Disc2Emp1AllocatedProd+calcR2LOB2Clinician2Emp2AllocatedProd+calcR2LOB2Clinician2Emp3AllocatedProd</f>
        <v>27.236282337911213</v>
      </c>
      <c r="M1815" s="448">
        <f>calcR2LOB2Clinician2Disc1Emp1AllocatedProd+calcR2LOB2Clinician2Disc2Emp1AllocatedProd+calcR2LOB2Clinician2Emp2AllocatedProd+calcR2LOB2Clinician2Emp3AllocatedProd</f>
        <v>34.333175204123521</v>
      </c>
      <c r="N1815" s="131" t="s">
        <v>7253</v>
      </c>
    </row>
    <row r="1816" spans="1:14" ht="12.75" customHeight="1">
      <c r="A1816" s="478"/>
      <c r="B1816" s="635"/>
      <c r="D1816" s="8" t="s">
        <v>597</v>
      </c>
      <c r="E1816" s="448">
        <f>calcLOB2Clinician3Disc1Emp1AllocatedProd+calcLOB2Clinician3Disc2Emp1AllocatedProd+calcLOB2Clinician3Emp2AllocatedProd+calcLOB2Clinician3Emp3AllocatedProd</f>
        <v>16.526431041409023</v>
      </c>
      <c r="F1816" s="448">
        <f>calcLOB2Clinician3Disc1Emp1AllocatedProd+calcLOB2Clinician3Disc2Emp1AllocatedProd+calcLOB2Clinician3Emp2AllocatedProd+calcLOB2Clinician3Emp3AllocatedProd</f>
        <v>16.557010539763652</v>
      </c>
      <c r="G1816" s="448">
        <f>calcLOB2Clinician3Disc1Emp1AllocatedProd+calcLOB2Clinician3Disc2Emp1AllocatedProd+calcLOB2Clinician3Emp2AllocatedProd+calcLOB2Clinician3Emp3AllocatedProd</f>
        <v>20.871231127126759</v>
      </c>
      <c r="H1816" s="131" t="s">
        <v>4995</v>
      </c>
      <c r="J1816" s="8" t="s">
        <v>597</v>
      </c>
      <c r="K1816" s="448">
        <f>calcR2LOB2Clinician3Disc1Emp1AllocatedProd+calcR2LOB2Clinician3Disc2Emp1AllocatedProd+calcR2LOB2Clinician3Emp2AllocatedProd+calcR2LOB2Clinician3Emp3AllocatedProd</f>
        <v>17.835849130451798</v>
      </c>
      <c r="L1816" s="448">
        <f>calcR2LOB2Clinician3Disc1Emp1AllocatedProd+calcR2LOB2Clinician3Disc2Emp1AllocatedProd+calcR2LOB2Clinician3Emp2AllocatedProd+calcR2LOB2Clinician3Emp3AllocatedProd</f>
        <v>16.557010539763652</v>
      </c>
      <c r="M1816" s="448">
        <f>calcR2LOB2Clinician3Disc1Emp1AllocatedProd+calcR2LOB2Clinician3Disc2Emp1AllocatedProd+calcR2LOB2Clinician3Emp2AllocatedProd+calcR2LOB2Clinician3Emp3AllocatedProd</f>
        <v>20.871231127126759</v>
      </c>
      <c r="N1816" s="131" t="s">
        <v>7254</v>
      </c>
    </row>
    <row r="1817" spans="1:14" ht="12.75" customHeight="1">
      <c r="A1817" s="478"/>
      <c r="B1817" s="635"/>
      <c r="D1817" s="8" t="s">
        <v>598</v>
      </c>
      <c r="E1817" s="448">
        <f>calcLOB2Clinician4Disc1Emp1AllocatedProd+calcLOB2Clinician4Disc2Emp1AllocatedProd+calcLOB2Clinician4Emp2AllocatedProd+calcLOB2Clinician4Emp3AllocatedProd</f>
        <v>16.182130394713006</v>
      </c>
      <c r="F1817" s="448">
        <f>calcLOB2Clinician4Disc1Emp1AllocatedProd+calcLOB2Clinician4Disc2Emp1AllocatedProd+calcLOB2Clinician4Emp2AllocatedProd+calcLOB2Clinician4Emp3AllocatedProd</f>
        <v>16.212072820185245</v>
      </c>
      <c r="G1817" s="448">
        <f>calcLOB2Clinician4Disc1Emp1AllocatedProd+calcLOB2Clinician4Disc2Emp1AllocatedProd+calcLOB2Clinician4Emp2AllocatedProd+calcLOB2Clinician4Emp3AllocatedProd</f>
        <v>20.436413811978287</v>
      </c>
      <c r="H1817" s="131" t="s">
        <v>4996</v>
      </c>
      <c r="J1817" s="8" t="s">
        <v>598</v>
      </c>
      <c r="K1817" s="448">
        <f>calcR2LOB2Clinician4Disc1Emp1AllocatedProd+calcR2LOB2Clinician4Disc2Emp1AllocatedProd+calcR2LOB2Clinician4Emp2AllocatedProd+calcR2LOB2Clinician4Emp3AllocatedProd</f>
        <v>17.464268940234057</v>
      </c>
      <c r="L1817" s="448">
        <f>calcR2LOB2Clinician4Disc1Emp1AllocatedProd+calcR2LOB2Clinician4Disc2Emp1AllocatedProd+calcR2LOB2Clinician4Emp2AllocatedProd+calcR2LOB2Clinician4Emp3AllocatedProd</f>
        <v>16.212072820185245</v>
      </c>
      <c r="M1817" s="448">
        <f>calcR2LOB2Clinician4Disc1Emp1AllocatedProd+calcR2LOB2Clinician4Disc2Emp1AllocatedProd+calcR2LOB2Clinician4Emp2AllocatedProd+calcR2LOB2Clinician4Emp3AllocatedProd</f>
        <v>20.436413811978287</v>
      </c>
      <c r="N1817" s="131" t="s">
        <v>7255</v>
      </c>
    </row>
    <row r="1818" spans="1:14" ht="12.75" customHeight="1">
      <c r="A1818" s="478"/>
      <c r="B1818" s="635"/>
      <c r="D1818" s="8" t="s">
        <v>599</v>
      </c>
      <c r="E1818" s="448">
        <f>calcLOB2Clinician5Disc1Emp1AllocatedProd+calcLOB2Clinician5Disc2Emp1AllocatedProd+calcLOB2Clinician5Emp2AllocatedProd+calcLOB2Clinician5Emp3AllocatedProd</f>
        <v>26.700515151276452</v>
      </c>
      <c r="F1818" s="448">
        <f>calcLOB2Clinician5Disc1Emp1AllocatedProd+calcLOB2Clinician5Disc2Emp1AllocatedProd+calcLOB2Clinician5Emp2AllocatedProd+calcLOB2Clinician5Emp3AllocatedProd</f>
        <v>26.749920153305656</v>
      </c>
      <c r="G1818" s="448">
        <f>calcLOB2Clinician5Disc1Emp1AllocatedProd+calcLOB2Clinician5Disc2Emp1AllocatedProd+calcLOB2Clinician5Emp2AllocatedProd+calcLOB2Clinician5Emp3AllocatedProd</f>
        <v>33.72008278976417</v>
      </c>
      <c r="H1818" s="131" t="s">
        <v>4997</v>
      </c>
      <c r="J1818" s="8" t="s">
        <v>599</v>
      </c>
      <c r="K1818" s="448">
        <f>calcR2LOB2Clinician5Disc1Emp1AllocatedProd+calcR2LOB2Clinician5Disc2Emp1AllocatedProd+calcR2LOB2Clinician5Emp2AllocatedProd+calcR2LOB2Clinician5Emp3AllocatedProd</f>
        <v>28.816043751386186</v>
      </c>
      <c r="L1818" s="448">
        <f>calcR2LOB2Clinician5Disc1Emp1AllocatedProd+calcR2LOB2Clinician5Disc2Emp1AllocatedProd+calcR2LOB2Clinician5Emp2AllocatedProd+calcR2LOB2Clinician5Emp3AllocatedProd</f>
        <v>26.749920153305656</v>
      </c>
      <c r="M1818" s="448">
        <f>calcR2LOB2Clinician5Disc1Emp1AllocatedProd+calcR2LOB2Clinician5Disc2Emp1AllocatedProd+calcR2LOB2Clinician5Emp2AllocatedProd+calcR2LOB2Clinician5Emp3AllocatedProd</f>
        <v>33.72008278976417</v>
      </c>
      <c r="N1818" s="131" t="s">
        <v>7256</v>
      </c>
    </row>
    <row r="1819" spans="1:14" ht="12.75" customHeight="1">
      <c r="A1819" s="478"/>
      <c r="B1819" s="635"/>
      <c r="D1819" s="8" t="s">
        <v>600</v>
      </c>
      <c r="E1819" s="448">
        <f>calcLOB2Clinician6Disc1Emp1AllocatedProd+calcLOB2Clinician6Disc2Emp1AllocatedProd+calcLOB2Clinician6Emp2AllocatedProd+calcLOB2Clinician6Emp3AllocatedProd</f>
        <v>27.185979063117845</v>
      </c>
      <c r="F1819" s="448">
        <f>calcLOB2Clinician6Disc1Emp1AllocatedProd+calcLOB2Clinician6Disc2Emp1AllocatedProd+calcLOB2Clinician6Emp2AllocatedProd+calcLOB2Clinician6Emp3AllocatedProd</f>
        <v>27.236282337911213</v>
      </c>
      <c r="G1819" s="448">
        <f>calcLOB2Clinician6Disc1Emp1AllocatedProd+calcLOB2Clinician6Disc2Emp1AllocatedProd+calcLOB2Clinician6Emp2AllocatedProd+calcLOB2Clinician6Emp3AllocatedProd</f>
        <v>34.333175204123521</v>
      </c>
      <c r="H1819" s="131" t="s">
        <v>4998</v>
      </c>
      <c r="J1819" s="8" t="s">
        <v>600</v>
      </c>
      <c r="K1819" s="448">
        <f>calcR2LOB2Clinician6Disc1Emp1AllocatedProd+calcR2LOB2Clinician6Disc2Emp1AllocatedProd+calcR2LOB2Clinician6Emp2AllocatedProd+calcR2LOB2Clinician6Emp3AllocatedProd</f>
        <v>29.33997181959321</v>
      </c>
      <c r="L1819" s="448">
        <f>calcR2LOB2Clinician6Disc1Emp1AllocatedProd+calcR2LOB2Clinician6Disc2Emp1AllocatedProd+calcR2LOB2Clinician6Emp2AllocatedProd+calcR2LOB2Clinician6Emp3AllocatedProd</f>
        <v>27.236282337911213</v>
      </c>
      <c r="M1819" s="448">
        <f>calcR2LOB2Clinician6Disc1Emp1AllocatedProd+calcR2LOB2Clinician6Disc2Emp1AllocatedProd+calcR2LOB2Clinician6Emp2AllocatedProd+calcR2LOB2Clinician6Emp3AllocatedProd</f>
        <v>34.333175204123521</v>
      </c>
      <c r="N1819" s="131" t="s">
        <v>7257</v>
      </c>
    </row>
    <row r="1820" spans="1:14" ht="12.75" customHeight="1">
      <c r="A1820" s="478"/>
      <c r="B1820" s="635"/>
      <c r="D1820" s="8" t="s">
        <v>601</v>
      </c>
      <c r="E1820" s="448">
        <f>calcLOB2Clinician7Disc1Emp1AllocatedProd+calcLOB2Clinician7Disc2Emp1AllocatedProd+calcLOB2Clinician7Emp2AllocatedProd+calcLOB2Clinician7Emp3AllocatedProd</f>
        <v>28.531165311653115</v>
      </c>
      <c r="F1820" s="448">
        <f>calcLOB2Clinician7Disc1Emp1AllocatedProd+calcLOB2Clinician7Disc2Emp1AllocatedProd+calcLOB2Clinician7Emp2AllocatedProd+calcLOB2Clinician7Emp3AllocatedProd</f>
        <v>25.438485804416406</v>
      </c>
      <c r="G1820" s="448">
        <f>calcLOB2Clinician7Disc1Emp1AllocatedProd+calcLOB2Clinician7Disc2Emp1AllocatedProd+calcLOB2Clinician7Emp2AllocatedProd+calcLOB2Clinician7Emp3AllocatedProd</f>
        <v>33.002053388090346</v>
      </c>
      <c r="H1820" s="131" t="s">
        <v>4999</v>
      </c>
      <c r="J1820" s="8" t="s">
        <v>601</v>
      </c>
      <c r="K1820" s="448">
        <f>calcR2LOB2Clinician7Disc1Emp1AllocatedProd+calcR2LOB2Clinician7Disc2Emp1AllocatedProd+calcR2LOB2Clinician7Emp2AllocatedProd+calcR2LOB2Clinician7Emp3AllocatedProd</f>
        <v>30.710688304420817</v>
      </c>
      <c r="L1820" s="448">
        <f>calcR2LOB2Clinician7Disc1Emp1AllocatedProd+calcR2LOB2Clinician7Disc2Emp1AllocatedProd+calcR2LOB2Clinician7Emp2AllocatedProd+calcR2LOB2Clinician7Emp3AllocatedProd</f>
        <v>25.438485804416406</v>
      </c>
      <c r="M1820" s="448">
        <f>calcR2LOB2Clinician7Disc1Emp1AllocatedProd+calcR2LOB2Clinician7Disc2Emp1AllocatedProd+calcR2LOB2Clinician7Emp2AllocatedProd+calcR2LOB2Clinician7Emp3AllocatedProd</f>
        <v>33.002053388090346</v>
      </c>
      <c r="N1820" s="131" t="s">
        <v>7258</v>
      </c>
    </row>
    <row r="1821" spans="1:14" ht="12.75" customHeight="1">
      <c r="A1821" s="478"/>
      <c r="B1821" s="635"/>
      <c r="D1821" s="8" t="s">
        <v>602</v>
      </c>
      <c r="E1821" s="448">
        <f>calcLOB2Clinician8Disc1Emp1AllocatedProd+calcLOB2Clinician8Disc2Emp1AllocatedProd+calcLOB2Clinician8Emp2AllocatedProd+calcLOB2Clinician8Emp3AllocatedProd</f>
        <v>28.531165311653115</v>
      </c>
      <c r="F1821" s="448">
        <f>calcLOB2Clinician8Disc1Emp1AllocatedProd+calcLOB2Clinician8Disc2Emp1AllocatedProd+calcLOB2Clinician8Emp2AllocatedProd+calcLOB2Clinician8Emp3AllocatedProd</f>
        <v>25.438485804416406</v>
      </c>
      <c r="G1821" s="448">
        <f>calcLOB2Clinician8Disc1Emp1AllocatedProd+calcLOB2Clinician8Disc2Emp1AllocatedProd+calcLOB2Clinician8Emp2AllocatedProd+calcLOB2Clinician8Emp3AllocatedProd</f>
        <v>33.002053388090346</v>
      </c>
      <c r="H1821" s="131" t="s">
        <v>5000</v>
      </c>
      <c r="J1821" s="8" t="s">
        <v>602</v>
      </c>
      <c r="K1821" s="448">
        <f>calcR2LOB2Clinician8Disc1Emp1AllocatedProd+calcR2LOB2Clinician8Disc2Emp1AllocatedProd+calcR2LOB2Clinician8Emp2AllocatedProd+calcR2LOB2Clinician8Emp3AllocatedProd</f>
        <v>30.710688304420817</v>
      </c>
      <c r="L1821" s="448">
        <f>calcR2LOB2Clinician8Disc1Emp1AllocatedProd+calcR2LOB2Clinician8Disc2Emp1AllocatedProd+calcR2LOB2Clinician8Emp2AllocatedProd+calcR2LOB2Clinician8Emp3AllocatedProd</f>
        <v>25.438485804416406</v>
      </c>
      <c r="M1821" s="448">
        <f>calcR2LOB2Clinician8Disc1Emp1AllocatedProd+calcR2LOB2Clinician8Disc2Emp1AllocatedProd+calcR2LOB2Clinician8Emp2AllocatedProd+calcR2LOB2Clinician8Emp3AllocatedProd</f>
        <v>33.002053388090346</v>
      </c>
      <c r="N1821" s="131" t="s">
        <v>7259</v>
      </c>
    </row>
    <row r="1822" spans="1:14" ht="12.75" customHeight="1">
      <c r="A1822" s="478"/>
      <c r="B1822" s="635"/>
      <c r="D1822" s="8" t="s">
        <v>603</v>
      </c>
      <c r="E1822" s="448">
        <f>calcLOB2Clinician9Disc1Emp1AllocatedProd+calcLOB2Clinician9Disc2Emp1AllocatedProd+calcLOB2Clinician9Emp2AllocatedProd+calcLOB2Clinician9Emp3AllocatedProd</f>
        <v>12.737127371273711</v>
      </c>
      <c r="F1822" s="448">
        <f>calcLOB2Clinician9Disc1Emp1AllocatedProd+calcLOB2Clinician9Disc2Emp1AllocatedProd+calcLOB2Clinician9Emp2AllocatedProd+calcLOB2Clinician9Emp3AllocatedProd</f>
        <v>11.356466876971608</v>
      </c>
      <c r="G1822" s="448">
        <f>calcLOB2Clinician9Disc1Emp1AllocatedProd+calcLOB2Clinician9Disc2Emp1AllocatedProd+calcLOB2Clinician9Emp2AllocatedProd+calcLOB2Clinician9Emp3AllocatedProd</f>
        <v>14.733059548254619</v>
      </c>
      <c r="H1822" s="131" t="s">
        <v>5001</v>
      </c>
      <c r="J1822" s="8" t="s">
        <v>603</v>
      </c>
      <c r="K1822" s="448">
        <f>calcR2LOB2Clinician9Disc1Emp1AllocatedProd+calcR2LOB2Clinician9Disc2Emp1AllocatedProd+calcR2LOB2Clinician9Emp2AllocatedProd+calcR2LOB2Clinician9Emp3AllocatedProd</f>
        <v>13.710128707330725</v>
      </c>
      <c r="L1822" s="448">
        <f>calcR2LOB2Clinician9Disc1Emp1AllocatedProd+calcR2LOB2Clinician9Disc2Emp1AllocatedProd+calcR2LOB2Clinician9Emp2AllocatedProd+calcR2LOB2Clinician9Emp3AllocatedProd</f>
        <v>11.356466876971608</v>
      </c>
      <c r="M1822" s="448">
        <f>calcR2LOB2Clinician9Disc1Emp1AllocatedProd+calcR2LOB2Clinician9Disc2Emp1AllocatedProd+calcR2LOB2Clinician9Emp2AllocatedProd+calcR2LOB2Clinician9Emp3AllocatedProd</f>
        <v>14.733059548254619</v>
      </c>
      <c r="N1822" s="131" t="s">
        <v>7260</v>
      </c>
    </row>
    <row r="1823" spans="1:14" ht="12.75" customHeight="1">
      <c r="A1823" s="478"/>
      <c r="B1823" s="635"/>
      <c r="D1823" s="8" t="s">
        <v>604</v>
      </c>
      <c r="E1823" s="448">
        <f>calcLOB2Clinician10Disc1Emp1AllocatedProd+calcLOB2Clinician10Disc2Emp1AllocatedProd+calcLOB2Clinician10Emp2AllocatedProd+calcLOB2Clinician10Emp3AllocatedProd</f>
        <v>22.176943699731908</v>
      </c>
      <c r="F1823" s="448">
        <f>calcLOB2Clinician10Disc1Emp1AllocatedProd+calcLOB2Clinician10Disc2Emp1AllocatedProd+calcLOB2Clinician10Emp2AllocatedProd+calcLOB2Clinician10Emp3AllocatedProd</f>
        <v>18.598825831702548</v>
      </c>
      <c r="G1823" s="448">
        <f>calcLOB2Clinician10Disc1Emp1AllocatedProd+calcLOB2Clinician10Disc2Emp1AllocatedProd+calcLOB2Clinician10Emp2AllocatedProd+calcLOB2Clinician10Emp3AllocatedProd</f>
        <v>25.138686131386862</v>
      </c>
      <c r="H1823" s="131" t="s">
        <v>5002</v>
      </c>
      <c r="J1823" s="8" t="s">
        <v>604</v>
      </c>
      <c r="K1823" s="448">
        <f>calcR2LOB2Clinician10Disc1Emp1AllocatedProd+calcR2LOB2Clinician10Disc2Emp1AllocatedProd+calcR2LOB2Clinician10Emp2AllocatedProd+calcR2LOB2Clinician10Emp3AllocatedProd</f>
        <v>23.844062485599743</v>
      </c>
      <c r="L1823" s="448">
        <f>calcR2LOB2Clinician10Disc1Emp1AllocatedProd+calcR2LOB2Clinician10Disc2Emp1AllocatedProd+calcR2LOB2Clinician10Emp2AllocatedProd+calcR2LOB2Clinician10Emp3AllocatedProd</f>
        <v>18.598825831702548</v>
      </c>
      <c r="M1823" s="448">
        <f>calcR2LOB2Clinician10Disc1Emp1AllocatedProd+calcR2LOB2Clinician10Disc2Emp1AllocatedProd+calcR2LOB2Clinician10Emp2AllocatedProd+calcR2LOB2Clinician10Emp3AllocatedProd</f>
        <v>25.138686131386862</v>
      </c>
      <c r="N1823" s="131" t="s">
        <v>7261</v>
      </c>
    </row>
    <row r="1824" spans="1:14" ht="12.75" customHeight="1">
      <c r="A1824" s="478"/>
      <c r="B1824" s="635"/>
      <c r="D1824" s="8" t="s">
        <v>1497</v>
      </c>
      <c r="E1824" s="448">
        <f>calcLOB2Clinician11Disc1Emp1AllocatedProd+calcLOB2Clinician11Disc2Emp1AllocatedProd+calcLOB2Clinician11Emp2AllocatedProd+calcLOB2Clinician11Emp3AllocatedProd</f>
        <v>0</v>
      </c>
      <c r="F1824" s="448">
        <f>calcLOB2Clinician11Disc1Emp1AllocatedProd+calcLOB2Clinician11Disc2Emp1AllocatedProd+calcLOB2Clinician11Emp2AllocatedProd+calcLOB2Clinician11Emp3AllocatedProd</f>
        <v>0</v>
      </c>
      <c r="G1824" s="448">
        <f>calcLOB2Clinician11Disc1Emp1AllocatedProd+calcLOB2Clinician11Disc2Emp1AllocatedProd+calcLOB2Clinician11Emp2AllocatedProd+calcLOB2Clinician11Emp3AllocatedProd</f>
        <v>0</v>
      </c>
      <c r="H1824" s="131" t="s">
        <v>5003</v>
      </c>
      <c r="J1824" s="8" t="s">
        <v>1497</v>
      </c>
      <c r="K1824" s="448">
        <f>calcR2LOB2Clinician11Disc1Emp1AllocatedProd+calcR2LOB2Clinician11Disc2Emp1AllocatedProd+calcR2LOB2Clinician11Emp2AllocatedProd+calcR2LOB2Clinician11Emp3AllocatedProd</f>
        <v>0</v>
      </c>
      <c r="L1824" s="448">
        <f>calcR2LOB2Clinician11Disc1Emp1AllocatedProd+calcR2LOB2Clinician11Disc2Emp1AllocatedProd+calcR2LOB2Clinician11Emp2AllocatedProd+calcR2LOB2Clinician11Emp3AllocatedProd</f>
        <v>0</v>
      </c>
      <c r="M1824" s="448">
        <f>calcR2LOB2Clinician11Disc1Emp1AllocatedProd+calcR2LOB2Clinician11Disc2Emp1AllocatedProd+calcR2LOB2Clinician11Emp2AllocatedProd+calcR2LOB2Clinician11Emp3AllocatedProd</f>
        <v>0</v>
      </c>
      <c r="N1824" s="131" t="s">
        <v>7262</v>
      </c>
    </row>
    <row r="1825" spans="1:14" ht="12.75" customHeight="1">
      <c r="A1825" s="478"/>
      <c r="B1825" s="635"/>
      <c r="D1825" s="8" t="s">
        <v>1498</v>
      </c>
      <c r="E1825" s="448">
        <f>calcLOB2Clinician12Disc1Emp1AllocatedProd+calcLOB2Clinician12Disc2Emp1AllocatedProd+calcLOB2Clinician12Emp2AllocatedProd+calcLOB2Clinician12Emp3AllocatedProd</f>
        <v>0</v>
      </c>
      <c r="F1825" s="448">
        <f>calcLOB2Clinician12Disc1Emp1AllocatedProd+calcLOB2Clinician12Disc2Emp1AllocatedProd+calcLOB2Clinician12Emp2AllocatedProd+calcLOB2Clinician12Emp3AllocatedProd</f>
        <v>0</v>
      </c>
      <c r="G1825" s="448">
        <f>calcLOB2Clinician12Disc1Emp1AllocatedProd+calcLOB2Clinician12Disc2Emp1AllocatedProd+calcLOB2Clinician12Emp2AllocatedProd+calcLOB2Clinician12Emp3AllocatedProd</f>
        <v>0</v>
      </c>
      <c r="H1825" s="131" t="s">
        <v>5004</v>
      </c>
      <c r="J1825" s="8" t="s">
        <v>1498</v>
      </c>
      <c r="K1825" s="448">
        <f>calcR2LOB2Clinician12Disc1Emp1AllocatedProd+calcR2LOB2Clinician12Disc2Emp1AllocatedProd+calcR2LOB2Clinician12Emp2AllocatedProd+calcR2LOB2Clinician12Emp3AllocatedProd</f>
        <v>0</v>
      </c>
      <c r="L1825" s="448">
        <f>calcR2LOB2Clinician12Disc1Emp1AllocatedProd+calcR2LOB2Clinician12Disc2Emp1AllocatedProd+calcR2LOB2Clinician12Emp2AllocatedProd+calcR2LOB2Clinician12Emp3AllocatedProd</f>
        <v>0</v>
      </c>
      <c r="M1825" s="448">
        <f>calcR2LOB2Clinician12Disc1Emp1AllocatedProd+calcR2LOB2Clinician12Disc2Emp1AllocatedProd+calcR2LOB2Clinician12Emp2AllocatedProd+calcR2LOB2Clinician12Emp3AllocatedProd</f>
        <v>0</v>
      </c>
      <c r="N1825" s="131" t="s">
        <v>7263</v>
      </c>
    </row>
    <row r="1826" spans="1:14" ht="1.5" customHeight="1">
      <c r="A1826" s="478"/>
      <c r="B1826" s="635"/>
      <c r="D1826" s="449"/>
      <c r="E1826" s="450"/>
      <c r="F1826" s="450"/>
      <c r="G1826" s="450"/>
      <c r="H1826" s="131"/>
      <c r="J1826" s="449"/>
      <c r="K1826" s="450"/>
      <c r="L1826" s="450"/>
      <c r="M1826" s="450"/>
      <c r="N1826" s="131"/>
    </row>
    <row r="1827" spans="1:14" ht="12.75" customHeight="1">
      <c r="A1827" s="478"/>
      <c r="B1827" s="635"/>
      <c r="D1827" s="131" t="s">
        <v>3356</v>
      </c>
      <c r="E1827" s="448">
        <f>SUM(E1814:E1826)</f>
        <v>231.97248764738112</v>
      </c>
      <c r="F1827" s="448">
        <f t="shared" ref="F1827:G1827" si="220">SUM(F1814:F1826)</f>
        <v>221.08739047528405</v>
      </c>
      <c r="G1827" s="448">
        <f t="shared" si="220"/>
        <v>282.67692096834327</v>
      </c>
      <c r="H1827" s="131" t="s">
        <v>5005</v>
      </c>
      <c r="J1827" s="131" t="s">
        <v>3356</v>
      </c>
      <c r="K1827" s="448">
        <f>SUM(K1814:K1826)</f>
        <v>250.06378894620974</v>
      </c>
      <c r="L1827" s="448">
        <f t="shared" ref="L1827:M1827" si="221">SUM(L1814:L1826)</f>
        <v>221.08739047528405</v>
      </c>
      <c r="M1827" s="448">
        <f t="shared" si="221"/>
        <v>282.67692096834327</v>
      </c>
      <c r="N1827" s="131" t="s">
        <v>7264</v>
      </c>
    </row>
    <row r="1828" spans="1:14" ht="12.75" customHeight="1">
      <c r="A1828" s="478"/>
    </row>
    <row r="1829" spans="1:14" ht="12.75" customHeight="1">
      <c r="A1829" s="478"/>
      <c r="C1829" s="131" t="s">
        <v>3969</v>
      </c>
    </row>
    <row r="1830" spans="1:14" ht="12.75" customHeight="1">
      <c r="A1830" s="478"/>
      <c r="D1830" s="8" t="s">
        <v>595</v>
      </c>
      <c r="E1830" s="448">
        <f>calcLOB2Clinician1BaseProd*(1-obalLOB2AvgMissPercClinician1)</f>
        <v>22.274999999999999</v>
      </c>
      <c r="F1830" s="448">
        <f>calcLOB2Clinician1BaseProd*(1-obalLOB2AvgMissPercClinician1)</f>
        <v>22.274999999999999</v>
      </c>
      <c r="G1830" s="448">
        <f>calcLOB2Clinician1BaseProd*(1-obalLOB2AvgMissPercClinician1)</f>
        <v>22.274999999999999</v>
      </c>
      <c r="H1830" s="131" t="s">
        <v>3970</v>
      </c>
      <c r="J1830" s="8" t="s">
        <v>595</v>
      </c>
      <c r="K1830" s="448">
        <f>calcR2LOB2Clinician1BaseProd*(1-obalR2LOB2AvgMissPercClinician1)</f>
        <v>22.274999999999999</v>
      </c>
      <c r="L1830" s="448">
        <f>calcR2LOB2Clinician1BaseProd*(1-obalR2LOB2AvgMissPercClinician1)</f>
        <v>22.274999999999999</v>
      </c>
      <c r="M1830" s="448">
        <f>calcR2LOB2Clinician1BaseProd*(1-obalR2LOB2AvgMissPercClinician1)</f>
        <v>22.274999999999999</v>
      </c>
      <c r="N1830" s="131" t="s">
        <v>7265</v>
      </c>
    </row>
    <row r="1831" spans="1:14" ht="12.75" customHeight="1">
      <c r="A1831" s="478"/>
      <c r="D1831" s="8" t="s">
        <v>596</v>
      </c>
      <c r="E1831" s="448">
        <f>calcLOB2Clinician2BaseProd*(1-obalLOB2AvgMissPercClinician2)</f>
        <v>23.8</v>
      </c>
      <c r="F1831" s="448">
        <f>calcLOB2Clinician2BaseProd*(1-obalLOB2AvgMissPercClinician2)</f>
        <v>23.8</v>
      </c>
      <c r="G1831" s="448">
        <f>calcLOB2Clinician2BaseProd*(1-obalLOB2AvgMissPercClinician2)</f>
        <v>23.8</v>
      </c>
      <c r="H1831" s="131" t="s">
        <v>3971</v>
      </c>
      <c r="J1831" s="8" t="s">
        <v>596</v>
      </c>
      <c r="K1831" s="448">
        <f>calcR2LOB2Clinician2BaseProd*(1-obalR2LOB2AvgMissPercClinician2)</f>
        <v>23.8</v>
      </c>
      <c r="L1831" s="448">
        <f>calcR2LOB2Clinician2BaseProd*(1-obalR2LOB2AvgMissPercClinician2)</f>
        <v>23.8</v>
      </c>
      <c r="M1831" s="448">
        <f>calcR2LOB2Clinician2BaseProd*(1-obalR2LOB2AvgMissPercClinician2)</f>
        <v>23.8</v>
      </c>
      <c r="N1831" s="131" t="s">
        <v>7266</v>
      </c>
    </row>
    <row r="1832" spans="1:14" ht="12.75" customHeight="1">
      <c r="A1832" s="478"/>
      <c r="D1832" s="8" t="s">
        <v>597</v>
      </c>
      <c r="E1832" s="448">
        <f>calcLOB2Clinician3BaseProd*(1-obalLOB2AvgMissPercClinician3)</f>
        <v>15.74468085106383</v>
      </c>
      <c r="F1832" s="448">
        <f>calcLOB2Clinician3BaseProd*(1-obalLOB2AvgMissPercClinician3)</f>
        <v>15.74468085106383</v>
      </c>
      <c r="G1832" s="448">
        <f>calcLOB2Clinician3BaseProd*(1-obalLOB2AvgMissPercClinician3)</f>
        <v>15.74468085106383</v>
      </c>
      <c r="H1832" s="131" t="s">
        <v>3972</v>
      </c>
      <c r="J1832" s="8" t="s">
        <v>597</v>
      </c>
      <c r="K1832" s="448">
        <f>calcR2LOB2Clinician3BaseProd*(1-obalR2LOB2AvgMissPercClinician3)</f>
        <v>15.74468085106383</v>
      </c>
      <c r="L1832" s="448">
        <f>calcR2LOB2Clinician3BaseProd*(1-obalR2LOB2AvgMissPercClinician3)</f>
        <v>15.74468085106383</v>
      </c>
      <c r="M1832" s="448">
        <f>calcR2LOB2Clinician3BaseProd*(1-obalR2LOB2AvgMissPercClinician3)</f>
        <v>15.74468085106383</v>
      </c>
      <c r="N1832" s="131" t="s">
        <v>7267</v>
      </c>
    </row>
    <row r="1833" spans="1:14" ht="12.75" customHeight="1">
      <c r="A1833" s="478"/>
      <c r="D1833" s="8" t="s">
        <v>598</v>
      </c>
      <c r="E1833" s="448">
        <f>calcLOB2Clinician4BaseProd*(1-obalLOB2AvgMissPercClinician4)</f>
        <v>15.833333333333334</v>
      </c>
      <c r="F1833" s="448">
        <f>calcLOB2Clinician4BaseProd*(1-obalLOB2AvgMissPercClinician4)</f>
        <v>15.833333333333334</v>
      </c>
      <c r="G1833" s="448">
        <f>calcLOB2Clinician4BaseProd*(1-obalLOB2AvgMissPercClinician4)</f>
        <v>15.833333333333334</v>
      </c>
      <c r="H1833" s="131" t="s">
        <v>3973</v>
      </c>
      <c r="J1833" s="8" t="s">
        <v>598</v>
      </c>
      <c r="K1833" s="448">
        <f>calcR2LOB2Clinician4BaseProd*(1-obalR2LOB2AvgMissPercClinician4)</f>
        <v>15.833333333333334</v>
      </c>
      <c r="L1833" s="448">
        <f>calcR2LOB2Clinician4BaseProd*(1-obalR2LOB2AvgMissPercClinician4)</f>
        <v>15.833333333333334</v>
      </c>
      <c r="M1833" s="448">
        <f>calcR2LOB2Clinician4BaseProd*(1-obalR2LOB2AvgMissPercClinician4)</f>
        <v>15.833333333333334</v>
      </c>
      <c r="N1833" s="131" t="s">
        <v>7268</v>
      </c>
    </row>
    <row r="1834" spans="1:14" ht="12.75" customHeight="1">
      <c r="A1834" s="478"/>
      <c r="D1834" s="8" t="s">
        <v>599</v>
      </c>
      <c r="E1834" s="448">
        <f>calcLOB2Clinician5BaseProd*(1-obalLOB2AvgMissPercClinician5)</f>
        <v>24.0625</v>
      </c>
      <c r="F1834" s="448">
        <f>calcLOB2Clinician5BaseProd*(1-obalLOB2AvgMissPercClinician5)</f>
        <v>24.0625</v>
      </c>
      <c r="G1834" s="448">
        <f>calcLOB2Clinician5BaseProd*(1-obalLOB2AvgMissPercClinician5)</f>
        <v>24.0625</v>
      </c>
      <c r="H1834" s="131" t="s">
        <v>3974</v>
      </c>
      <c r="J1834" s="8" t="s">
        <v>599</v>
      </c>
      <c r="K1834" s="448">
        <f>calcR2LOB2Clinician5BaseProd*(1-obalR2LOB2AvgMissPercClinician5)</f>
        <v>24.0625</v>
      </c>
      <c r="L1834" s="448">
        <f>calcR2LOB2Clinician5BaseProd*(1-obalR2LOB2AvgMissPercClinician5)</f>
        <v>24.0625</v>
      </c>
      <c r="M1834" s="448">
        <f>calcR2LOB2Clinician5BaseProd*(1-obalR2LOB2AvgMissPercClinician5)</f>
        <v>24.0625</v>
      </c>
      <c r="N1834" s="131" t="s">
        <v>7269</v>
      </c>
    </row>
    <row r="1835" spans="1:14" ht="12.75" customHeight="1">
      <c r="A1835" s="478"/>
      <c r="D1835" s="8" t="s">
        <v>600</v>
      </c>
      <c r="E1835" s="448">
        <f>calcLOB2Clinician6BaseProd*(1-obalLOB2AvgMissPercClinician6)</f>
        <v>22.75</v>
      </c>
      <c r="F1835" s="448">
        <f>calcLOB2Clinician6BaseProd*(1-obalLOB2AvgMissPercClinician6)</f>
        <v>22.75</v>
      </c>
      <c r="G1835" s="448">
        <f>calcLOB2Clinician6BaseProd*(1-obalLOB2AvgMissPercClinician6)</f>
        <v>22.75</v>
      </c>
      <c r="H1835" s="131" t="s">
        <v>3975</v>
      </c>
      <c r="J1835" s="8" t="s">
        <v>600</v>
      </c>
      <c r="K1835" s="448">
        <f>calcR2LOB2Clinician6BaseProd*(1-obalR2LOB2AvgMissPercClinician6)</f>
        <v>22.75</v>
      </c>
      <c r="L1835" s="448">
        <f>calcR2LOB2Clinician6BaseProd*(1-obalR2LOB2AvgMissPercClinician6)</f>
        <v>22.75</v>
      </c>
      <c r="M1835" s="448">
        <f>calcR2LOB2Clinician6BaseProd*(1-obalR2LOB2AvgMissPercClinician6)</f>
        <v>22.75</v>
      </c>
      <c r="N1835" s="131" t="s">
        <v>7270</v>
      </c>
    </row>
    <row r="1836" spans="1:14" ht="12.75" customHeight="1">
      <c r="A1836" s="478"/>
      <c r="D1836" s="8" t="s">
        <v>601</v>
      </c>
      <c r="E1836" s="448">
        <f>calcLOB2Clinician7BaseProd*(1-obalLOB2AvgMissPercClinician7)</f>
        <v>22.96</v>
      </c>
      <c r="F1836" s="448">
        <f>calcLOB2Clinician7BaseProd*(1-obalLOB2AvgMissPercClinician7)</f>
        <v>22.96</v>
      </c>
      <c r="G1836" s="448">
        <f>calcLOB2Clinician7BaseProd*(1-obalLOB2AvgMissPercClinician7)</f>
        <v>22.96</v>
      </c>
      <c r="H1836" s="131" t="s">
        <v>3976</v>
      </c>
      <c r="J1836" s="8" t="s">
        <v>601</v>
      </c>
      <c r="K1836" s="448">
        <f>calcR2LOB2Clinician7BaseProd*(1-obalR2LOB2AvgMissPercClinician7)</f>
        <v>22.96</v>
      </c>
      <c r="L1836" s="448">
        <f>calcR2LOB2Clinician7BaseProd*(1-obalR2LOB2AvgMissPercClinician7)</f>
        <v>22.96</v>
      </c>
      <c r="M1836" s="448">
        <f>calcR2LOB2Clinician7BaseProd*(1-obalR2LOB2AvgMissPercClinician7)</f>
        <v>22.96</v>
      </c>
      <c r="N1836" s="131" t="s">
        <v>7271</v>
      </c>
    </row>
    <row r="1837" spans="1:14" ht="12.75" customHeight="1">
      <c r="A1837" s="478"/>
      <c r="D1837" s="8" t="s">
        <v>602</v>
      </c>
      <c r="E1837" s="448">
        <f>calcLOB2Clinician8BaseProd*(1-obalLOB2AvgMissPercClinician8)</f>
        <v>24.5</v>
      </c>
      <c r="F1837" s="448">
        <f>calcLOB2Clinician8BaseProd*(1-obalLOB2AvgMissPercClinician8)</f>
        <v>24.5</v>
      </c>
      <c r="G1837" s="448">
        <f>calcLOB2Clinician8BaseProd*(1-obalLOB2AvgMissPercClinician8)</f>
        <v>24.5</v>
      </c>
      <c r="H1837" s="131" t="s">
        <v>3977</v>
      </c>
      <c r="J1837" s="8" t="s">
        <v>602</v>
      </c>
      <c r="K1837" s="448">
        <f>calcR2LOB2Clinician8BaseProd*(1-obalR2LOB2AvgMissPercClinician8)</f>
        <v>24.5</v>
      </c>
      <c r="L1837" s="448">
        <f>calcR2LOB2Clinician8BaseProd*(1-obalR2LOB2AvgMissPercClinician8)</f>
        <v>24.5</v>
      </c>
      <c r="M1837" s="448">
        <f>calcR2LOB2Clinician8BaseProd*(1-obalR2LOB2AvgMissPercClinician8)</f>
        <v>24.5</v>
      </c>
      <c r="N1837" s="131" t="s">
        <v>7272</v>
      </c>
    </row>
    <row r="1838" spans="1:14" ht="12.75" customHeight="1">
      <c r="A1838" s="478"/>
      <c r="D1838" s="8" t="s">
        <v>603</v>
      </c>
      <c r="E1838" s="448">
        <f>calcLOB2Clinician9BaseProd*(1-obalLOB2AvgMissPercClinician9)</f>
        <v>11.875</v>
      </c>
      <c r="F1838" s="448">
        <f>calcLOB2Clinician9BaseProd*(1-obalLOB2AvgMissPercClinician9)</f>
        <v>11.875</v>
      </c>
      <c r="G1838" s="448">
        <f>calcLOB2Clinician9BaseProd*(1-obalLOB2AvgMissPercClinician9)</f>
        <v>11.875</v>
      </c>
      <c r="H1838" s="131" t="s">
        <v>3978</v>
      </c>
      <c r="J1838" s="8" t="s">
        <v>603</v>
      </c>
      <c r="K1838" s="448">
        <f>calcR2LOB2Clinician9BaseProd*(1-obalR2LOB2AvgMissPercClinician9)</f>
        <v>11.875</v>
      </c>
      <c r="L1838" s="448">
        <f>calcR2LOB2Clinician9BaseProd*(1-obalR2LOB2AvgMissPercClinician9)</f>
        <v>11.875</v>
      </c>
      <c r="M1838" s="448">
        <f>calcR2LOB2Clinician9BaseProd*(1-obalR2LOB2AvgMissPercClinician9)</f>
        <v>11.875</v>
      </c>
      <c r="N1838" s="131" t="s">
        <v>7273</v>
      </c>
    </row>
    <row r="1839" spans="1:14" ht="12.75" customHeight="1">
      <c r="A1839" s="478"/>
      <c r="D1839" s="8" t="s">
        <v>604</v>
      </c>
      <c r="E1839" s="448">
        <f>calcLOB2Clinician10BaseProd*(1-obalLOB2AvgMissPercClinician10)</f>
        <v>21.829896907216497</v>
      </c>
      <c r="F1839" s="448">
        <f>calcLOB2Clinician10BaseProd*(1-obalLOB2AvgMissPercClinician10)</f>
        <v>21.829896907216497</v>
      </c>
      <c r="G1839" s="448">
        <f>calcLOB2Clinician10BaseProd*(1-obalLOB2AvgMissPercClinician10)</f>
        <v>21.829896907216497</v>
      </c>
      <c r="H1839" s="131" t="s">
        <v>3979</v>
      </c>
      <c r="J1839" s="8" t="s">
        <v>604</v>
      </c>
      <c r="K1839" s="448">
        <f>calcR2LOB2Clinician10BaseProd*(1-obalR2LOB2AvgMissPercClinician10)</f>
        <v>21.829896907216497</v>
      </c>
      <c r="L1839" s="448">
        <f>calcR2LOB2Clinician10BaseProd*(1-obalR2LOB2AvgMissPercClinician10)</f>
        <v>21.829896907216497</v>
      </c>
      <c r="M1839" s="448">
        <f>calcR2LOB2Clinician10BaseProd*(1-obalR2LOB2AvgMissPercClinician10)</f>
        <v>21.829896907216497</v>
      </c>
      <c r="N1839" s="131" t="s">
        <v>7274</v>
      </c>
    </row>
    <row r="1840" spans="1:14" ht="12.75" customHeight="1">
      <c r="A1840" s="478"/>
      <c r="D1840" s="8" t="s">
        <v>1497</v>
      </c>
      <c r="E1840" s="448">
        <f>calcLOB2Clinician11BaseProd*(1-obalLOB2AvgMissPercClinician11)</f>
        <v>0</v>
      </c>
      <c r="F1840" s="448">
        <f>calcLOB2Clinician11BaseProd*(1-obalLOB2AvgMissPercClinician11)</f>
        <v>0</v>
      </c>
      <c r="G1840" s="448">
        <f>calcLOB2Clinician11BaseProd*(1-obalLOB2AvgMissPercClinician11)</f>
        <v>0</v>
      </c>
      <c r="H1840" s="131" t="s">
        <v>3980</v>
      </c>
      <c r="J1840" s="8" t="s">
        <v>1497</v>
      </c>
      <c r="K1840" s="448">
        <f>calcR2LOB2Clinician11BaseProd*(1-obalR2LOB2AvgMissPercClinician11)</f>
        <v>0</v>
      </c>
      <c r="L1840" s="448">
        <f>calcR2LOB2Clinician11BaseProd*(1-obalR2LOB2AvgMissPercClinician11)</f>
        <v>0</v>
      </c>
      <c r="M1840" s="448">
        <f>calcR2LOB2Clinician11BaseProd*(1-obalR2LOB2AvgMissPercClinician11)</f>
        <v>0</v>
      </c>
      <c r="N1840" s="131" t="s">
        <v>7275</v>
      </c>
    </row>
    <row r="1841" spans="1:14" ht="12.75" customHeight="1">
      <c r="A1841" s="478"/>
      <c r="D1841" s="8" t="s">
        <v>1498</v>
      </c>
      <c r="E1841" s="448">
        <f>calcLOB2Clinician12BaseProd*(1-obalLOB2AvgMissPercClinician12)</f>
        <v>0</v>
      </c>
      <c r="F1841" s="448">
        <f>calcLOB2Clinician12BaseProd*(1-obalLOB2AvgMissPercClinician12)</f>
        <v>0</v>
      </c>
      <c r="G1841" s="448">
        <f>calcLOB2Clinician12BaseProd*(1-obalLOB2AvgMissPercClinician12)</f>
        <v>0</v>
      </c>
      <c r="H1841" s="131" t="s">
        <v>3981</v>
      </c>
      <c r="J1841" s="8" t="s">
        <v>1498</v>
      </c>
      <c r="K1841" s="448">
        <f>calcR2LOB2Clinician12BaseProd*(1-obalR2LOB2AvgMissPercClinician12)</f>
        <v>0</v>
      </c>
      <c r="L1841" s="448">
        <f>calcR2LOB2Clinician12BaseProd*(1-obalR2LOB2AvgMissPercClinician12)</f>
        <v>0</v>
      </c>
      <c r="M1841" s="448">
        <f>calcR2LOB2Clinician12BaseProd*(1-obalR2LOB2AvgMissPercClinician12)</f>
        <v>0</v>
      </c>
      <c r="N1841" s="131" t="s">
        <v>7276</v>
      </c>
    </row>
    <row r="1842" spans="1:14" ht="12.75" customHeight="1">
      <c r="A1842" s="478"/>
    </row>
    <row r="1843" spans="1:14" ht="12.75" customHeight="1">
      <c r="A1843" s="478"/>
      <c r="C1843" s="131" t="s">
        <v>1623</v>
      </c>
    </row>
    <row r="1844" spans="1:14" ht="12.75" customHeight="1">
      <c r="A1844" s="478"/>
      <c r="D1844" s="8" t="s">
        <v>595</v>
      </c>
      <c r="E1844" s="463">
        <f>calcLOB2Clinician1Disc1Emp1GrossProd+calcLOB2Clinician1Disc2Emp1GrossProd+calcLOB2Clinician1Emp2GrossProd+calcLOB2Clinician1Emp3GrossProd</f>
        <v>27</v>
      </c>
      <c r="F1844" s="463">
        <f>calcLOB2Clinician1Disc1Emp1GrossProd+calcLOB2Clinician1Disc2Emp1GrossProd+calcLOB2Clinician1Emp2GrossProd+calcLOB2Clinician1Emp3GrossProd</f>
        <v>27</v>
      </c>
      <c r="G1844" s="463">
        <f>calcLOB2Clinician1Disc1Emp1GrossProd+calcLOB2Clinician1Disc2Emp1GrossProd+calcLOB2Clinician1Emp2GrossProd+calcLOB2Clinician1Emp3GrossProd</f>
        <v>27</v>
      </c>
      <c r="H1844" s="131" t="s">
        <v>2588</v>
      </c>
      <c r="J1844" s="8" t="s">
        <v>595</v>
      </c>
      <c r="K1844" s="463">
        <f>calcR2LOB2Clinician1Disc1Emp1GrossProd+calcR2LOB2Clinician1Disc2Emp1GrossProd+calcR2LOB2Clinician1Emp2GrossProd+calcR2LOB2Clinician1Emp3GrossProd</f>
        <v>27</v>
      </c>
      <c r="L1844" s="463">
        <f>calcR2LOB2Clinician1Disc1Emp1GrossProd+calcR2LOB2Clinician1Disc2Emp1GrossProd+calcR2LOB2Clinician1Emp2GrossProd+calcR2LOB2Clinician1Emp3GrossProd</f>
        <v>27</v>
      </c>
      <c r="M1844" s="463">
        <f>calcR2LOB2Clinician1Disc1Emp1GrossProd+calcR2LOB2Clinician1Disc2Emp1GrossProd+calcR2LOB2Clinician1Emp2GrossProd+calcR2LOB2Clinician1Emp3GrossProd</f>
        <v>27</v>
      </c>
      <c r="N1844" s="131" t="s">
        <v>7277</v>
      </c>
    </row>
    <row r="1845" spans="1:14" ht="12.75" customHeight="1">
      <c r="A1845" s="478"/>
      <c r="D1845" s="8" t="s">
        <v>596</v>
      </c>
      <c r="E1845" s="463">
        <f>calcLOB2Clinician2Disc1Emp1GrossProd+calcLOB2Clinician2Disc2Emp1GrossProd+calcLOB2Clinician2Emp2GrossProd+calcLOB2Clinician2Emp3GrossProd</f>
        <v>28</v>
      </c>
      <c r="F1845" s="463">
        <f>calcLOB2Clinician2Disc1Emp1GrossProd+calcLOB2Clinician2Disc2Emp1GrossProd+calcLOB2Clinician2Emp2GrossProd+calcLOB2Clinician2Emp3GrossProd</f>
        <v>28</v>
      </c>
      <c r="G1845" s="463">
        <f>calcLOB2Clinician2Disc1Emp1GrossProd+calcLOB2Clinician2Disc2Emp1GrossProd+calcLOB2Clinician2Emp2GrossProd+calcLOB2Clinician2Emp3GrossProd</f>
        <v>28</v>
      </c>
      <c r="H1845" s="131" t="s">
        <v>2589</v>
      </c>
      <c r="J1845" s="8" t="s">
        <v>596</v>
      </c>
      <c r="K1845" s="463">
        <f>calcR2LOB2Clinician2Disc1Emp1GrossProd+calcR2LOB2Clinician2Disc2Emp1GrossProd+calcR2LOB2Clinician2Emp2GrossProd+calcR2LOB2Clinician2Emp3GrossProd</f>
        <v>28</v>
      </c>
      <c r="L1845" s="463">
        <f>calcR2LOB2Clinician2Disc1Emp1GrossProd+calcR2LOB2Clinician2Disc2Emp1GrossProd+calcR2LOB2Clinician2Emp2GrossProd+calcR2LOB2Clinician2Emp3GrossProd</f>
        <v>28</v>
      </c>
      <c r="M1845" s="463">
        <f>calcR2LOB2Clinician2Disc1Emp1GrossProd+calcR2LOB2Clinician2Disc2Emp1GrossProd+calcR2LOB2Clinician2Emp2GrossProd+calcR2LOB2Clinician2Emp3GrossProd</f>
        <v>28</v>
      </c>
      <c r="N1845" s="131" t="s">
        <v>7278</v>
      </c>
    </row>
    <row r="1846" spans="1:14" ht="12.75" customHeight="1">
      <c r="A1846" s="478"/>
      <c r="D1846" s="8" t="s">
        <v>597</v>
      </c>
      <c r="E1846" s="463">
        <f>calcLOB2Clinician3Disc1Emp1GrossProd+calcLOB2Clinician3Disc2Emp1GrossProd+calcLOB2Clinician3Emp2GrossProd+calcLOB2Clinician3Emp3GrossProd</f>
        <v>17.021276595744681</v>
      </c>
      <c r="F1846" s="463">
        <f>calcLOB2Clinician3Disc1Emp1GrossProd+calcLOB2Clinician3Disc2Emp1GrossProd+calcLOB2Clinician3Emp2GrossProd+calcLOB2Clinician3Emp3GrossProd</f>
        <v>17.021276595744681</v>
      </c>
      <c r="G1846" s="463">
        <f>calcLOB2Clinician3Disc1Emp1GrossProd+calcLOB2Clinician3Disc2Emp1GrossProd+calcLOB2Clinician3Emp2GrossProd+calcLOB2Clinician3Emp3GrossProd</f>
        <v>17.021276595744681</v>
      </c>
      <c r="H1846" s="131" t="s">
        <v>2590</v>
      </c>
      <c r="J1846" s="8" t="s">
        <v>597</v>
      </c>
      <c r="K1846" s="463">
        <f>calcR2LOB2Clinician3Disc1Emp1GrossProd+calcR2LOB2Clinician3Disc2Emp1GrossProd+calcR2LOB2Clinician3Emp2GrossProd+calcR2LOB2Clinician3Emp3GrossProd</f>
        <v>17.021276595744681</v>
      </c>
      <c r="L1846" s="463">
        <f>calcR2LOB2Clinician3Disc1Emp1GrossProd+calcR2LOB2Clinician3Disc2Emp1GrossProd+calcR2LOB2Clinician3Emp2GrossProd+calcR2LOB2Clinician3Emp3GrossProd</f>
        <v>17.021276595744681</v>
      </c>
      <c r="M1846" s="463">
        <f>calcR2LOB2Clinician3Disc1Emp1GrossProd+calcR2LOB2Clinician3Disc2Emp1GrossProd+calcR2LOB2Clinician3Emp2GrossProd+calcR2LOB2Clinician3Emp3GrossProd</f>
        <v>17.021276595744681</v>
      </c>
      <c r="N1846" s="131" t="s">
        <v>7279</v>
      </c>
    </row>
    <row r="1847" spans="1:14" ht="12.75" customHeight="1">
      <c r="A1847" s="478"/>
      <c r="D1847" s="8" t="s">
        <v>598</v>
      </c>
      <c r="E1847" s="463">
        <f>calcLOB2Clinician4Disc1Emp1GrossProd+calcLOB2Clinician4Disc2Emp1GrossProd+calcLOB2Clinician4Emp2GrossProd+calcLOB2Clinician4Emp3GrossProd</f>
        <v>16.666666666666668</v>
      </c>
      <c r="F1847" s="463">
        <f>calcLOB2Clinician4Disc1Emp1GrossProd+calcLOB2Clinician4Disc2Emp1GrossProd+calcLOB2Clinician4Emp2GrossProd+calcLOB2Clinician4Emp3GrossProd</f>
        <v>16.666666666666668</v>
      </c>
      <c r="G1847" s="463">
        <f>calcLOB2Clinician4Disc1Emp1GrossProd+calcLOB2Clinician4Disc2Emp1GrossProd+calcLOB2Clinician4Emp2GrossProd+calcLOB2Clinician4Emp3GrossProd</f>
        <v>16.666666666666668</v>
      </c>
      <c r="H1847" s="131" t="s">
        <v>2591</v>
      </c>
      <c r="J1847" s="8" t="s">
        <v>598</v>
      </c>
      <c r="K1847" s="463">
        <f>calcR2LOB2Clinician4Disc1Emp1GrossProd+calcR2LOB2Clinician4Disc2Emp1GrossProd+calcR2LOB2Clinician4Emp2GrossProd+calcR2LOB2Clinician4Emp3GrossProd</f>
        <v>16.666666666666668</v>
      </c>
      <c r="L1847" s="463">
        <f>calcR2LOB2Clinician4Disc1Emp1GrossProd+calcR2LOB2Clinician4Disc2Emp1GrossProd+calcR2LOB2Clinician4Emp2GrossProd+calcR2LOB2Clinician4Emp3GrossProd</f>
        <v>16.666666666666668</v>
      </c>
      <c r="M1847" s="463">
        <f>calcR2LOB2Clinician4Disc1Emp1GrossProd+calcR2LOB2Clinician4Disc2Emp1GrossProd+calcR2LOB2Clinician4Emp2GrossProd+calcR2LOB2Clinician4Emp3GrossProd</f>
        <v>16.666666666666668</v>
      </c>
      <c r="N1847" s="131" t="s">
        <v>7280</v>
      </c>
    </row>
    <row r="1848" spans="1:14" ht="12.75" customHeight="1">
      <c r="A1848" s="478"/>
      <c r="D1848" s="8" t="s">
        <v>599</v>
      </c>
      <c r="E1848" s="463">
        <f>calcLOB2Clinician5Disc1Emp1GrossProd+calcLOB2Clinician5Disc2Emp1GrossProd+calcLOB2Clinician5Emp2GrossProd+calcLOB2Clinician5Emp3GrossProd</f>
        <v>27.5</v>
      </c>
      <c r="F1848" s="463">
        <f>calcLOB2Clinician5Disc1Emp1GrossProd+calcLOB2Clinician5Disc2Emp1GrossProd+calcLOB2Clinician5Emp2GrossProd+calcLOB2Clinician5Emp3GrossProd</f>
        <v>27.5</v>
      </c>
      <c r="G1848" s="463">
        <f>calcLOB2Clinician5Disc1Emp1GrossProd+calcLOB2Clinician5Disc2Emp1GrossProd+calcLOB2Clinician5Emp2GrossProd+calcLOB2Clinician5Emp3GrossProd</f>
        <v>27.5</v>
      </c>
      <c r="H1848" s="131" t="s">
        <v>2592</v>
      </c>
      <c r="J1848" s="8" t="s">
        <v>599</v>
      </c>
      <c r="K1848" s="463">
        <f>calcR2LOB2Clinician5Disc1Emp1GrossProd+calcR2LOB2Clinician5Disc2Emp1GrossProd+calcR2LOB2Clinician5Emp2GrossProd+calcR2LOB2Clinician5Emp3GrossProd</f>
        <v>27.5</v>
      </c>
      <c r="L1848" s="463">
        <f>calcR2LOB2Clinician5Disc1Emp1GrossProd+calcR2LOB2Clinician5Disc2Emp1GrossProd+calcR2LOB2Clinician5Emp2GrossProd+calcR2LOB2Clinician5Emp3GrossProd</f>
        <v>27.5</v>
      </c>
      <c r="M1848" s="463">
        <f>calcR2LOB2Clinician5Disc1Emp1GrossProd+calcR2LOB2Clinician5Disc2Emp1GrossProd+calcR2LOB2Clinician5Emp2GrossProd+calcR2LOB2Clinician5Emp3GrossProd</f>
        <v>27.5</v>
      </c>
      <c r="N1848" s="131" t="s">
        <v>7281</v>
      </c>
    </row>
    <row r="1849" spans="1:14" ht="12.75" customHeight="1">
      <c r="A1849" s="478"/>
      <c r="D1849" s="8" t="s">
        <v>600</v>
      </c>
      <c r="E1849" s="463">
        <f>calcLOB2Clinician6Disc1Emp1GrossProd+calcLOB2Clinician6Disc2Emp1GrossProd+calcLOB2Clinician6Emp2GrossProd+calcLOB2Clinician6Emp3GrossProd</f>
        <v>28</v>
      </c>
      <c r="F1849" s="463">
        <f>calcLOB2Clinician6Disc1Emp1GrossProd+calcLOB2Clinician6Disc2Emp1GrossProd+calcLOB2Clinician6Emp2GrossProd+calcLOB2Clinician6Emp3GrossProd</f>
        <v>28</v>
      </c>
      <c r="G1849" s="463">
        <f>calcLOB2Clinician6Disc1Emp1GrossProd+calcLOB2Clinician6Disc2Emp1GrossProd+calcLOB2Clinician6Emp2GrossProd+calcLOB2Clinician6Emp3GrossProd</f>
        <v>28</v>
      </c>
      <c r="H1849" s="131" t="s">
        <v>2593</v>
      </c>
      <c r="J1849" s="8" t="s">
        <v>600</v>
      </c>
      <c r="K1849" s="463">
        <f>calcR2LOB2Clinician6Disc1Emp1GrossProd+calcR2LOB2Clinician6Disc2Emp1GrossProd+calcR2LOB2Clinician6Emp2GrossProd+calcR2LOB2Clinician6Emp3GrossProd</f>
        <v>28</v>
      </c>
      <c r="L1849" s="463">
        <f>calcR2LOB2Clinician6Disc1Emp1GrossProd+calcR2LOB2Clinician6Disc2Emp1GrossProd+calcR2LOB2Clinician6Emp2GrossProd+calcR2LOB2Clinician6Emp3GrossProd</f>
        <v>28</v>
      </c>
      <c r="M1849" s="463">
        <f>calcR2LOB2Clinician6Disc1Emp1GrossProd+calcR2LOB2Clinician6Disc2Emp1GrossProd+calcR2LOB2Clinician6Emp2GrossProd+calcR2LOB2Clinician6Emp3GrossProd</f>
        <v>28</v>
      </c>
      <c r="N1849" s="131" t="s">
        <v>7282</v>
      </c>
    </row>
    <row r="1850" spans="1:14" ht="12.75" customHeight="1">
      <c r="A1850" s="478"/>
      <c r="D1850" s="8" t="s">
        <v>601</v>
      </c>
      <c r="E1850" s="463">
        <f>calcLOB2Clinician7Disc1Emp1GrossProd+calcLOB2Clinician7Disc2Emp1GrossProd+calcLOB2Clinician7Emp2GrossProd+calcLOB2Clinician7Emp3GrossProd</f>
        <v>28</v>
      </c>
      <c r="F1850" s="463">
        <f>calcLOB2Clinician7Disc1Emp1GrossProd+calcLOB2Clinician7Disc2Emp1GrossProd+calcLOB2Clinician7Emp2GrossProd+calcLOB2Clinician7Emp3GrossProd</f>
        <v>28</v>
      </c>
      <c r="G1850" s="463">
        <f>calcLOB2Clinician7Disc1Emp1GrossProd+calcLOB2Clinician7Disc2Emp1GrossProd+calcLOB2Clinician7Emp2GrossProd+calcLOB2Clinician7Emp3GrossProd</f>
        <v>28</v>
      </c>
      <c r="H1850" s="131" t="s">
        <v>2594</v>
      </c>
      <c r="J1850" s="8" t="s">
        <v>601</v>
      </c>
      <c r="K1850" s="463">
        <f>calcR2LOB2Clinician7Disc1Emp1GrossProd+calcR2LOB2Clinician7Disc2Emp1GrossProd+calcR2LOB2Clinician7Emp2GrossProd+calcR2LOB2Clinician7Emp3GrossProd</f>
        <v>28</v>
      </c>
      <c r="L1850" s="463">
        <f>calcR2LOB2Clinician7Disc1Emp1GrossProd+calcR2LOB2Clinician7Disc2Emp1GrossProd+calcR2LOB2Clinician7Emp2GrossProd+calcR2LOB2Clinician7Emp3GrossProd</f>
        <v>28</v>
      </c>
      <c r="M1850" s="463">
        <f>calcR2LOB2Clinician7Disc1Emp1GrossProd+calcR2LOB2Clinician7Disc2Emp1GrossProd+calcR2LOB2Clinician7Emp2GrossProd+calcR2LOB2Clinician7Emp3GrossProd</f>
        <v>28</v>
      </c>
      <c r="N1850" s="131" t="s">
        <v>7283</v>
      </c>
    </row>
    <row r="1851" spans="1:14" ht="12.75" customHeight="1">
      <c r="A1851" s="478"/>
      <c r="D1851" s="8" t="s">
        <v>602</v>
      </c>
      <c r="E1851" s="463">
        <f>calcLOB2Clinician8Disc1Emp1GrossProd+calcLOB2Clinician8Disc2Emp1GrossProd+calcLOB2Clinician8Emp2GrossProd+calcLOB2Clinician8Emp3GrossProd</f>
        <v>28</v>
      </c>
      <c r="F1851" s="463">
        <f>calcLOB2Clinician8Disc1Emp1GrossProd+calcLOB2Clinician8Disc2Emp1GrossProd+calcLOB2Clinician8Emp2GrossProd+calcLOB2Clinician8Emp3GrossProd</f>
        <v>28</v>
      </c>
      <c r="G1851" s="463">
        <f>calcLOB2Clinician8Disc1Emp1GrossProd+calcLOB2Clinician8Disc2Emp1GrossProd+calcLOB2Clinician8Emp2GrossProd+calcLOB2Clinician8Emp3GrossProd</f>
        <v>28</v>
      </c>
      <c r="H1851" s="131" t="s">
        <v>2595</v>
      </c>
      <c r="J1851" s="8" t="s">
        <v>602</v>
      </c>
      <c r="K1851" s="463">
        <f>calcR2LOB2Clinician8Disc1Emp1GrossProd+calcR2LOB2Clinician8Disc2Emp1GrossProd+calcR2LOB2Clinician8Emp2GrossProd+calcR2LOB2Clinician8Emp3GrossProd</f>
        <v>28</v>
      </c>
      <c r="L1851" s="463">
        <f>calcR2LOB2Clinician8Disc1Emp1GrossProd+calcR2LOB2Clinician8Disc2Emp1GrossProd+calcR2LOB2Clinician8Emp2GrossProd+calcR2LOB2Clinician8Emp3GrossProd</f>
        <v>28</v>
      </c>
      <c r="M1851" s="463">
        <f>calcR2LOB2Clinician8Disc1Emp1GrossProd+calcR2LOB2Clinician8Disc2Emp1GrossProd+calcR2LOB2Clinician8Emp2GrossProd+calcR2LOB2Clinician8Emp3GrossProd</f>
        <v>28</v>
      </c>
      <c r="N1851" s="131" t="s">
        <v>7284</v>
      </c>
    </row>
    <row r="1852" spans="1:14" ht="12.75" customHeight="1">
      <c r="A1852" s="478"/>
      <c r="D1852" s="8" t="s">
        <v>603</v>
      </c>
      <c r="E1852" s="463">
        <f>calcLOB2Clinician9Disc1Emp1GrossProd+calcLOB2Clinician9Disc2Emp1GrossProd+calcLOB2Clinician9Emp2GrossProd+calcLOB2Clinician9Emp3GrossProd</f>
        <v>12.5</v>
      </c>
      <c r="F1852" s="463">
        <f>calcLOB2Clinician9Disc1Emp1GrossProd+calcLOB2Clinician9Disc2Emp1GrossProd+calcLOB2Clinician9Emp2GrossProd+calcLOB2Clinician9Emp3GrossProd</f>
        <v>12.5</v>
      </c>
      <c r="G1852" s="463">
        <f>calcLOB2Clinician9Disc1Emp1GrossProd+calcLOB2Clinician9Disc2Emp1GrossProd+calcLOB2Clinician9Emp2GrossProd+calcLOB2Clinician9Emp3GrossProd</f>
        <v>12.5</v>
      </c>
      <c r="H1852" s="131" t="s">
        <v>2596</v>
      </c>
      <c r="J1852" s="8" t="s">
        <v>603</v>
      </c>
      <c r="K1852" s="463">
        <f>calcR2LOB2Clinician9Disc1Emp1GrossProd+calcR2LOB2Clinician9Disc2Emp1GrossProd+calcR2LOB2Clinician9Emp2GrossProd+calcR2LOB2Clinician9Emp3GrossProd</f>
        <v>12.5</v>
      </c>
      <c r="L1852" s="463">
        <f>calcR2LOB2Clinician9Disc1Emp1GrossProd+calcR2LOB2Clinician9Disc2Emp1GrossProd+calcR2LOB2Clinician9Emp2GrossProd+calcR2LOB2Clinician9Emp3GrossProd</f>
        <v>12.5</v>
      </c>
      <c r="M1852" s="463">
        <f>calcR2LOB2Clinician9Disc1Emp1GrossProd+calcR2LOB2Clinician9Disc2Emp1GrossProd+calcR2LOB2Clinician9Emp2GrossProd+calcR2LOB2Clinician9Emp3GrossProd</f>
        <v>12.5</v>
      </c>
      <c r="N1852" s="131" t="s">
        <v>7285</v>
      </c>
    </row>
    <row r="1853" spans="1:14" ht="12.75" customHeight="1">
      <c r="A1853" s="478"/>
      <c r="D1853" s="8" t="s">
        <v>604</v>
      </c>
      <c r="E1853" s="463">
        <f>calcLOB2Clinician10Disc1Emp1GrossProd+calcLOB2Clinician10Disc2Emp1GrossProd+calcLOB2Clinician10Emp2GrossProd+calcLOB2Clinician10Emp3GrossProd</f>
        <v>22.680412371134022</v>
      </c>
      <c r="F1853" s="463">
        <f>calcLOB2Clinician10Disc1Emp1GrossProd+calcLOB2Clinician10Disc2Emp1GrossProd+calcLOB2Clinician10Emp2GrossProd+calcLOB2Clinician10Emp3GrossProd</f>
        <v>22.680412371134022</v>
      </c>
      <c r="G1853" s="463">
        <f>calcLOB2Clinician10Disc1Emp1GrossProd+calcLOB2Clinician10Disc2Emp1GrossProd+calcLOB2Clinician10Emp2GrossProd+calcLOB2Clinician10Emp3GrossProd</f>
        <v>22.680412371134022</v>
      </c>
      <c r="H1853" s="131" t="s">
        <v>2597</v>
      </c>
      <c r="J1853" s="8" t="s">
        <v>604</v>
      </c>
      <c r="K1853" s="463">
        <f>calcR2LOB2Clinician10Disc1Emp1GrossProd+calcR2LOB2Clinician10Disc2Emp1GrossProd+calcR2LOB2Clinician10Emp2GrossProd+calcR2LOB2Clinician10Emp3GrossProd</f>
        <v>22.680412371134022</v>
      </c>
      <c r="L1853" s="463">
        <f>calcR2LOB2Clinician10Disc1Emp1GrossProd+calcR2LOB2Clinician10Disc2Emp1GrossProd+calcR2LOB2Clinician10Emp2GrossProd+calcR2LOB2Clinician10Emp3GrossProd</f>
        <v>22.680412371134022</v>
      </c>
      <c r="M1853" s="463">
        <f>calcR2LOB2Clinician10Disc1Emp1GrossProd+calcR2LOB2Clinician10Disc2Emp1GrossProd+calcR2LOB2Clinician10Emp2GrossProd+calcR2LOB2Clinician10Emp3GrossProd</f>
        <v>22.680412371134022</v>
      </c>
      <c r="N1853" s="131" t="s">
        <v>7286</v>
      </c>
    </row>
    <row r="1854" spans="1:14" ht="12.75" customHeight="1">
      <c r="A1854" s="478"/>
      <c r="D1854" s="8" t="s">
        <v>1497</v>
      </c>
      <c r="E1854" s="463">
        <f>calcLOB2Clinician11Disc1Emp1GrossProd+calcLOB2Clinician11Disc2Emp1GrossProd+calcLOB2Clinician11Emp2GrossProd+calcLOB2Clinician11Emp3GrossProd</f>
        <v>0</v>
      </c>
      <c r="F1854" s="463">
        <f>calcLOB2Clinician11Disc1Emp1GrossProd+calcLOB2Clinician11Disc2Emp1GrossProd+calcLOB2Clinician11Emp2GrossProd+calcLOB2Clinician11Emp3GrossProd</f>
        <v>0</v>
      </c>
      <c r="G1854" s="463">
        <f>calcLOB2Clinician11Disc1Emp1GrossProd+calcLOB2Clinician11Disc2Emp1GrossProd+calcLOB2Clinician11Emp2GrossProd+calcLOB2Clinician11Emp3GrossProd</f>
        <v>0</v>
      </c>
      <c r="H1854" s="131" t="s">
        <v>2598</v>
      </c>
      <c r="J1854" s="8" t="s">
        <v>1497</v>
      </c>
      <c r="K1854" s="463">
        <f>calcR2LOB2Clinician11Disc1Emp1GrossProd+calcR2LOB2Clinician11Disc2Emp1GrossProd+calcR2LOB2Clinician11Emp2GrossProd+calcR2LOB2Clinician11Emp3GrossProd</f>
        <v>0</v>
      </c>
      <c r="L1854" s="463">
        <f>calcR2LOB2Clinician11Disc1Emp1GrossProd+calcR2LOB2Clinician11Disc2Emp1GrossProd+calcR2LOB2Clinician11Emp2GrossProd+calcR2LOB2Clinician11Emp3GrossProd</f>
        <v>0</v>
      </c>
      <c r="M1854" s="463">
        <f>calcR2LOB2Clinician11Disc1Emp1GrossProd+calcR2LOB2Clinician11Disc2Emp1GrossProd+calcR2LOB2Clinician11Emp2GrossProd+calcR2LOB2Clinician11Emp3GrossProd</f>
        <v>0</v>
      </c>
      <c r="N1854" s="131" t="s">
        <v>7287</v>
      </c>
    </row>
    <row r="1855" spans="1:14" ht="12.75" customHeight="1">
      <c r="A1855" s="478"/>
      <c r="D1855" s="8" t="s">
        <v>1498</v>
      </c>
      <c r="E1855" s="463">
        <f>calcLOB2Clinician12Disc1Emp1GrossProd+calcLOB2Clinician12Disc2Emp1GrossProd+calcLOB2Clinician12Emp2GrossProd+calcLOB2Clinician12Emp3GrossProd</f>
        <v>0</v>
      </c>
      <c r="F1855" s="463">
        <f>calcLOB2Clinician12Disc1Emp1GrossProd+calcLOB2Clinician12Disc2Emp1GrossProd+calcLOB2Clinician12Emp2GrossProd+calcLOB2Clinician12Emp3GrossProd</f>
        <v>0</v>
      </c>
      <c r="G1855" s="463">
        <f>calcLOB2Clinician12Disc1Emp1GrossProd+calcLOB2Clinician12Disc2Emp1GrossProd+calcLOB2Clinician12Emp2GrossProd+calcLOB2Clinician12Emp3GrossProd</f>
        <v>0</v>
      </c>
      <c r="H1855" s="131" t="s">
        <v>2599</v>
      </c>
      <c r="J1855" s="8" t="s">
        <v>1498</v>
      </c>
      <c r="K1855" s="463">
        <f>calcR2LOB2Clinician12Disc1Emp1GrossProd+calcR2LOB2Clinician12Disc2Emp1GrossProd+calcR2LOB2Clinician12Emp2GrossProd+calcR2LOB2Clinician12Emp3GrossProd</f>
        <v>0</v>
      </c>
      <c r="L1855" s="463">
        <f>calcR2LOB2Clinician12Disc1Emp1GrossProd+calcR2LOB2Clinician12Disc2Emp1GrossProd+calcR2LOB2Clinician12Emp2GrossProd+calcR2LOB2Clinician12Emp3GrossProd</f>
        <v>0</v>
      </c>
      <c r="M1855" s="463">
        <f>calcR2LOB2Clinician12Disc1Emp1GrossProd+calcR2LOB2Clinician12Disc2Emp1GrossProd+calcR2LOB2Clinician12Emp2GrossProd+calcR2LOB2Clinician12Emp3GrossProd</f>
        <v>0</v>
      </c>
      <c r="N1855" s="131" t="s">
        <v>7288</v>
      </c>
    </row>
    <row r="1856" spans="1:14" ht="1.5" customHeight="1">
      <c r="A1856" s="478"/>
      <c r="D1856" s="449"/>
      <c r="E1856" s="450"/>
      <c r="F1856" s="450"/>
      <c r="G1856" s="450"/>
      <c r="H1856" s="131"/>
      <c r="J1856" s="449"/>
      <c r="K1856" s="450"/>
      <c r="L1856" s="450"/>
      <c r="M1856" s="450"/>
      <c r="N1856" s="131"/>
    </row>
    <row r="1857" spans="1:14" ht="12.75" customHeight="1">
      <c r="A1857" s="478"/>
      <c r="D1857" s="131" t="s">
        <v>3354</v>
      </c>
      <c r="E1857" s="448">
        <f>SUM(E1844:E1856)</f>
        <v>235.36835563354538</v>
      </c>
      <c r="F1857" s="448">
        <f t="shared" ref="F1857" si="222">SUM(F1844:F1856)</f>
        <v>235.36835563354538</v>
      </c>
      <c r="G1857" s="448">
        <f t="shared" ref="G1857" si="223">SUM(G1844:G1856)</f>
        <v>235.36835563354538</v>
      </c>
      <c r="H1857" s="131" t="s">
        <v>3362</v>
      </c>
      <c r="J1857" s="131" t="s">
        <v>3354</v>
      </c>
      <c r="K1857" s="448">
        <f>SUM(K1844:K1856)</f>
        <v>235.36835563354538</v>
      </c>
      <c r="L1857" s="448">
        <f t="shared" ref="L1857:M1857" si="224">SUM(L1844:L1856)</f>
        <v>235.36835563354538</v>
      </c>
      <c r="M1857" s="448">
        <f t="shared" si="224"/>
        <v>235.36835563354538</v>
      </c>
      <c r="N1857" s="131" t="s">
        <v>7289</v>
      </c>
    </row>
    <row r="1858" spans="1:14" ht="12.75" customHeight="1">
      <c r="A1858" s="478"/>
    </row>
    <row r="1859" spans="1:14" ht="12.75" customHeight="1">
      <c r="A1859" s="478"/>
      <c r="C1859" s="131" t="s">
        <v>1624</v>
      </c>
    </row>
    <row r="1860" spans="1:14" ht="12.75" customHeight="1">
      <c r="A1860" s="478"/>
      <c r="D1860" s="8" t="s">
        <v>595</v>
      </c>
      <c r="E1860" s="463">
        <f>calcLOB2Clinician1Disc1Emp1MissVisits+calcLOB2Clinician1Disc2Emp1MissVisits+calcLOB2Clinician1Emp2MissVisits+calcLOB2Clinician1Emp3MissVisits</f>
        <v>4.7250000000000005</v>
      </c>
      <c r="F1860" s="463">
        <f>calcLOB2Clinician1Disc1Emp1MissVisits+calcLOB2Clinician1Disc2Emp1MissVisits+calcLOB2Clinician1Emp2MissVisits+calcLOB2Clinician1Emp3MissVisits</f>
        <v>4.7250000000000005</v>
      </c>
      <c r="G1860" s="463">
        <f>calcLOB2Clinician1Disc1Emp1MissVisits+calcLOB2Clinician1Disc2Emp1MissVisits+calcLOB2Clinician1Emp2MissVisits+calcLOB2Clinician1Emp3MissVisits</f>
        <v>4.7250000000000005</v>
      </c>
      <c r="H1860" s="131" t="s">
        <v>2600</v>
      </c>
      <c r="J1860" s="8" t="s">
        <v>595</v>
      </c>
      <c r="K1860" s="463">
        <f>calcR2LOB2Clinician1Disc1Emp1MissVisits+calcR2LOB2Clinician1Disc2Emp1MissVisits+calcR2LOB2Clinician1Emp2MissVisits+calcR2LOB2Clinician1Emp3MissVisits</f>
        <v>4.7250000000000005</v>
      </c>
      <c r="L1860" s="463">
        <f>calcR2LOB2Clinician1Disc1Emp1MissVisits+calcR2LOB2Clinician1Disc2Emp1MissVisits+calcR2LOB2Clinician1Emp2MissVisits+calcR2LOB2Clinician1Emp3MissVisits</f>
        <v>4.7250000000000005</v>
      </c>
      <c r="M1860" s="463">
        <f>calcR2LOB2Clinician1Disc1Emp1MissVisits+calcR2LOB2Clinician1Disc2Emp1MissVisits+calcR2LOB2Clinician1Emp2MissVisits+calcR2LOB2Clinician1Emp3MissVisits</f>
        <v>4.7250000000000005</v>
      </c>
      <c r="N1860" s="131" t="s">
        <v>7290</v>
      </c>
    </row>
    <row r="1861" spans="1:14" ht="12.75" customHeight="1">
      <c r="A1861" s="478"/>
      <c r="D1861" s="8" t="s">
        <v>596</v>
      </c>
      <c r="E1861" s="463">
        <f>calcLOB2Clinician2Disc1Emp1MissVisits+calcLOB2Clinician2Disc2Emp1MissVisits+calcLOB2Clinician2Emp2MissVisits+calcLOB2Clinician2Emp3MissVisits</f>
        <v>4.2</v>
      </c>
      <c r="F1861" s="463">
        <f>calcLOB2Clinician2Disc1Emp1MissVisits+calcLOB2Clinician2Disc2Emp1MissVisits+calcLOB2Clinician2Emp2MissVisits+calcLOB2Clinician2Emp3MissVisits</f>
        <v>4.2</v>
      </c>
      <c r="G1861" s="463">
        <f>calcLOB2Clinician2Disc1Emp1MissVisits+calcLOB2Clinician2Disc2Emp1MissVisits+calcLOB2Clinician2Emp2MissVisits+calcLOB2Clinician2Emp3MissVisits</f>
        <v>4.2</v>
      </c>
      <c r="H1861" s="131" t="s">
        <v>2601</v>
      </c>
      <c r="J1861" s="8" t="s">
        <v>596</v>
      </c>
      <c r="K1861" s="463">
        <f>calcR2LOB2Clinician2Disc1Emp1MissVisits+calcR2LOB2Clinician2Disc2Emp1MissVisits+calcR2LOB2Clinician2Emp2MissVisits+calcR2LOB2Clinician2Emp3MissVisits</f>
        <v>4.2</v>
      </c>
      <c r="L1861" s="463">
        <f>calcR2LOB2Clinician2Disc1Emp1MissVisits+calcR2LOB2Clinician2Disc2Emp1MissVisits+calcR2LOB2Clinician2Emp2MissVisits+calcR2LOB2Clinician2Emp3MissVisits</f>
        <v>4.2</v>
      </c>
      <c r="M1861" s="463">
        <f>calcR2LOB2Clinician2Disc1Emp1MissVisits+calcR2LOB2Clinician2Disc2Emp1MissVisits+calcR2LOB2Clinician2Emp2MissVisits+calcR2LOB2Clinician2Emp3MissVisits</f>
        <v>4.2</v>
      </c>
      <c r="N1861" s="131" t="s">
        <v>7291</v>
      </c>
    </row>
    <row r="1862" spans="1:14" ht="12.75" customHeight="1">
      <c r="A1862" s="478"/>
      <c r="D1862" s="8" t="s">
        <v>597</v>
      </c>
      <c r="E1862" s="463">
        <f>calcLOB2Clinician3Disc1Emp1MissVisits+calcLOB2Clinician3Disc2Emp1MissVisits+calcLOB2Clinician3Emp2MissVisits+calcLOB2Clinician3Emp3MissVisits</f>
        <v>1.2765957446808509</v>
      </c>
      <c r="F1862" s="463">
        <f>calcLOB2Clinician3Disc1Emp1MissVisits+calcLOB2Clinician3Disc2Emp1MissVisits+calcLOB2Clinician3Emp2MissVisits+calcLOB2Clinician3Emp3MissVisits</f>
        <v>1.2765957446808509</v>
      </c>
      <c r="G1862" s="463">
        <f>calcLOB2Clinician3Disc1Emp1MissVisits+calcLOB2Clinician3Disc2Emp1MissVisits+calcLOB2Clinician3Emp2MissVisits+calcLOB2Clinician3Emp3MissVisits</f>
        <v>1.2765957446808509</v>
      </c>
      <c r="H1862" s="131" t="s">
        <v>2602</v>
      </c>
      <c r="J1862" s="8" t="s">
        <v>597</v>
      </c>
      <c r="K1862" s="463">
        <f>calcR2LOB2Clinician3Disc1Emp1MissVisits+calcR2LOB2Clinician3Disc2Emp1MissVisits+calcR2LOB2Clinician3Emp2MissVisits+calcR2LOB2Clinician3Emp3MissVisits</f>
        <v>1.2765957446808509</v>
      </c>
      <c r="L1862" s="463">
        <f>calcR2LOB2Clinician3Disc1Emp1MissVisits+calcR2LOB2Clinician3Disc2Emp1MissVisits+calcR2LOB2Clinician3Emp2MissVisits+calcR2LOB2Clinician3Emp3MissVisits</f>
        <v>1.2765957446808509</v>
      </c>
      <c r="M1862" s="463">
        <f>calcR2LOB2Clinician3Disc1Emp1MissVisits+calcR2LOB2Clinician3Disc2Emp1MissVisits+calcR2LOB2Clinician3Emp2MissVisits+calcR2LOB2Clinician3Emp3MissVisits</f>
        <v>1.2765957446808509</v>
      </c>
      <c r="N1862" s="131" t="s">
        <v>7292</v>
      </c>
    </row>
    <row r="1863" spans="1:14" ht="12.75" customHeight="1">
      <c r="A1863" s="478"/>
      <c r="D1863" s="8" t="s">
        <v>598</v>
      </c>
      <c r="E1863" s="463">
        <f>calcLOB2Clinician4Disc1Emp1MissVisits+calcLOB2Clinician4Disc2Emp1MissVisits+calcLOB2Clinician4Emp2MissVisits+calcLOB2Clinician4Emp3MissVisits</f>
        <v>0.83333333333333348</v>
      </c>
      <c r="F1863" s="463">
        <f>calcLOB2Clinician4Disc1Emp1MissVisits+calcLOB2Clinician4Disc2Emp1MissVisits+calcLOB2Clinician4Emp2MissVisits+calcLOB2Clinician4Emp3MissVisits</f>
        <v>0.83333333333333348</v>
      </c>
      <c r="G1863" s="463">
        <f>calcLOB2Clinician4Disc1Emp1MissVisits+calcLOB2Clinician4Disc2Emp1MissVisits+calcLOB2Clinician4Emp2MissVisits+calcLOB2Clinician4Emp3MissVisits</f>
        <v>0.83333333333333348</v>
      </c>
      <c r="H1863" s="131" t="s">
        <v>2603</v>
      </c>
      <c r="J1863" s="8" t="s">
        <v>598</v>
      </c>
      <c r="K1863" s="463">
        <f>calcR2LOB2Clinician4Disc1Emp1MissVisits+calcR2LOB2Clinician4Disc2Emp1MissVisits+calcR2LOB2Clinician4Emp2MissVisits+calcR2LOB2Clinician4Emp3MissVisits</f>
        <v>0.83333333333333348</v>
      </c>
      <c r="L1863" s="463">
        <f>calcR2LOB2Clinician4Disc1Emp1MissVisits+calcR2LOB2Clinician4Disc2Emp1MissVisits+calcR2LOB2Clinician4Emp2MissVisits+calcR2LOB2Clinician4Emp3MissVisits</f>
        <v>0.83333333333333348</v>
      </c>
      <c r="M1863" s="463">
        <f>calcR2LOB2Clinician4Disc1Emp1MissVisits+calcR2LOB2Clinician4Disc2Emp1MissVisits+calcR2LOB2Clinician4Emp2MissVisits+calcR2LOB2Clinician4Emp3MissVisits</f>
        <v>0.83333333333333348</v>
      </c>
      <c r="N1863" s="131" t="s">
        <v>7293</v>
      </c>
    </row>
    <row r="1864" spans="1:14" ht="12.75" customHeight="1">
      <c r="A1864" s="478"/>
      <c r="D1864" s="8" t="s">
        <v>599</v>
      </c>
      <c r="E1864" s="463">
        <f>calcLOB2Clinician5Disc1Emp1MissVisits+calcLOB2Clinician5Disc2Emp1MissVisits+calcLOB2Clinician5Emp2MissVisits+calcLOB2Clinician5Emp3MissVisits</f>
        <v>3.4375</v>
      </c>
      <c r="F1864" s="463">
        <f>calcLOB2Clinician5Disc1Emp1MissVisits+calcLOB2Clinician5Disc2Emp1MissVisits+calcLOB2Clinician5Emp2MissVisits+calcLOB2Clinician5Emp3MissVisits</f>
        <v>3.4375</v>
      </c>
      <c r="G1864" s="463">
        <f>calcLOB2Clinician5Disc1Emp1MissVisits+calcLOB2Clinician5Disc2Emp1MissVisits+calcLOB2Clinician5Emp2MissVisits+calcLOB2Clinician5Emp3MissVisits</f>
        <v>3.4375</v>
      </c>
      <c r="H1864" s="131" t="s">
        <v>2604</v>
      </c>
      <c r="J1864" s="8" t="s">
        <v>599</v>
      </c>
      <c r="K1864" s="463">
        <f>calcR2LOB2Clinician5Disc1Emp1MissVisits+calcR2LOB2Clinician5Disc2Emp1MissVisits+calcR2LOB2Clinician5Emp2MissVisits+calcR2LOB2Clinician5Emp3MissVisits</f>
        <v>3.4375</v>
      </c>
      <c r="L1864" s="463">
        <f>calcR2LOB2Clinician5Disc1Emp1MissVisits+calcR2LOB2Clinician5Disc2Emp1MissVisits+calcR2LOB2Clinician5Emp2MissVisits+calcR2LOB2Clinician5Emp3MissVisits</f>
        <v>3.4375</v>
      </c>
      <c r="M1864" s="463">
        <f>calcR2LOB2Clinician5Disc1Emp1MissVisits+calcR2LOB2Clinician5Disc2Emp1MissVisits+calcR2LOB2Clinician5Emp2MissVisits+calcR2LOB2Clinician5Emp3MissVisits</f>
        <v>3.4375</v>
      </c>
      <c r="N1864" s="131" t="s">
        <v>7294</v>
      </c>
    </row>
    <row r="1865" spans="1:14" ht="12.75" customHeight="1">
      <c r="A1865" s="478"/>
      <c r="D1865" s="8" t="s">
        <v>600</v>
      </c>
      <c r="E1865" s="463">
        <f>calcLOB2Clinician6Disc1Emp1MissVisits+calcLOB2Clinician6Disc2Emp1MissVisits+calcLOB2Clinician6Emp2MissVisits+calcLOB2Clinician6Emp3MissVisits</f>
        <v>5.25</v>
      </c>
      <c r="F1865" s="463">
        <f>calcLOB2Clinician6Disc1Emp1MissVisits+calcLOB2Clinician6Disc2Emp1MissVisits+calcLOB2Clinician6Emp2MissVisits+calcLOB2Clinician6Emp3MissVisits</f>
        <v>5.25</v>
      </c>
      <c r="G1865" s="463">
        <f>calcLOB2Clinician6Disc1Emp1MissVisits+calcLOB2Clinician6Disc2Emp1MissVisits+calcLOB2Clinician6Emp2MissVisits+calcLOB2Clinician6Emp3MissVisits</f>
        <v>5.25</v>
      </c>
      <c r="H1865" s="131" t="s">
        <v>2605</v>
      </c>
      <c r="J1865" s="8" t="s">
        <v>600</v>
      </c>
      <c r="K1865" s="463">
        <f>calcR2LOB2Clinician6Disc1Emp1MissVisits+calcR2LOB2Clinician6Disc2Emp1MissVisits+calcR2LOB2Clinician6Emp2MissVisits+calcR2LOB2Clinician6Emp3MissVisits</f>
        <v>5.25</v>
      </c>
      <c r="L1865" s="463">
        <f>calcR2LOB2Clinician6Disc1Emp1MissVisits+calcR2LOB2Clinician6Disc2Emp1MissVisits+calcR2LOB2Clinician6Emp2MissVisits+calcR2LOB2Clinician6Emp3MissVisits</f>
        <v>5.25</v>
      </c>
      <c r="M1865" s="463">
        <f>calcR2LOB2Clinician6Disc1Emp1MissVisits+calcR2LOB2Clinician6Disc2Emp1MissVisits+calcR2LOB2Clinician6Emp2MissVisits+calcR2LOB2Clinician6Emp3MissVisits</f>
        <v>5.25</v>
      </c>
      <c r="N1865" s="131" t="s">
        <v>7295</v>
      </c>
    </row>
    <row r="1866" spans="1:14" ht="12.75" customHeight="1">
      <c r="A1866" s="478"/>
      <c r="D1866" s="8" t="s">
        <v>601</v>
      </c>
      <c r="E1866" s="463">
        <f>calcLOB2Clinician7Disc1Emp1MissVisits+calcLOB2Clinician7Disc2Emp1MissVisits+calcLOB2Clinician7Emp2MissVisits+calcLOB2Clinician7Emp3MissVisits</f>
        <v>5.04</v>
      </c>
      <c r="F1866" s="463">
        <f>calcLOB2Clinician7Disc1Emp1MissVisits+calcLOB2Clinician7Disc2Emp1MissVisits+calcLOB2Clinician7Emp2MissVisits+calcLOB2Clinician7Emp3MissVisits</f>
        <v>5.04</v>
      </c>
      <c r="G1866" s="463">
        <f>calcLOB2Clinician7Disc1Emp1MissVisits+calcLOB2Clinician7Disc2Emp1MissVisits+calcLOB2Clinician7Emp2MissVisits+calcLOB2Clinician7Emp3MissVisits</f>
        <v>5.04</v>
      </c>
      <c r="H1866" s="131" t="s">
        <v>2606</v>
      </c>
      <c r="J1866" s="8" t="s">
        <v>601</v>
      </c>
      <c r="K1866" s="463">
        <f>calcR2LOB2Clinician7Disc1Emp1MissVisits+calcR2LOB2Clinician7Disc2Emp1MissVisits+calcR2LOB2Clinician7Emp2MissVisits+calcR2LOB2Clinician7Emp3MissVisits</f>
        <v>5.04</v>
      </c>
      <c r="L1866" s="463">
        <f>calcR2LOB2Clinician7Disc1Emp1MissVisits+calcR2LOB2Clinician7Disc2Emp1MissVisits+calcR2LOB2Clinician7Emp2MissVisits+calcR2LOB2Clinician7Emp3MissVisits</f>
        <v>5.04</v>
      </c>
      <c r="M1866" s="463">
        <f>calcR2LOB2Clinician7Disc1Emp1MissVisits+calcR2LOB2Clinician7Disc2Emp1MissVisits+calcR2LOB2Clinician7Emp2MissVisits+calcR2LOB2Clinician7Emp3MissVisits</f>
        <v>5.04</v>
      </c>
      <c r="N1866" s="131" t="s">
        <v>7296</v>
      </c>
    </row>
    <row r="1867" spans="1:14" ht="12.75" customHeight="1">
      <c r="A1867" s="478"/>
      <c r="D1867" s="8" t="s">
        <v>602</v>
      </c>
      <c r="E1867" s="463">
        <f>calcLOB2Clinician8Disc1Emp1MissVisits+calcLOB2Clinician8Disc2Emp1MissVisits+calcLOB2Clinician8Emp2MissVisits+calcLOB2Clinician8Emp3MissVisits</f>
        <v>3.5</v>
      </c>
      <c r="F1867" s="463">
        <f>calcLOB2Clinician8Disc1Emp1MissVisits+calcLOB2Clinician8Disc2Emp1MissVisits+calcLOB2Clinician8Emp2MissVisits+calcLOB2Clinician8Emp3MissVisits</f>
        <v>3.5</v>
      </c>
      <c r="G1867" s="463">
        <f>calcLOB2Clinician8Disc1Emp1MissVisits+calcLOB2Clinician8Disc2Emp1MissVisits+calcLOB2Clinician8Emp2MissVisits+calcLOB2Clinician8Emp3MissVisits</f>
        <v>3.5</v>
      </c>
      <c r="H1867" s="131" t="s">
        <v>2607</v>
      </c>
      <c r="J1867" s="8" t="s">
        <v>602</v>
      </c>
      <c r="K1867" s="463">
        <f>calcR2LOB2Clinician8Disc1Emp1MissVisits+calcR2LOB2Clinician8Disc2Emp1MissVisits+calcR2LOB2Clinician8Emp2MissVisits+calcR2LOB2Clinician8Emp3MissVisits</f>
        <v>3.5</v>
      </c>
      <c r="L1867" s="463">
        <f>calcR2LOB2Clinician8Disc1Emp1MissVisits+calcR2LOB2Clinician8Disc2Emp1MissVisits+calcR2LOB2Clinician8Emp2MissVisits+calcR2LOB2Clinician8Emp3MissVisits</f>
        <v>3.5</v>
      </c>
      <c r="M1867" s="463">
        <f>calcR2LOB2Clinician8Disc1Emp1MissVisits+calcR2LOB2Clinician8Disc2Emp1MissVisits+calcR2LOB2Clinician8Emp2MissVisits+calcR2LOB2Clinician8Emp3MissVisits</f>
        <v>3.5</v>
      </c>
      <c r="N1867" s="131" t="s">
        <v>7297</v>
      </c>
    </row>
    <row r="1868" spans="1:14" ht="12.75" customHeight="1">
      <c r="A1868" s="478"/>
      <c r="D1868" s="8" t="s">
        <v>603</v>
      </c>
      <c r="E1868" s="463">
        <f>calcLOB2Clinician9Disc1Emp1MissVisits+calcLOB2Clinician9Disc2Emp1MissVisits+calcLOB2Clinician9Emp2MissVisits+calcLOB2Clinician9Emp3MissVisits</f>
        <v>0.625</v>
      </c>
      <c r="F1868" s="463">
        <f>calcLOB2Clinician9Disc1Emp1MissVisits+calcLOB2Clinician9Disc2Emp1MissVisits+calcLOB2Clinician9Emp2MissVisits+calcLOB2Clinician9Emp3MissVisits</f>
        <v>0.625</v>
      </c>
      <c r="G1868" s="463">
        <f>calcLOB2Clinician9Disc1Emp1MissVisits+calcLOB2Clinician9Disc2Emp1MissVisits+calcLOB2Clinician9Emp2MissVisits+calcLOB2Clinician9Emp3MissVisits</f>
        <v>0.625</v>
      </c>
      <c r="H1868" s="131" t="s">
        <v>2608</v>
      </c>
      <c r="J1868" s="8" t="s">
        <v>603</v>
      </c>
      <c r="K1868" s="463">
        <f>calcR2LOB2Clinician9Disc1Emp1MissVisits+calcR2LOB2Clinician9Disc2Emp1MissVisits+calcR2LOB2Clinician9Emp2MissVisits+calcR2LOB2Clinician9Emp3MissVisits</f>
        <v>0.625</v>
      </c>
      <c r="L1868" s="463">
        <f>calcR2LOB2Clinician9Disc1Emp1MissVisits+calcR2LOB2Clinician9Disc2Emp1MissVisits+calcR2LOB2Clinician9Emp2MissVisits+calcR2LOB2Clinician9Emp3MissVisits</f>
        <v>0.625</v>
      </c>
      <c r="M1868" s="463">
        <f>calcR2LOB2Clinician9Disc1Emp1MissVisits+calcR2LOB2Clinician9Disc2Emp1MissVisits+calcR2LOB2Clinician9Emp2MissVisits+calcR2LOB2Clinician9Emp3MissVisits</f>
        <v>0.625</v>
      </c>
      <c r="N1868" s="131" t="s">
        <v>7298</v>
      </c>
    </row>
    <row r="1869" spans="1:14" ht="12.75" customHeight="1">
      <c r="A1869" s="478"/>
      <c r="D1869" s="8" t="s">
        <v>604</v>
      </c>
      <c r="E1869" s="463">
        <f>calcLOB2Clinician10Disc1Emp1MissVisits+calcLOB2Clinician10Disc2Emp1MissVisits+calcLOB2Clinician10Emp2MissVisits+calcLOB2Clinician10Emp3MissVisits</f>
        <v>0.85051546391752575</v>
      </c>
      <c r="F1869" s="463">
        <f>calcLOB2Clinician10Disc1Emp1MissVisits+calcLOB2Clinician10Disc2Emp1MissVisits+calcLOB2Clinician10Emp2MissVisits+calcLOB2Clinician10Emp3MissVisits</f>
        <v>0.85051546391752575</v>
      </c>
      <c r="G1869" s="463">
        <f>calcLOB2Clinician10Disc1Emp1MissVisits+calcLOB2Clinician10Disc2Emp1MissVisits+calcLOB2Clinician10Emp2MissVisits+calcLOB2Clinician10Emp3MissVisits</f>
        <v>0.85051546391752575</v>
      </c>
      <c r="H1869" s="131" t="s">
        <v>2609</v>
      </c>
      <c r="J1869" s="8" t="s">
        <v>604</v>
      </c>
      <c r="K1869" s="463">
        <f>calcR2LOB2Clinician10Disc1Emp1MissVisits+calcR2LOB2Clinician10Disc2Emp1MissVisits+calcR2LOB2Clinician10Emp2MissVisits+calcR2LOB2Clinician10Emp3MissVisits</f>
        <v>0.85051546391752575</v>
      </c>
      <c r="L1869" s="463">
        <f>calcR2LOB2Clinician10Disc1Emp1MissVisits+calcR2LOB2Clinician10Disc2Emp1MissVisits+calcR2LOB2Clinician10Emp2MissVisits+calcR2LOB2Clinician10Emp3MissVisits</f>
        <v>0.85051546391752575</v>
      </c>
      <c r="M1869" s="463">
        <f>calcR2LOB2Clinician10Disc1Emp1MissVisits+calcR2LOB2Clinician10Disc2Emp1MissVisits+calcR2LOB2Clinician10Emp2MissVisits+calcR2LOB2Clinician10Emp3MissVisits</f>
        <v>0.85051546391752575</v>
      </c>
      <c r="N1869" s="131" t="s">
        <v>7299</v>
      </c>
    </row>
    <row r="1870" spans="1:14" ht="12.75" customHeight="1">
      <c r="A1870" s="478"/>
      <c r="D1870" s="8" t="s">
        <v>1497</v>
      </c>
      <c r="E1870" s="463">
        <f>calcLOB2Clinician11Disc1Emp1MissVisits+calcLOB2Clinician11Disc2Emp1MissVisits+calcLOB2Clinician11Emp2MissVisits+calcLOB2Clinician11Emp3MissVisits</f>
        <v>0</v>
      </c>
      <c r="F1870" s="463">
        <f>calcLOB2Clinician11Disc1Emp1MissVisits+calcLOB2Clinician11Disc2Emp1MissVisits+calcLOB2Clinician11Emp2MissVisits+calcLOB2Clinician11Emp3MissVisits</f>
        <v>0</v>
      </c>
      <c r="G1870" s="463">
        <f>calcLOB2Clinician11Disc1Emp1MissVisits+calcLOB2Clinician11Disc2Emp1MissVisits+calcLOB2Clinician11Emp2MissVisits+calcLOB2Clinician11Emp3MissVisits</f>
        <v>0</v>
      </c>
      <c r="H1870" s="131" t="s">
        <v>2610</v>
      </c>
      <c r="J1870" s="8" t="s">
        <v>1497</v>
      </c>
      <c r="K1870" s="463">
        <f>calcR2LOB2Clinician11Disc1Emp1MissVisits+calcR2LOB2Clinician11Disc2Emp1MissVisits+calcR2LOB2Clinician11Emp2MissVisits+calcR2LOB2Clinician11Emp3MissVisits</f>
        <v>0</v>
      </c>
      <c r="L1870" s="463">
        <f>calcR2LOB2Clinician11Disc1Emp1MissVisits+calcR2LOB2Clinician11Disc2Emp1MissVisits+calcR2LOB2Clinician11Emp2MissVisits+calcR2LOB2Clinician11Emp3MissVisits</f>
        <v>0</v>
      </c>
      <c r="M1870" s="463">
        <f>calcR2LOB2Clinician11Disc1Emp1MissVisits+calcR2LOB2Clinician11Disc2Emp1MissVisits+calcR2LOB2Clinician11Emp2MissVisits+calcR2LOB2Clinician11Emp3MissVisits</f>
        <v>0</v>
      </c>
      <c r="N1870" s="131" t="s">
        <v>7300</v>
      </c>
    </row>
    <row r="1871" spans="1:14" ht="12.75" customHeight="1">
      <c r="A1871" s="478"/>
      <c r="D1871" s="8" t="s">
        <v>1498</v>
      </c>
      <c r="E1871" s="463">
        <f>calcLOB2Clinician12Disc1Emp1MissVisits+calcLOB2Clinician12Disc2Emp1MissVisits+calcLOB2Clinician12Emp2MissVisits+calcLOB2Clinician12Emp3MissVisits</f>
        <v>0</v>
      </c>
      <c r="F1871" s="463">
        <f>calcLOB2Clinician12Disc1Emp1MissVisits+calcLOB2Clinician12Disc2Emp1MissVisits+calcLOB2Clinician12Emp2MissVisits+calcLOB2Clinician12Emp3MissVisits</f>
        <v>0</v>
      </c>
      <c r="G1871" s="463">
        <f>calcLOB2Clinician12Disc1Emp1MissVisits+calcLOB2Clinician12Disc2Emp1MissVisits+calcLOB2Clinician12Emp2MissVisits+calcLOB2Clinician12Emp3MissVisits</f>
        <v>0</v>
      </c>
      <c r="H1871" s="131" t="s">
        <v>2611</v>
      </c>
      <c r="J1871" s="8" t="s">
        <v>1498</v>
      </c>
      <c r="K1871" s="463">
        <f>calcR2LOB2Clinician12Disc1Emp1MissVisits+calcR2LOB2Clinician12Disc2Emp1MissVisits+calcR2LOB2Clinician12Emp2MissVisits+calcR2LOB2Clinician12Emp3MissVisits</f>
        <v>0</v>
      </c>
      <c r="L1871" s="463">
        <f>calcR2LOB2Clinician12Disc1Emp1MissVisits+calcR2LOB2Clinician12Disc2Emp1MissVisits+calcR2LOB2Clinician12Emp2MissVisits+calcR2LOB2Clinician12Emp3MissVisits</f>
        <v>0</v>
      </c>
      <c r="M1871" s="463">
        <f>calcR2LOB2Clinician12Disc1Emp1MissVisits+calcR2LOB2Clinician12Disc2Emp1MissVisits+calcR2LOB2Clinician12Emp2MissVisits+calcR2LOB2Clinician12Emp3MissVisits</f>
        <v>0</v>
      </c>
      <c r="N1871" s="131" t="s">
        <v>7301</v>
      </c>
    </row>
    <row r="1872" spans="1:14" ht="1.5" customHeight="1">
      <c r="A1872" s="478"/>
      <c r="D1872" s="449"/>
      <c r="E1872" s="450"/>
      <c r="F1872" s="450"/>
      <c r="G1872" s="450"/>
      <c r="H1872" s="131"/>
      <c r="J1872" s="449"/>
      <c r="K1872" s="450"/>
      <c r="L1872" s="450"/>
      <c r="M1872" s="450"/>
      <c r="N1872" s="131"/>
    </row>
    <row r="1873" spans="1:14" ht="12.75" customHeight="1">
      <c r="A1873" s="478"/>
      <c r="D1873" s="131" t="s">
        <v>3356</v>
      </c>
      <c r="E1873" s="448">
        <f>SUM(E1860:E1872)</f>
        <v>29.737944541931711</v>
      </c>
      <c r="F1873" s="448">
        <f t="shared" ref="F1873" si="225">SUM(F1860:F1872)</f>
        <v>29.737944541931711</v>
      </c>
      <c r="G1873" s="448">
        <f t="shared" ref="G1873" si="226">SUM(G1860:G1872)</f>
        <v>29.737944541931711</v>
      </c>
      <c r="H1873" s="131" t="s">
        <v>3363</v>
      </c>
      <c r="J1873" s="131" t="s">
        <v>3356</v>
      </c>
      <c r="K1873" s="448">
        <f>SUM(K1860:K1872)</f>
        <v>29.737944541931711</v>
      </c>
      <c r="L1873" s="448">
        <f t="shared" ref="L1873:M1873" si="227">SUM(L1860:L1872)</f>
        <v>29.737944541931711</v>
      </c>
      <c r="M1873" s="448">
        <f t="shared" si="227"/>
        <v>29.737944541931711</v>
      </c>
      <c r="N1873" s="131" t="s">
        <v>7302</v>
      </c>
    </row>
    <row r="1874" spans="1:14" ht="12.75" customHeight="1">
      <c r="A1874" s="478"/>
      <c r="D1874" s="131" t="s">
        <v>3360</v>
      </c>
      <c r="E1874" s="451">
        <f>calcLOB2ClinicianMissVisits/calcLOB2ClinicianGrossProd</f>
        <v>0.12634640056810328</v>
      </c>
      <c r="F1874" s="451">
        <f>calcLOB2ClinicianMissVisits/calcLOB2ClinicianGrossProd</f>
        <v>0.12634640056810328</v>
      </c>
      <c r="G1874" s="451">
        <f>calcLOB2ClinicianMissVisits/calcLOB2ClinicianGrossProd</f>
        <v>0.12634640056810328</v>
      </c>
      <c r="H1874" s="131" t="s">
        <v>3364</v>
      </c>
      <c r="J1874" s="131" t="s">
        <v>3360</v>
      </c>
      <c r="K1874" s="451">
        <f>calcR2LOB2ClinicianMissVisits/calcR2LOB2ClinicianGrossProd</f>
        <v>0.12634640056810328</v>
      </c>
      <c r="L1874" s="451">
        <f>calcR2LOB2ClinicianMissVisits/calcR2LOB2ClinicianGrossProd</f>
        <v>0.12634640056810328</v>
      </c>
      <c r="M1874" s="451">
        <f>calcR2LOB2ClinicianMissVisits/calcR2LOB2ClinicianGrossProd</f>
        <v>0.12634640056810328</v>
      </c>
      <c r="N1874" s="131" t="s">
        <v>7303</v>
      </c>
    </row>
    <row r="1875" spans="1:14" ht="12" customHeight="1">
      <c r="A1875" s="478"/>
    </row>
    <row r="1876" spans="1:14" ht="12.75" customHeight="1">
      <c r="A1876" s="478"/>
      <c r="B1876" s="635"/>
      <c r="C1876" s="131" t="s">
        <v>5076</v>
      </c>
    </row>
    <row r="1877" spans="1:14" ht="12.75" customHeight="1">
      <c r="A1877" s="478"/>
      <c r="B1877" s="635"/>
      <c r="D1877" s="8" t="s">
        <v>595</v>
      </c>
      <c r="E1877" s="451">
        <f>calcLOB2Clinician1Disc1BaseMissPerc+calcLOB2Clinician1Disc2BaseMissPerc+calcLOB2Clinician1Emp2BaseMissPerc+calcLOB2Clinician1Emp3BaseMissPerc</f>
        <v>0.17500000000000002</v>
      </c>
      <c r="F1877" s="451">
        <f>calcLOB2Clinician1Disc1BaseMissPerc+calcLOB2Clinician1Disc2BaseMissPerc+calcLOB2Clinician1Emp2BaseMissPerc+calcLOB2Clinician1Emp3BaseMissPerc</f>
        <v>0.17500000000000002</v>
      </c>
      <c r="G1877" s="451">
        <f>calcLOB2Clinician1Disc1BaseMissPerc+calcLOB2Clinician1Disc2BaseMissPerc+calcLOB2Clinician1Emp2BaseMissPerc+calcLOB2Clinician1Emp3BaseMissPerc</f>
        <v>0.17500000000000002</v>
      </c>
      <c r="H1877" s="131" t="s">
        <v>5096</v>
      </c>
      <c r="J1877" s="8" t="s">
        <v>595</v>
      </c>
      <c r="K1877" s="451">
        <f>calcR2LOB2Clinician1Disc1BaseMissPerc+calcR2LOB2Clinician1Disc2BaseMissPerc+calcR2LOB2Clinician1Emp2BaseMissPerc+calcR2LOB2Clinician1Emp3BaseMissPerc</f>
        <v>0.17500000000000002</v>
      </c>
      <c r="L1877" s="451">
        <f>calcR2LOB2Clinician1Disc1BaseMissPerc+calcR2LOB2Clinician1Disc2BaseMissPerc+calcR2LOB2Clinician1Emp2BaseMissPerc+calcR2LOB2Clinician1Emp3BaseMissPerc</f>
        <v>0.17500000000000002</v>
      </c>
      <c r="M1877" s="451">
        <f>calcR2LOB2Clinician1Disc1BaseMissPerc+calcR2LOB2Clinician1Disc2BaseMissPerc+calcR2LOB2Clinician1Emp2BaseMissPerc+calcR2LOB2Clinician1Emp3BaseMissPerc</f>
        <v>0.17500000000000002</v>
      </c>
      <c r="N1877" s="131" t="s">
        <v>7304</v>
      </c>
    </row>
    <row r="1878" spans="1:14" ht="12.75" customHeight="1">
      <c r="A1878" s="478"/>
      <c r="B1878" s="635"/>
      <c r="D1878" s="8" t="s">
        <v>596</v>
      </c>
      <c r="E1878" s="451">
        <f>calcLOB2Clinician2Disc1BaseMissPerc+calcLOB2Clinician2Disc2BaseMissPerc+calcLOB2Clinician2Emp2BaseMissPerc+calcLOB2Clinician2Emp3BaseMissPerc</f>
        <v>0.15</v>
      </c>
      <c r="F1878" s="451">
        <f>calcLOB2Clinician2Disc1BaseMissPerc+calcLOB2Clinician2Disc2BaseMissPerc+calcLOB2Clinician2Emp2BaseMissPerc+calcLOB2Clinician2Emp3BaseMissPerc</f>
        <v>0.15</v>
      </c>
      <c r="G1878" s="451">
        <f>calcLOB2Clinician2Disc1BaseMissPerc+calcLOB2Clinician2Disc2BaseMissPerc+calcLOB2Clinician2Emp2BaseMissPerc+calcLOB2Clinician2Emp3BaseMissPerc</f>
        <v>0.15</v>
      </c>
      <c r="H1878" s="131" t="s">
        <v>5097</v>
      </c>
      <c r="J1878" s="8" t="s">
        <v>596</v>
      </c>
      <c r="K1878" s="451">
        <f>calcR2LOB2Clinician2Disc1BaseMissPerc+calcR2LOB2Clinician2Disc2BaseMissPerc+calcR2LOB2Clinician2Emp2BaseMissPerc+calcR2LOB2Clinician2Emp3BaseMissPerc</f>
        <v>0.15</v>
      </c>
      <c r="L1878" s="451">
        <f>calcR2LOB2Clinician2Disc1BaseMissPerc+calcR2LOB2Clinician2Disc2BaseMissPerc+calcR2LOB2Clinician2Emp2BaseMissPerc+calcR2LOB2Clinician2Emp3BaseMissPerc</f>
        <v>0.15</v>
      </c>
      <c r="M1878" s="451">
        <f>calcR2LOB2Clinician2Disc1BaseMissPerc+calcR2LOB2Clinician2Disc2BaseMissPerc+calcR2LOB2Clinician2Emp2BaseMissPerc+calcR2LOB2Clinician2Emp3BaseMissPerc</f>
        <v>0.15</v>
      </c>
      <c r="N1878" s="131" t="s">
        <v>7305</v>
      </c>
    </row>
    <row r="1879" spans="1:14" ht="12.75" customHeight="1">
      <c r="A1879" s="478"/>
      <c r="B1879" s="635"/>
      <c r="D1879" s="8" t="s">
        <v>597</v>
      </c>
      <c r="E1879" s="451">
        <f>calcLOB2Clinician3Disc1BaseMissPerc+calcLOB2Clinician3Disc2BaseMissPerc+calcLOB2Clinician3Emp2BaseMissPerc+calcLOB2Clinician3Emp3BaseMissPerc</f>
        <v>7.4999999999999997E-2</v>
      </c>
      <c r="F1879" s="451">
        <f>calcLOB2Clinician3Disc1BaseMissPerc+calcLOB2Clinician3Disc2BaseMissPerc+calcLOB2Clinician3Emp2BaseMissPerc+calcLOB2Clinician3Emp3BaseMissPerc</f>
        <v>7.4999999999999997E-2</v>
      </c>
      <c r="G1879" s="451">
        <f>calcLOB2Clinician3Disc1BaseMissPerc+calcLOB2Clinician3Disc2BaseMissPerc+calcLOB2Clinician3Emp2BaseMissPerc+calcLOB2Clinician3Emp3BaseMissPerc</f>
        <v>7.4999999999999997E-2</v>
      </c>
      <c r="H1879" s="131" t="s">
        <v>5098</v>
      </c>
      <c r="J1879" s="8" t="s">
        <v>597</v>
      </c>
      <c r="K1879" s="451">
        <f>calcR2LOB2Clinician3Disc1BaseMissPerc+calcR2LOB2Clinician3Disc2BaseMissPerc+calcR2LOB2Clinician3Emp2BaseMissPerc+calcR2LOB2Clinician3Emp3BaseMissPerc</f>
        <v>7.4999999999999997E-2</v>
      </c>
      <c r="L1879" s="451">
        <f>calcR2LOB2Clinician3Disc1BaseMissPerc+calcR2LOB2Clinician3Disc2BaseMissPerc+calcR2LOB2Clinician3Emp2BaseMissPerc+calcR2LOB2Clinician3Emp3BaseMissPerc</f>
        <v>7.4999999999999997E-2</v>
      </c>
      <c r="M1879" s="451">
        <f>calcR2LOB2Clinician3Disc1BaseMissPerc+calcR2LOB2Clinician3Disc2BaseMissPerc+calcR2LOB2Clinician3Emp2BaseMissPerc+calcR2LOB2Clinician3Emp3BaseMissPerc</f>
        <v>7.4999999999999997E-2</v>
      </c>
      <c r="N1879" s="131" t="s">
        <v>7306</v>
      </c>
    </row>
    <row r="1880" spans="1:14" ht="12.75" customHeight="1">
      <c r="A1880" s="478"/>
      <c r="B1880" s="635"/>
      <c r="D1880" s="8" t="s">
        <v>598</v>
      </c>
      <c r="E1880" s="451">
        <f>calcLOB2Clinician4Disc1BaseMissPerc+calcLOB2Clinician4Disc2BaseMissPerc+calcLOB2Clinician4Emp2BaseMissPerc+calcLOB2Clinician4Emp3BaseMissPerc</f>
        <v>0.05</v>
      </c>
      <c r="F1880" s="451">
        <f>calcLOB2Clinician4Disc1BaseMissPerc+calcLOB2Clinician4Disc2BaseMissPerc+calcLOB2Clinician4Emp2BaseMissPerc+calcLOB2Clinician4Emp3BaseMissPerc</f>
        <v>0.05</v>
      </c>
      <c r="G1880" s="451">
        <f>calcLOB2Clinician4Disc1BaseMissPerc+calcLOB2Clinician4Disc2BaseMissPerc+calcLOB2Clinician4Emp2BaseMissPerc+calcLOB2Clinician4Emp3BaseMissPerc</f>
        <v>0.05</v>
      </c>
      <c r="H1880" s="131" t="s">
        <v>5099</v>
      </c>
      <c r="J1880" s="8" t="s">
        <v>598</v>
      </c>
      <c r="K1880" s="451">
        <f>calcR2LOB2Clinician4Disc1BaseMissPerc+calcR2LOB2Clinician4Disc2BaseMissPerc+calcR2LOB2Clinician4Emp2BaseMissPerc+calcR2LOB2Clinician4Emp3BaseMissPerc</f>
        <v>0.05</v>
      </c>
      <c r="L1880" s="451">
        <f>calcR2LOB2Clinician4Disc1BaseMissPerc+calcR2LOB2Clinician4Disc2BaseMissPerc+calcR2LOB2Clinician4Emp2BaseMissPerc+calcR2LOB2Clinician4Emp3BaseMissPerc</f>
        <v>0.05</v>
      </c>
      <c r="M1880" s="451">
        <f>calcR2LOB2Clinician4Disc1BaseMissPerc+calcR2LOB2Clinician4Disc2BaseMissPerc+calcR2LOB2Clinician4Emp2BaseMissPerc+calcR2LOB2Clinician4Emp3BaseMissPerc</f>
        <v>0.05</v>
      </c>
      <c r="N1880" s="131" t="s">
        <v>7307</v>
      </c>
    </row>
    <row r="1881" spans="1:14" ht="12.75" customHeight="1">
      <c r="A1881" s="478"/>
      <c r="B1881" s="635"/>
      <c r="D1881" s="8" t="s">
        <v>599</v>
      </c>
      <c r="E1881" s="451">
        <f>calcLOB2Clinician5Disc1BaseMissPerc+calcLOB2Clinician5Disc2BaseMissPerc+calcLOB2Clinician5Emp2BaseMissPerc+calcLOB2Clinician5Emp3BaseMissPerc</f>
        <v>0.125</v>
      </c>
      <c r="F1881" s="451">
        <f>calcLOB2Clinician5Disc1BaseMissPerc+calcLOB2Clinician5Disc2BaseMissPerc+calcLOB2Clinician5Emp2BaseMissPerc+calcLOB2Clinician5Emp3BaseMissPerc</f>
        <v>0.125</v>
      </c>
      <c r="G1881" s="451">
        <f>calcLOB2Clinician5Disc1BaseMissPerc+calcLOB2Clinician5Disc2BaseMissPerc+calcLOB2Clinician5Emp2BaseMissPerc+calcLOB2Clinician5Emp3BaseMissPerc</f>
        <v>0.125</v>
      </c>
      <c r="H1881" s="131" t="s">
        <v>5100</v>
      </c>
      <c r="J1881" s="8" t="s">
        <v>599</v>
      </c>
      <c r="K1881" s="451">
        <f>calcR2LOB2Clinician5Disc1BaseMissPerc+calcR2LOB2Clinician5Disc2BaseMissPerc+calcR2LOB2Clinician5Emp2BaseMissPerc+calcR2LOB2Clinician5Emp3BaseMissPerc</f>
        <v>0.125</v>
      </c>
      <c r="L1881" s="451">
        <f>calcR2LOB2Clinician5Disc1BaseMissPerc+calcR2LOB2Clinician5Disc2BaseMissPerc+calcR2LOB2Clinician5Emp2BaseMissPerc+calcR2LOB2Clinician5Emp3BaseMissPerc</f>
        <v>0.125</v>
      </c>
      <c r="M1881" s="451">
        <f>calcR2LOB2Clinician5Disc1BaseMissPerc+calcR2LOB2Clinician5Disc2BaseMissPerc+calcR2LOB2Clinician5Emp2BaseMissPerc+calcR2LOB2Clinician5Emp3BaseMissPerc</f>
        <v>0.125</v>
      </c>
      <c r="N1881" s="131" t="s">
        <v>7308</v>
      </c>
    </row>
    <row r="1882" spans="1:14" ht="12.75" customHeight="1">
      <c r="A1882" s="478"/>
      <c r="B1882" s="635"/>
      <c r="D1882" s="8" t="s">
        <v>600</v>
      </c>
      <c r="E1882" s="451">
        <f>calcLOB2Clinician6Disc1BaseMissPerc+calcLOB2Clinician6Disc2BaseMissPerc+calcLOB2Clinician6Emp2BaseMissPerc+calcLOB2Clinician6Emp3BaseMissPerc</f>
        <v>0.1875</v>
      </c>
      <c r="F1882" s="451">
        <f>calcLOB2Clinician6Disc1BaseMissPerc+calcLOB2Clinician6Disc2BaseMissPerc+calcLOB2Clinician6Emp2BaseMissPerc+calcLOB2Clinician6Emp3BaseMissPerc</f>
        <v>0.1875</v>
      </c>
      <c r="G1882" s="451">
        <f>calcLOB2Clinician6Disc1BaseMissPerc+calcLOB2Clinician6Disc2BaseMissPerc+calcLOB2Clinician6Emp2BaseMissPerc+calcLOB2Clinician6Emp3BaseMissPerc</f>
        <v>0.1875</v>
      </c>
      <c r="H1882" s="131" t="s">
        <v>5101</v>
      </c>
      <c r="J1882" s="8" t="s">
        <v>600</v>
      </c>
      <c r="K1882" s="451">
        <f>calcR2LOB2Clinician6Disc1BaseMissPerc+calcR2LOB2Clinician6Disc2BaseMissPerc+calcR2LOB2Clinician6Emp2BaseMissPerc+calcR2LOB2Clinician6Emp3BaseMissPerc</f>
        <v>0.1875</v>
      </c>
      <c r="L1882" s="451">
        <f>calcR2LOB2Clinician6Disc1BaseMissPerc+calcR2LOB2Clinician6Disc2BaseMissPerc+calcR2LOB2Clinician6Emp2BaseMissPerc+calcR2LOB2Clinician6Emp3BaseMissPerc</f>
        <v>0.1875</v>
      </c>
      <c r="M1882" s="451">
        <f>calcR2LOB2Clinician6Disc1BaseMissPerc+calcR2LOB2Clinician6Disc2BaseMissPerc+calcR2LOB2Clinician6Emp2BaseMissPerc+calcR2LOB2Clinician6Emp3BaseMissPerc</f>
        <v>0.1875</v>
      </c>
      <c r="N1882" s="131" t="s">
        <v>7309</v>
      </c>
    </row>
    <row r="1883" spans="1:14" ht="12.75" customHeight="1">
      <c r="A1883" s="478"/>
      <c r="B1883" s="635"/>
      <c r="D1883" s="8" t="s">
        <v>601</v>
      </c>
      <c r="E1883" s="451">
        <f>calcLOB2Clinician7Disc1BaseMissPerc+calcLOB2Clinician7Disc2BaseMissPerc+calcLOB2Clinician7Emp2BaseMissPerc+calcLOB2Clinician7Emp3BaseMissPerc</f>
        <v>0.18</v>
      </c>
      <c r="F1883" s="451">
        <f>calcLOB2Clinician7Disc1BaseMissPerc+calcLOB2Clinician7Disc2BaseMissPerc+calcLOB2Clinician7Emp2BaseMissPerc+calcLOB2Clinician7Emp3BaseMissPerc</f>
        <v>0.18</v>
      </c>
      <c r="G1883" s="451">
        <f>calcLOB2Clinician7Disc1BaseMissPerc+calcLOB2Clinician7Disc2BaseMissPerc+calcLOB2Clinician7Emp2BaseMissPerc+calcLOB2Clinician7Emp3BaseMissPerc</f>
        <v>0.18</v>
      </c>
      <c r="H1883" s="131" t="s">
        <v>5102</v>
      </c>
      <c r="J1883" s="8" t="s">
        <v>601</v>
      </c>
      <c r="K1883" s="451">
        <f>calcR2LOB2Clinician7Disc1BaseMissPerc+calcR2LOB2Clinician7Disc2BaseMissPerc+calcR2LOB2Clinician7Emp2BaseMissPerc+calcR2LOB2Clinician7Emp3BaseMissPerc</f>
        <v>0.18</v>
      </c>
      <c r="L1883" s="451">
        <f>calcR2LOB2Clinician7Disc1BaseMissPerc+calcR2LOB2Clinician7Disc2BaseMissPerc+calcR2LOB2Clinician7Emp2BaseMissPerc+calcR2LOB2Clinician7Emp3BaseMissPerc</f>
        <v>0.18</v>
      </c>
      <c r="M1883" s="451">
        <f>calcR2LOB2Clinician7Disc1BaseMissPerc+calcR2LOB2Clinician7Disc2BaseMissPerc+calcR2LOB2Clinician7Emp2BaseMissPerc+calcR2LOB2Clinician7Emp3BaseMissPerc</f>
        <v>0.18</v>
      </c>
      <c r="N1883" s="131" t="s">
        <v>7310</v>
      </c>
    </row>
    <row r="1884" spans="1:14" ht="12.75" customHeight="1">
      <c r="A1884" s="478"/>
      <c r="B1884" s="635"/>
      <c r="D1884" s="8" t="s">
        <v>602</v>
      </c>
      <c r="E1884" s="451">
        <f>calcLOB2Clinician8Disc1BaseMissPerc+calcLOB2Clinician8Disc2BaseMissPerc+calcLOB2Clinician8Emp2BaseMissPerc+calcLOB2Clinician8Emp3BaseMissPerc</f>
        <v>0.125</v>
      </c>
      <c r="F1884" s="451">
        <f>calcLOB2Clinician8Disc1BaseMissPerc+calcLOB2Clinician8Disc2BaseMissPerc+calcLOB2Clinician8Emp2BaseMissPerc+calcLOB2Clinician8Emp3BaseMissPerc</f>
        <v>0.125</v>
      </c>
      <c r="G1884" s="451">
        <f>calcLOB2Clinician8Disc1BaseMissPerc+calcLOB2Clinician8Disc2BaseMissPerc+calcLOB2Clinician8Emp2BaseMissPerc+calcLOB2Clinician8Emp3BaseMissPerc</f>
        <v>0.125</v>
      </c>
      <c r="H1884" s="131" t="s">
        <v>5103</v>
      </c>
      <c r="J1884" s="8" t="s">
        <v>602</v>
      </c>
      <c r="K1884" s="451">
        <f>calcR2LOB2Clinician8Disc1BaseMissPerc+calcR2LOB2Clinician8Disc2BaseMissPerc+calcR2LOB2Clinician8Emp2BaseMissPerc+calcR2LOB2Clinician8Emp3BaseMissPerc</f>
        <v>0.125</v>
      </c>
      <c r="L1884" s="451">
        <f>calcR2LOB2Clinician8Disc1BaseMissPerc+calcR2LOB2Clinician8Disc2BaseMissPerc+calcR2LOB2Clinician8Emp2BaseMissPerc+calcR2LOB2Clinician8Emp3BaseMissPerc</f>
        <v>0.125</v>
      </c>
      <c r="M1884" s="451">
        <f>calcR2LOB2Clinician8Disc1BaseMissPerc+calcR2LOB2Clinician8Disc2BaseMissPerc+calcR2LOB2Clinician8Emp2BaseMissPerc+calcR2LOB2Clinician8Emp3BaseMissPerc</f>
        <v>0.125</v>
      </c>
      <c r="N1884" s="131" t="s">
        <v>7311</v>
      </c>
    </row>
    <row r="1885" spans="1:14" ht="12.75" customHeight="1">
      <c r="A1885" s="478"/>
      <c r="B1885" s="635"/>
      <c r="D1885" s="8" t="s">
        <v>603</v>
      </c>
      <c r="E1885" s="451">
        <f>calcLOB2Clinician9Disc1BaseMissPerc+calcLOB2Clinician9Disc2BaseMissPerc+calcLOB2Clinician9Emp2BaseMissPerc+calcLOB2Clinician9Emp3BaseMissPerc</f>
        <v>0.05</v>
      </c>
      <c r="F1885" s="451">
        <f>calcLOB2Clinician9Disc1BaseMissPerc+calcLOB2Clinician9Disc2BaseMissPerc+calcLOB2Clinician9Emp2BaseMissPerc+calcLOB2Clinician9Emp3BaseMissPerc</f>
        <v>0.05</v>
      </c>
      <c r="G1885" s="451">
        <f>calcLOB2Clinician9Disc1BaseMissPerc+calcLOB2Clinician9Disc2BaseMissPerc+calcLOB2Clinician9Emp2BaseMissPerc+calcLOB2Clinician9Emp3BaseMissPerc</f>
        <v>0.05</v>
      </c>
      <c r="H1885" s="131" t="s">
        <v>5104</v>
      </c>
      <c r="J1885" s="8" t="s">
        <v>603</v>
      </c>
      <c r="K1885" s="451">
        <f>calcR2LOB2Clinician9Disc1BaseMissPerc+calcR2LOB2Clinician9Disc2BaseMissPerc+calcR2LOB2Clinician9Emp2BaseMissPerc+calcR2LOB2Clinician9Emp3BaseMissPerc</f>
        <v>0.05</v>
      </c>
      <c r="L1885" s="451">
        <f>calcR2LOB2Clinician9Disc1BaseMissPerc+calcR2LOB2Clinician9Disc2BaseMissPerc+calcR2LOB2Clinician9Emp2BaseMissPerc+calcR2LOB2Clinician9Emp3BaseMissPerc</f>
        <v>0.05</v>
      </c>
      <c r="M1885" s="451">
        <f>calcR2LOB2Clinician9Disc1BaseMissPerc+calcR2LOB2Clinician9Disc2BaseMissPerc+calcR2LOB2Clinician9Emp2BaseMissPerc+calcR2LOB2Clinician9Emp3BaseMissPerc</f>
        <v>0.05</v>
      </c>
      <c r="N1885" s="131" t="s">
        <v>7312</v>
      </c>
    </row>
    <row r="1886" spans="1:14" ht="12.75" customHeight="1">
      <c r="A1886" s="478"/>
      <c r="B1886" s="635"/>
      <c r="D1886" s="8" t="s">
        <v>604</v>
      </c>
      <c r="E1886" s="451">
        <f>calcLOB2Clinician10Disc1BaseMissPerc+calcLOB2Clinician10Disc2BaseMissPerc+calcLOB2Clinician10Emp2BaseMissPerc+calcLOB2Clinician10Emp3BaseMissPerc</f>
        <v>3.7499999999999999E-2</v>
      </c>
      <c r="F1886" s="451">
        <f>calcLOB2Clinician10Disc1BaseMissPerc+calcLOB2Clinician10Disc2BaseMissPerc+calcLOB2Clinician10Emp2BaseMissPerc+calcLOB2Clinician10Emp3BaseMissPerc</f>
        <v>3.7499999999999999E-2</v>
      </c>
      <c r="G1886" s="451">
        <f>calcLOB2Clinician10Disc1BaseMissPerc+calcLOB2Clinician10Disc2BaseMissPerc+calcLOB2Clinician10Emp2BaseMissPerc+calcLOB2Clinician10Emp3BaseMissPerc</f>
        <v>3.7499999999999999E-2</v>
      </c>
      <c r="H1886" s="131" t="s">
        <v>5105</v>
      </c>
      <c r="J1886" s="8" t="s">
        <v>604</v>
      </c>
      <c r="K1886" s="451">
        <f>calcR2LOB2Clinician10Disc1BaseMissPerc+calcR2LOB2Clinician10Disc2BaseMissPerc+calcR2LOB2Clinician10Emp2BaseMissPerc+calcR2LOB2Clinician10Emp3BaseMissPerc</f>
        <v>3.7499999999999999E-2</v>
      </c>
      <c r="L1886" s="451">
        <f>calcR2LOB2Clinician10Disc1BaseMissPerc+calcR2LOB2Clinician10Disc2BaseMissPerc+calcR2LOB2Clinician10Emp2BaseMissPerc+calcR2LOB2Clinician10Emp3BaseMissPerc</f>
        <v>3.7499999999999999E-2</v>
      </c>
      <c r="M1886" s="451">
        <f>calcR2LOB2Clinician10Disc1BaseMissPerc+calcR2LOB2Clinician10Disc2BaseMissPerc+calcR2LOB2Clinician10Emp2BaseMissPerc+calcR2LOB2Clinician10Emp3BaseMissPerc</f>
        <v>3.7499999999999999E-2</v>
      </c>
      <c r="N1886" s="131" t="s">
        <v>7313</v>
      </c>
    </row>
    <row r="1887" spans="1:14" ht="12.75" customHeight="1">
      <c r="A1887" s="478"/>
      <c r="B1887" s="635"/>
      <c r="D1887" s="8" t="s">
        <v>1497</v>
      </c>
      <c r="E1887" s="451">
        <f>calcLOB2Clinician11Disc1BaseMissPerc+calcLOB2Clinician11Disc2BaseMissPerc+calcLOB2Clinician11Emp2BaseMissPerc+calcLOB2Clinician11Emp3BaseMissPerc</f>
        <v>0</v>
      </c>
      <c r="F1887" s="451">
        <f>calcLOB2Clinician11Disc1BaseMissPerc+calcLOB2Clinician11Disc2BaseMissPerc+calcLOB2Clinician11Emp2BaseMissPerc+calcLOB2Clinician11Emp3BaseMissPerc</f>
        <v>0</v>
      </c>
      <c r="G1887" s="451">
        <f>calcLOB2Clinician11Disc1BaseMissPerc+calcLOB2Clinician11Disc2BaseMissPerc+calcLOB2Clinician11Emp2BaseMissPerc+calcLOB2Clinician11Emp3BaseMissPerc</f>
        <v>0</v>
      </c>
      <c r="H1887" s="131" t="s">
        <v>5106</v>
      </c>
      <c r="J1887" s="8" t="s">
        <v>1497</v>
      </c>
      <c r="K1887" s="451">
        <f>calcR2LOB2Clinician11Disc1BaseMissPerc+calcR2LOB2Clinician11Disc2BaseMissPerc+calcR2LOB2Clinician11Emp2BaseMissPerc+calcR2LOB2Clinician11Emp3BaseMissPerc</f>
        <v>0</v>
      </c>
      <c r="L1887" s="451">
        <f>calcR2LOB2Clinician11Disc1BaseMissPerc+calcR2LOB2Clinician11Disc2BaseMissPerc+calcR2LOB2Clinician11Emp2BaseMissPerc+calcR2LOB2Clinician11Emp3BaseMissPerc</f>
        <v>0</v>
      </c>
      <c r="M1887" s="451">
        <f>calcR2LOB2Clinician11Disc1BaseMissPerc+calcR2LOB2Clinician11Disc2BaseMissPerc+calcR2LOB2Clinician11Emp2BaseMissPerc+calcR2LOB2Clinician11Emp3BaseMissPerc</f>
        <v>0</v>
      </c>
      <c r="N1887" s="131" t="s">
        <v>7314</v>
      </c>
    </row>
    <row r="1888" spans="1:14" ht="12.75" customHeight="1">
      <c r="A1888" s="478"/>
      <c r="B1888" s="635"/>
      <c r="D1888" s="8" t="s">
        <v>1498</v>
      </c>
      <c r="E1888" s="451">
        <f>calcLOB2Clinician12Disc1BaseMissPerc+calcLOB2Clinician12Disc2BaseMissPerc+calcLOB2Clinician12Emp2BaseMissPerc+calcLOB2Clinician12Emp3BaseMissPerc</f>
        <v>0</v>
      </c>
      <c r="F1888" s="451">
        <f>calcLOB2Clinician12Disc1BaseMissPerc+calcLOB2Clinician12Disc2BaseMissPerc+calcLOB2Clinician12Emp2BaseMissPerc+calcLOB2Clinician12Emp3BaseMissPerc</f>
        <v>0</v>
      </c>
      <c r="G1888" s="451">
        <f>calcLOB2Clinician12Disc1BaseMissPerc+calcLOB2Clinician12Disc2BaseMissPerc+calcLOB2Clinician12Emp2BaseMissPerc+calcLOB2Clinician12Emp3BaseMissPerc</f>
        <v>0</v>
      </c>
      <c r="H1888" s="131" t="s">
        <v>5107</v>
      </c>
      <c r="J1888" s="8" t="s">
        <v>1498</v>
      </c>
      <c r="K1888" s="451">
        <f>calcR2LOB2Clinician12Disc1BaseMissPerc+calcR2LOB2Clinician12Disc2BaseMissPerc+calcR2LOB2Clinician12Emp2BaseMissPerc+calcR2LOB2Clinician12Emp3BaseMissPerc</f>
        <v>0</v>
      </c>
      <c r="L1888" s="451">
        <f>calcR2LOB2Clinician12Disc1BaseMissPerc+calcR2LOB2Clinician12Disc2BaseMissPerc+calcR2LOB2Clinician12Emp2BaseMissPerc+calcR2LOB2Clinician12Emp3BaseMissPerc</f>
        <v>0</v>
      </c>
      <c r="M1888" s="451">
        <f>calcR2LOB2Clinician12Disc1BaseMissPerc+calcR2LOB2Clinician12Disc2BaseMissPerc+calcR2LOB2Clinician12Emp2BaseMissPerc+calcR2LOB2Clinician12Emp3BaseMissPerc</f>
        <v>0</v>
      </c>
      <c r="N1888" s="131" t="s">
        <v>7315</v>
      </c>
    </row>
    <row r="1889" spans="1:14" ht="1.5" customHeight="1">
      <c r="A1889" s="478"/>
      <c r="B1889" s="635"/>
      <c r="D1889" s="449"/>
      <c r="E1889" s="450"/>
      <c r="F1889" s="450"/>
      <c r="G1889" s="450"/>
      <c r="H1889" s="131"/>
      <c r="J1889" s="449"/>
      <c r="K1889" s="450"/>
      <c r="L1889" s="450"/>
      <c r="M1889" s="450"/>
      <c r="N1889" s="131"/>
    </row>
    <row r="1890" spans="1:14" ht="12.75" customHeight="1">
      <c r="A1890" s="478"/>
      <c r="B1890" s="635"/>
      <c r="D1890" s="131" t="s">
        <v>3356</v>
      </c>
      <c r="E1890" s="451">
        <f>SUM(E1877:E1889)</f>
        <v>1.155</v>
      </c>
      <c r="F1890" s="451">
        <f t="shared" ref="F1890" si="228">SUM(F1877:F1889)</f>
        <v>1.155</v>
      </c>
      <c r="G1890" s="451">
        <f t="shared" ref="G1890" si="229">SUM(G1877:G1889)</f>
        <v>1.155</v>
      </c>
      <c r="H1890" s="131" t="s">
        <v>5108</v>
      </c>
      <c r="J1890" s="131" t="s">
        <v>3356</v>
      </c>
      <c r="K1890" s="451">
        <f>SUM(K1877:K1889)</f>
        <v>1.155</v>
      </c>
      <c r="L1890" s="451">
        <f t="shared" ref="L1890" si="230">SUM(L1877:L1889)</f>
        <v>1.155</v>
      </c>
      <c r="M1890" s="451">
        <f t="shared" ref="M1890" si="231">SUM(M1877:M1889)</f>
        <v>1.155</v>
      </c>
      <c r="N1890" s="131" t="s">
        <v>7316</v>
      </c>
    </row>
    <row r="1891" spans="1:14" ht="12.75" customHeight="1">
      <c r="A1891" s="478"/>
      <c r="B1891" s="635"/>
      <c r="D1891" s="131" t="s">
        <v>3360</v>
      </c>
      <c r="E1891" s="451">
        <f>calcLOB2ClinicianTotalMissPerc/(12-COUNTIF(E1800:E1811,"0"))</f>
        <v>0.11550000000000001</v>
      </c>
      <c r="F1891" s="451">
        <f>calcLOB2ClinicianTotalMissPerc/(12-COUNTIF(F1800:F1811,"0"))</f>
        <v>0.11550000000000001</v>
      </c>
      <c r="G1891" s="451">
        <f>calcLOB2ClinicianTotalMissPerc/(12-COUNTIF(G1800:G1811,"0"))</f>
        <v>0.11550000000000001</v>
      </c>
      <c r="H1891" s="131" t="s">
        <v>5109</v>
      </c>
      <c r="J1891" s="131" t="s">
        <v>3360</v>
      </c>
      <c r="K1891" s="451">
        <f>calcR2LOB2ClinicianTotalMissPerc/(12-COUNTIF(K1800:K1811,"0"))</f>
        <v>0.11550000000000001</v>
      </c>
      <c r="L1891" s="451">
        <f>calcR2LOB2ClinicianTotalMissPerc/(12-COUNTIF(L1800:L1811,"0"))</f>
        <v>0.11550000000000001</v>
      </c>
      <c r="M1891" s="451">
        <f>calcR2LOB2ClinicianTotalMissPerc/(12-COUNTIF(M1800:M1811,"0"))</f>
        <v>0.11550000000000001</v>
      </c>
      <c r="N1891" s="131" t="s">
        <v>7317</v>
      </c>
    </row>
    <row r="1892" spans="1:14" ht="12.75" customHeight="1">
      <c r="A1892" s="478"/>
    </row>
    <row r="1893" spans="1:14" ht="12.75" customHeight="1">
      <c r="A1893" s="478"/>
      <c r="C1893" s="131" t="s">
        <v>3955</v>
      </c>
    </row>
    <row r="1894" spans="1:14" ht="12.75" customHeight="1">
      <c r="A1894" s="478"/>
      <c r="D1894" s="8" t="s">
        <v>595</v>
      </c>
      <c r="E1894" s="463">
        <f>calcLOB2Clinician1GrossProd-calcLOB2Clinician1MissVisits</f>
        <v>22.274999999999999</v>
      </c>
      <c r="F1894" s="463">
        <f>calcLOB2Clinician1GrossProd-calcLOB2Clinician1MissVisits</f>
        <v>22.274999999999999</v>
      </c>
      <c r="G1894" s="463">
        <f>calcLOB2Clinician1GrossProd-calcLOB2Clinician1MissVisits</f>
        <v>22.274999999999999</v>
      </c>
      <c r="H1894" s="131" t="s">
        <v>3956</v>
      </c>
      <c r="J1894" s="8" t="s">
        <v>595</v>
      </c>
      <c r="K1894" s="463">
        <f>calcR2LOB2Clinician1GrossProd-calcR2LOB2Clinician1MissVisits</f>
        <v>22.274999999999999</v>
      </c>
      <c r="L1894" s="463">
        <f>calcR2LOB2Clinician1GrossProd-calcR2LOB2Clinician1MissVisits</f>
        <v>22.274999999999999</v>
      </c>
      <c r="M1894" s="463">
        <f>calcR2LOB2Clinician1GrossProd-calcR2LOB2Clinician1MissVisits</f>
        <v>22.274999999999999</v>
      </c>
      <c r="N1894" s="131" t="s">
        <v>7318</v>
      </c>
    </row>
    <row r="1895" spans="1:14" ht="12.75" customHeight="1">
      <c r="A1895" s="478"/>
      <c r="D1895" s="8" t="s">
        <v>596</v>
      </c>
      <c r="E1895" s="463">
        <f>calcLOB2Clinician2GrossProd-calcLOB2Clinician2MissVisits</f>
        <v>23.8</v>
      </c>
      <c r="F1895" s="463">
        <f>calcLOB2Clinician2GrossProd-calcLOB2Clinician2MissVisits</f>
        <v>23.8</v>
      </c>
      <c r="G1895" s="463">
        <f>calcLOB2Clinician2GrossProd-calcLOB2Clinician2MissVisits</f>
        <v>23.8</v>
      </c>
      <c r="H1895" s="131" t="s">
        <v>3957</v>
      </c>
      <c r="J1895" s="8" t="s">
        <v>596</v>
      </c>
      <c r="K1895" s="463">
        <f>calcR2LOB2Clinician2GrossProd-calcR2LOB2Clinician2MissVisits</f>
        <v>23.8</v>
      </c>
      <c r="L1895" s="463">
        <f>calcR2LOB2Clinician2GrossProd-calcR2LOB2Clinician2MissVisits</f>
        <v>23.8</v>
      </c>
      <c r="M1895" s="463">
        <f>calcR2LOB2Clinician2GrossProd-calcR2LOB2Clinician2MissVisits</f>
        <v>23.8</v>
      </c>
      <c r="N1895" s="131" t="s">
        <v>7319</v>
      </c>
    </row>
    <row r="1896" spans="1:14" ht="12.75" customHeight="1">
      <c r="A1896" s="478"/>
      <c r="D1896" s="8" t="s">
        <v>597</v>
      </c>
      <c r="E1896" s="463">
        <f>calcLOB2Clinician3GrossProd-calcLOB2Clinician3MissVisits</f>
        <v>15.74468085106383</v>
      </c>
      <c r="F1896" s="463">
        <f>calcLOB2Clinician3GrossProd-calcLOB2Clinician3MissVisits</f>
        <v>15.74468085106383</v>
      </c>
      <c r="G1896" s="463">
        <f>calcLOB2Clinician3GrossProd-calcLOB2Clinician3MissVisits</f>
        <v>15.74468085106383</v>
      </c>
      <c r="H1896" s="131" t="s">
        <v>3958</v>
      </c>
      <c r="J1896" s="8" t="s">
        <v>597</v>
      </c>
      <c r="K1896" s="463">
        <f>calcR2LOB2Clinician3GrossProd-calcR2LOB2Clinician3MissVisits</f>
        <v>15.74468085106383</v>
      </c>
      <c r="L1896" s="463">
        <f>calcR2LOB2Clinician3GrossProd-calcR2LOB2Clinician3MissVisits</f>
        <v>15.74468085106383</v>
      </c>
      <c r="M1896" s="463">
        <f>calcR2LOB2Clinician3GrossProd-calcR2LOB2Clinician3MissVisits</f>
        <v>15.74468085106383</v>
      </c>
      <c r="N1896" s="131" t="s">
        <v>7320</v>
      </c>
    </row>
    <row r="1897" spans="1:14" ht="12.75" customHeight="1">
      <c r="A1897" s="478"/>
      <c r="D1897" s="8" t="s">
        <v>598</v>
      </c>
      <c r="E1897" s="463">
        <f>calcLOB2Clinician4GrossProd-calcLOB2Clinician4MissVisits</f>
        <v>15.833333333333334</v>
      </c>
      <c r="F1897" s="463">
        <f>calcLOB2Clinician4GrossProd-calcLOB2Clinician4MissVisits</f>
        <v>15.833333333333334</v>
      </c>
      <c r="G1897" s="463">
        <f>calcLOB2Clinician4GrossProd-calcLOB2Clinician4MissVisits</f>
        <v>15.833333333333334</v>
      </c>
      <c r="H1897" s="131" t="s">
        <v>3959</v>
      </c>
      <c r="J1897" s="8" t="s">
        <v>598</v>
      </c>
      <c r="K1897" s="463">
        <f>calcR2LOB2Clinician4GrossProd-calcR2LOB2Clinician4MissVisits</f>
        <v>15.833333333333334</v>
      </c>
      <c r="L1897" s="463">
        <f>calcR2LOB2Clinician4GrossProd-calcR2LOB2Clinician4MissVisits</f>
        <v>15.833333333333334</v>
      </c>
      <c r="M1897" s="463">
        <f>calcR2LOB2Clinician4GrossProd-calcR2LOB2Clinician4MissVisits</f>
        <v>15.833333333333334</v>
      </c>
      <c r="N1897" s="131" t="s">
        <v>7321</v>
      </c>
    </row>
    <row r="1898" spans="1:14" ht="12.75" customHeight="1">
      <c r="A1898" s="478"/>
      <c r="D1898" s="8" t="s">
        <v>599</v>
      </c>
      <c r="E1898" s="463">
        <f>calcLOB2Clinician5GrossProd-calcLOB2Clinician5MissVisits</f>
        <v>24.0625</v>
      </c>
      <c r="F1898" s="463">
        <f>calcLOB2Clinician5GrossProd-calcLOB2Clinician5MissVisits</f>
        <v>24.0625</v>
      </c>
      <c r="G1898" s="463">
        <f>calcLOB2Clinician5GrossProd-calcLOB2Clinician5MissVisits</f>
        <v>24.0625</v>
      </c>
      <c r="H1898" s="131" t="s">
        <v>3960</v>
      </c>
      <c r="J1898" s="8" t="s">
        <v>599</v>
      </c>
      <c r="K1898" s="463">
        <f>calcR2LOB2Clinician5GrossProd-calcR2LOB2Clinician5MissVisits</f>
        <v>24.0625</v>
      </c>
      <c r="L1898" s="463">
        <f>calcR2LOB2Clinician5GrossProd-calcR2LOB2Clinician5MissVisits</f>
        <v>24.0625</v>
      </c>
      <c r="M1898" s="463">
        <f>calcR2LOB2Clinician5GrossProd-calcR2LOB2Clinician5MissVisits</f>
        <v>24.0625</v>
      </c>
      <c r="N1898" s="131" t="s">
        <v>7322</v>
      </c>
    </row>
    <row r="1899" spans="1:14" ht="12.75" customHeight="1">
      <c r="A1899" s="478"/>
      <c r="D1899" s="8" t="s">
        <v>600</v>
      </c>
      <c r="E1899" s="463">
        <f>calcLOB2Clinician6GrossProd-calcLOB2Clinician6MissVisits</f>
        <v>22.75</v>
      </c>
      <c r="F1899" s="463">
        <f>calcLOB2Clinician6GrossProd-calcLOB2Clinician6MissVisits</f>
        <v>22.75</v>
      </c>
      <c r="G1899" s="463">
        <f>calcLOB2Clinician6GrossProd-calcLOB2Clinician6MissVisits</f>
        <v>22.75</v>
      </c>
      <c r="H1899" s="131" t="s">
        <v>3961</v>
      </c>
      <c r="J1899" s="8" t="s">
        <v>600</v>
      </c>
      <c r="K1899" s="463">
        <f>calcR2LOB2Clinician6GrossProd-calcR2LOB2Clinician6MissVisits</f>
        <v>22.75</v>
      </c>
      <c r="L1899" s="463">
        <f>calcR2LOB2Clinician6GrossProd-calcR2LOB2Clinician6MissVisits</f>
        <v>22.75</v>
      </c>
      <c r="M1899" s="463">
        <f>calcR2LOB2Clinician6GrossProd-calcR2LOB2Clinician6MissVisits</f>
        <v>22.75</v>
      </c>
      <c r="N1899" s="131" t="s">
        <v>7323</v>
      </c>
    </row>
    <row r="1900" spans="1:14" ht="12.75" customHeight="1">
      <c r="A1900" s="478"/>
      <c r="D1900" s="8" t="s">
        <v>601</v>
      </c>
      <c r="E1900" s="463">
        <f>calcLOB2Clinician7GrossProd-calcLOB2Clinician7MissVisits</f>
        <v>22.96</v>
      </c>
      <c r="F1900" s="463">
        <f>calcLOB2Clinician7GrossProd-calcLOB2Clinician7MissVisits</f>
        <v>22.96</v>
      </c>
      <c r="G1900" s="463">
        <f>calcLOB2Clinician7GrossProd-calcLOB2Clinician7MissVisits</f>
        <v>22.96</v>
      </c>
      <c r="H1900" s="131" t="s">
        <v>3962</v>
      </c>
      <c r="J1900" s="8" t="s">
        <v>601</v>
      </c>
      <c r="K1900" s="463">
        <f>calcR2LOB2Clinician7GrossProd-calcR2LOB2Clinician7MissVisits</f>
        <v>22.96</v>
      </c>
      <c r="L1900" s="463">
        <f>calcR2LOB2Clinician7GrossProd-calcR2LOB2Clinician7MissVisits</f>
        <v>22.96</v>
      </c>
      <c r="M1900" s="463">
        <f>calcR2LOB2Clinician7GrossProd-calcR2LOB2Clinician7MissVisits</f>
        <v>22.96</v>
      </c>
      <c r="N1900" s="131" t="s">
        <v>7324</v>
      </c>
    </row>
    <row r="1901" spans="1:14" ht="12.75" customHeight="1">
      <c r="A1901" s="478"/>
      <c r="D1901" s="8" t="s">
        <v>602</v>
      </c>
      <c r="E1901" s="463">
        <f>calcLOB2Clinician8GrossProd-calcLOB2Clinician8MissVisits</f>
        <v>24.5</v>
      </c>
      <c r="F1901" s="463">
        <f>calcLOB2Clinician8GrossProd-calcLOB2Clinician8MissVisits</f>
        <v>24.5</v>
      </c>
      <c r="G1901" s="463">
        <f>calcLOB2Clinician8GrossProd-calcLOB2Clinician8MissVisits</f>
        <v>24.5</v>
      </c>
      <c r="H1901" s="131" t="s">
        <v>3963</v>
      </c>
      <c r="J1901" s="8" t="s">
        <v>602</v>
      </c>
      <c r="K1901" s="463">
        <f>calcR2LOB2Clinician8GrossProd-calcR2LOB2Clinician8MissVisits</f>
        <v>24.5</v>
      </c>
      <c r="L1901" s="463">
        <f>calcR2LOB2Clinician8GrossProd-calcR2LOB2Clinician8MissVisits</f>
        <v>24.5</v>
      </c>
      <c r="M1901" s="463">
        <f>calcR2LOB2Clinician8GrossProd-calcR2LOB2Clinician8MissVisits</f>
        <v>24.5</v>
      </c>
      <c r="N1901" s="131" t="s">
        <v>7325</v>
      </c>
    </row>
    <row r="1902" spans="1:14" ht="12.75" customHeight="1">
      <c r="A1902" s="478"/>
      <c r="D1902" s="8" t="s">
        <v>603</v>
      </c>
      <c r="E1902" s="463">
        <f>calcLOB2Clinician9GrossProd-calcLOB2Clinician9MissVisits</f>
        <v>11.875</v>
      </c>
      <c r="F1902" s="463">
        <f>calcLOB2Clinician9GrossProd-calcLOB2Clinician9MissVisits</f>
        <v>11.875</v>
      </c>
      <c r="G1902" s="463">
        <f>calcLOB2Clinician9GrossProd-calcLOB2Clinician9MissVisits</f>
        <v>11.875</v>
      </c>
      <c r="H1902" s="131" t="s">
        <v>3964</v>
      </c>
      <c r="J1902" s="8" t="s">
        <v>603</v>
      </c>
      <c r="K1902" s="463">
        <f>calcR2LOB2Clinician9GrossProd-calcR2LOB2Clinician9MissVisits</f>
        <v>11.875</v>
      </c>
      <c r="L1902" s="463">
        <f>calcR2LOB2Clinician9GrossProd-calcR2LOB2Clinician9MissVisits</f>
        <v>11.875</v>
      </c>
      <c r="M1902" s="463">
        <f>calcR2LOB2Clinician9GrossProd-calcR2LOB2Clinician9MissVisits</f>
        <v>11.875</v>
      </c>
      <c r="N1902" s="131" t="s">
        <v>7326</v>
      </c>
    </row>
    <row r="1903" spans="1:14" ht="12.75" customHeight="1">
      <c r="A1903" s="478"/>
      <c r="D1903" s="8" t="s">
        <v>604</v>
      </c>
      <c r="E1903" s="463">
        <f>calcLOB2Clinician10GrossProd-calcLOB2Clinician10MissVisits</f>
        <v>21.829896907216497</v>
      </c>
      <c r="F1903" s="463">
        <f>calcLOB2Clinician10GrossProd-calcLOB2Clinician10MissVisits</f>
        <v>21.829896907216497</v>
      </c>
      <c r="G1903" s="463">
        <f>calcLOB2Clinician10GrossProd-calcLOB2Clinician10MissVisits</f>
        <v>21.829896907216497</v>
      </c>
      <c r="H1903" s="131" t="s">
        <v>3965</v>
      </c>
      <c r="J1903" s="8" t="s">
        <v>604</v>
      </c>
      <c r="K1903" s="463">
        <f>calcR2LOB2Clinician10GrossProd-calcR2LOB2Clinician10MissVisits</f>
        <v>21.829896907216497</v>
      </c>
      <c r="L1903" s="463">
        <f>calcR2LOB2Clinician10GrossProd-calcR2LOB2Clinician10MissVisits</f>
        <v>21.829896907216497</v>
      </c>
      <c r="M1903" s="463">
        <f>calcR2LOB2Clinician10GrossProd-calcR2LOB2Clinician10MissVisits</f>
        <v>21.829896907216497</v>
      </c>
      <c r="N1903" s="131" t="s">
        <v>7327</v>
      </c>
    </row>
    <row r="1904" spans="1:14" ht="12.75" customHeight="1">
      <c r="A1904" s="478"/>
      <c r="D1904" s="8" t="s">
        <v>1497</v>
      </c>
      <c r="E1904" s="463">
        <f>calcLOB2Clinician11GrossProd-calcLOB2Clinician11MissVisits</f>
        <v>0</v>
      </c>
      <c r="F1904" s="463">
        <f>calcLOB2Clinician11GrossProd-calcLOB2Clinician11MissVisits</f>
        <v>0</v>
      </c>
      <c r="G1904" s="463">
        <f>calcLOB2Clinician11GrossProd-calcLOB2Clinician11MissVisits</f>
        <v>0</v>
      </c>
      <c r="H1904" s="131" t="s">
        <v>3966</v>
      </c>
      <c r="J1904" s="8" t="s">
        <v>1497</v>
      </c>
      <c r="K1904" s="463">
        <f>calcR2LOB2Clinician11GrossProd-calcR2LOB2Clinician11MissVisits</f>
        <v>0</v>
      </c>
      <c r="L1904" s="463">
        <f>calcR2LOB2Clinician11GrossProd-calcR2LOB2Clinician11MissVisits</f>
        <v>0</v>
      </c>
      <c r="M1904" s="463">
        <f>calcR2LOB2Clinician11GrossProd-calcR2LOB2Clinician11MissVisits</f>
        <v>0</v>
      </c>
      <c r="N1904" s="131" t="s">
        <v>7328</v>
      </c>
    </row>
    <row r="1905" spans="1:14" ht="12.75" customHeight="1">
      <c r="A1905" s="478"/>
      <c r="D1905" s="8" t="s">
        <v>1498</v>
      </c>
      <c r="E1905" s="463">
        <f>calcLOB2Clinician12GrossProd-calcLOB2Clinician12MissVisits</f>
        <v>0</v>
      </c>
      <c r="F1905" s="463">
        <f>calcLOB2Clinician12GrossProd-calcLOB2Clinician12MissVisits</f>
        <v>0</v>
      </c>
      <c r="G1905" s="463">
        <f>calcLOB2Clinician12GrossProd-calcLOB2Clinician12MissVisits</f>
        <v>0</v>
      </c>
      <c r="H1905" s="131" t="s">
        <v>3967</v>
      </c>
      <c r="J1905" s="8" t="s">
        <v>1498</v>
      </c>
      <c r="K1905" s="463">
        <f>calcR2LOB2Clinician12GrossProd-calcR2LOB2Clinician12MissVisits</f>
        <v>0</v>
      </c>
      <c r="L1905" s="463">
        <f>calcR2LOB2Clinician12GrossProd-calcR2LOB2Clinician12MissVisits</f>
        <v>0</v>
      </c>
      <c r="M1905" s="463">
        <f>calcR2LOB2Clinician12GrossProd-calcR2LOB2Clinician12MissVisits</f>
        <v>0</v>
      </c>
      <c r="N1905" s="131" t="s">
        <v>7329</v>
      </c>
    </row>
    <row r="1906" spans="1:14" ht="1.5" customHeight="1">
      <c r="A1906" s="478"/>
      <c r="D1906" s="449"/>
      <c r="E1906" s="450"/>
      <c r="F1906" s="450"/>
      <c r="G1906" s="450"/>
      <c r="H1906" s="131"/>
      <c r="J1906" s="449"/>
      <c r="K1906" s="450"/>
      <c r="L1906" s="450"/>
      <c r="M1906" s="450"/>
      <c r="N1906" s="131"/>
    </row>
    <row r="1907" spans="1:14" ht="12.75" customHeight="1">
      <c r="A1907" s="478"/>
      <c r="D1907" s="131" t="s">
        <v>3356</v>
      </c>
      <c r="E1907" s="448">
        <f>SUM(E1894:E1906)</f>
        <v>205.63041109161367</v>
      </c>
      <c r="F1907" s="448">
        <f t="shared" ref="F1907:G1907" si="232">SUM(F1894:F1906)</f>
        <v>205.63041109161367</v>
      </c>
      <c r="G1907" s="448">
        <f t="shared" si="232"/>
        <v>205.63041109161367</v>
      </c>
      <c r="H1907" s="131" t="s">
        <v>3968</v>
      </c>
      <c r="J1907" s="131" t="s">
        <v>3356</v>
      </c>
      <c r="K1907" s="448">
        <f>SUM(K1894:K1906)</f>
        <v>205.63041109161367</v>
      </c>
      <c r="L1907" s="448">
        <f t="shared" ref="L1907:M1907" si="233">SUM(L1894:L1906)</f>
        <v>205.63041109161367</v>
      </c>
      <c r="M1907" s="448">
        <f t="shared" si="233"/>
        <v>205.63041109161367</v>
      </c>
      <c r="N1907" s="131" t="s">
        <v>7330</v>
      </c>
    </row>
    <row r="1908" spans="1:14" ht="12.75" customHeight="1">
      <c r="A1908" s="478"/>
    </row>
    <row r="1909" spans="1:14" ht="12.75" customHeight="1">
      <c r="A1909" s="478"/>
      <c r="C1909" s="131" t="s">
        <v>1952</v>
      </c>
    </row>
    <row r="1910" spans="1:14" ht="12.75" customHeight="1">
      <c r="A1910" s="478"/>
      <c r="D1910" s="8" t="s">
        <v>595</v>
      </c>
      <c r="E1910" s="463">
        <f>calcLOB2Clinician1Disc1Emp1OverTIme+calcLOB2Clinician1Disc2Emp1OverTIme+calcLOB2Clinician1Emp2OverTIme+calcLOB2Clinician1Emp3OverTIme</f>
        <v>0</v>
      </c>
      <c r="F1910" s="463">
        <f>calcLOB2Clinician1Disc1Emp1OverTIme+calcLOB2Clinician1Disc2Emp1OverTIme+calcLOB2Clinician1Emp2OverTIme+calcLOB2Clinician1Emp3OverTIme</f>
        <v>0</v>
      </c>
      <c r="G1910" s="463">
        <f>calcLOB2Clinician1Disc1Emp1OverTIme+calcLOB2Clinician1Disc2Emp1OverTIme+calcLOB2Clinician1Emp2OverTIme+calcLOB2Clinician1Emp3OverTIme</f>
        <v>0</v>
      </c>
      <c r="H1910" s="131" t="s">
        <v>2612</v>
      </c>
      <c r="J1910" s="8" t="s">
        <v>595</v>
      </c>
      <c r="K1910" s="463">
        <f>calcR2LOB2Clinician1Disc1Emp1OverTIme+calcR2LOB2Clinician1Disc2Emp1OverTIme+calcR2LOB2Clinician1Emp2OverTIme+calcR2LOB2Clinician1Emp3OverTIme</f>
        <v>0</v>
      </c>
      <c r="L1910" s="463">
        <f>calcR2LOB2Clinician1Disc1Emp1OverTIme+calcR2LOB2Clinician1Disc2Emp1OverTIme+calcR2LOB2Clinician1Emp2OverTIme+calcR2LOB2Clinician1Emp3OverTIme</f>
        <v>0</v>
      </c>
      <c r="M1910" s="463">
        <f>calcR2LOB2Clinician1Disc1Emp1OverTIme+calcR2LOB2Clinician1Disc2Emp1OverTIme+calcR2LOB2Clinician1Emp2OverTIme+calcR2LOB2Clinician1Emp3OverTIme</f>
        <v>0</v>
      </c>
      <c r="N1910" s="131" t="s">
        <v>7331</v>
      </c>
    </row>
    <row r="1911" spans="1:14" ht="12.75" customHeight="1">
      <c r="A1911" s="478"/>
      <c r="D1911" s="8" t="s">
        <v>596</v>
      </c>
      <c r="E1911" s="463">
        <f>calcLOB2Clinician2Disc1Emp1OverTIme+calcLOB2Clinician2Disc2Emp1OverTIme+calcLOB2Clinician2Emp2OverTIme+calcLOB2Clinician2Emp3OverTIme</f>
        <v>0</v>
      </c>
      <c r="F1911" s="463">
        <f>calcLOB2Clinician2Disc1Emp1OverTIme+calcLOB2Clinician2Disc2Emp1OverTIme+calcLOB2Clinician2Emp2OverTIme+calcLOB2Clinician2Emp3OverTIme</f>
        <v>0</v>
      </c>
      <c r="G1911" s="463">
        <f>calcLOB2Clinician2Disc1Emp1OverTIme+calcLOB2Clinician2Disc2Emp1OverTIme+calcLOB2Clinician2Emp2OverTIme+calcLOB2Clinician2Emp3OverTIme</f>
        <v>0</v>
      </c>
      <c r="H1911" s="131" t="s">
        <v>2613</v>
      </c>
      <c r="J1911" s="8" t="s">
        <v>596</v>
      </c>
      <c r="K1911" s="463">
        <f>calcR2LOB2Clinician2Disc1Emp1OverTIme+calcR2LOB2Clinician2Disc2Emp1OverTIme+calcR2LOB2Clinician2Emp2OverTIme+calcR2LOB2Clinician2Emp3OverTIme</f>
        <v>0</v>
      </c>
      <c r="L1911" s="463">
        <f>calcR2LOB2Clinician2Disc1Emp1OverTIme+calcR2LOB2Clinician2Disc2Emp1OverTIme+calcR2LOB2Clinician2Emp2OverTIme+calcR2LOB2Clinician2Emp3OverTIme</f>
        <v>0</v>
      </c>
      <c r="M1911" s="463">
        <f>calcR2LOB2Clinician2Disc1Emp1OverTIme+calcR2LOB2Clinician2Disc2Emp1OverTIme+calcR2LOB2Clinician2Emp2OverTIme+calcR2LOB2Clinician2Emp3OverTIme</f>
        <v>0</v>
      </c>
      <c r="N1911" s="131" t="s">
        <v>7332</v>
      </c>
    </row>
    <row r="1912" spans="1:14" ht="12.75" customHeight="1">
      <c r="A1912" s="478"/>
      <c r="D1912" s="8" t="s">
        <v>597</v>
      </c>
      <c r="E1912" s="463">
        <f>calcLOB2Clinician3Disc1Emp1OverTIme+calcLOB2Clinician3Disc2Emp1OverTIme+calcLOB2Clinician3Emp2OverTIme+calcLOB2Clinician3Emp3OverTIme</f>
        <v>0</v>
      </c>
      <c r="F1912" s="463">
        <f>calcLOB2Clinician3Disc1Emp1OverTIme+calcLOB2Clinician3Disc2Emp1OverTIme+calcLOB2Clinician3Emp2OverTIme+calcLOB2Clinician3Emp3OverTIme</f>
        <v>0</v>
      </c>
      <c r="G1912" s="463">
        <f>calcLOB2Clinician3Disc1Emp1OverTIme+calcLOB2Clinician3Disc2Emp1OverTIme+calcLOB2Clinician3Emp2OverTIme+calcLOB2Clinician3Emp3OverTIme</f>
        <v>0</v>
      </c>
      <c r="H1912" s="131" t="s">
        <v>2614</v>
      </c>
      <c r="J1912" s="8" t="s">
        <v>597</v>
      </c>
      <c r="K1912" s="463">
        <f>calcR2LOB2Clinician3Disc1Emp1OverTIme+calcR2LOB2Clinician3Disc2Emp1OverTIme+calcR2LOB2Clinician3Emp2OverTIme+calcR2LOB2Clinician3Emp3OverTIme</f>
        <v>0</v>
      </c>
      <c r="L1912" s="463">
        <f>calcR2LOB2Clinician3Disc1Emp1OverTIme+calcR2LOB2Clinician3Disc2Emp1OverTIme+calcR2LOB2Clinician3Emp2OverTIme+calcR2LOB2Clinician3Emp3OverTIme</f>
        <v>0</v>
      </c>
      <c r="M1912" s="463">
        <f>calcR2LOB2Clinician3Disc1Emp1OverTIme+calcR2LOB2Clinician3Disc2Emp1OverTIme+calcR2LOB2Clinician3Emp2OverTIme+calcR2LOB2Clinician3Emp3OverTIme</f>
        <v>0</v>
      </c>
      <c r="N1912" s="131" t="s">
        <v>7333</v>
      </c>
    </row>
    <row r="1913" spans="1:14" ht="12.75" customHeight="1">
      <c r="A1913" s="478"/>
      <c r="D1913" s="8" t="s">
        <v>598</v>
      </c>
      <c r="E1913" s="463">
        <f>calcLOB2Clinician4Disc1Emp1OverTIme+calcLOB2Clinician4Disc2Emp1OverTIme+calcLOB2Clinician4Emp2OverTIme+calcLOB2Clinician4Emp3OverTIme</f>
        <v>0</v>
      </c>
      <c r="F1913" s="463">
        <f>calcLOB2Clinician4Disc1Emp1OverTIme+calcLOB2Clinician4Disc2Emp1OverTIme+calcLOB2Clinician4Emp2OverTIme+calcLOB2Clinician4Emp3OverTIme</f>
        <v>0</v>
      </c>
      <c r="G1913" s="463">
        <f>calcLOB2Clinician4Disc1Emp1OverTIme+calcLOB2Clinician4Disc2Emp1OverTIme+calcLOB2Clinician4Emp2OverTIme+calcLOB2Clinician4Emp3OverTIme</f>
        <v>0</v>
      </c>
      <c r="H1913" s="131" t="s">
        <v>2615</v>
      </c>
      <c r="J1913" s="8" t="s">
        <v>598</v>
      </c>
      <c r="K1913" s="463">
        <f>calcR2LOB2Clinician4Disc1Emp1OverTIme+calcR2LOB2Clinician4Disc2Emp1OverTIme+calcR2LOB2Clinician4Emp2OverTIme+calcR2LOB2Clinician4Emp3OverTIme</f>
        <v>0</v>
      </c>
      <c r="L1913" s="463">
        <f>calcR2LOB2Clinician4Disc1Emp1OverTIme+calcR2LOB2Clinician4Disc2Emp1OverTIme+calcR2LOB2Clinician4Emp2OverTIme+calcR2LOB2Clinician4Emp3OverTIme</f>
        <v>0</v>
      </c>
      <c r="M1913" s="463">
        <f>calcR2LOB2Clinician4Disc1Emp1OverTIme+calcR2LOB2Clinician4Disc2Emp1OverTIme+calcR2LOB2Clinician4Emp2OverTIme+calcR2LOB2Clinician4Emp3OverTIme</f>
        <v>0</v>
      </c>
      <c r="N1913" s="131" t="s">
        <v>7334</v>
      </c>
    </row>
    <row r="1914" spans="1:14" ht="12.75" customHeight="1">
      <c r="A1914" s="478"/>
      <c r="D1914" s="8" t="s">
        <v>599</v>
      </c>
      <c r="E1914" s="463">
        <f>calcLOB2Clinician5Disc1Emp1OverTIme+calcLOB2Clinician5Disc2Emp1OverTIme+calcLOB2Clinician5Emp2OverTIme+calcLOB2Clinician5Emp3OverTIme</f>
        <v>0</v>
      </c>
      <c r="F1914" s="463">
        <f>calcLOB2Clinician5Disc1Emp1OverTIme+calcLOB2Clinician5Disc2Emp1OverTIme+calcLOB2Clinician5Emp2OverTIme+calcLOB2Clinician5Emp3OverTIme</f>
        <v>0</v>
      </c>
      <c r="G1914" s="463">
        <f>calcLOB2Clinician5Disc1Emp1OverTIme+calcLOB2Clinician5Disc2Emp1OverTIme+calcLOB2Clinician5Emp2OverTIme+calcLOB2Clinician5Emp3OverTIme</f>
        <v>0</v>
      </c>
      <c r="H1914" s="131" t="s">
        <v>2616</v>
      </c>
      <c r="J1914" s="8" t="s">
        <v>599</v>
      </c>
      <c r="K1914" s="463">
        <f>calcR2LOB2Clinician5Disc1Emp1OverTIme+calcR2LOB2Clinician5Disc2Emp1OverTIme+calcR2LOB2Clinician5Emp2OverTIme+calcR2LOB2Clinician5Emp3OverTIme</f>
        <v>0</v>
      </c>
      <c r="L1914" s="463">
        <f>calcR2LOB2Clinician5Disc1Emp1OverTIme+calcR2LOB2Clinician5Disc2Emp1OverTIme+calcR2LOB2Clinician5Emp2OverTIme+calcR2LOB2Clinician5Emp3OverTIme</f>
        <v>0</v>
      </c>
      <c r="M1914" s="463">
        <f>calcR2LOB2Clinician5Disc1Emp1OverTIme+calcR2LOB2Clinician5Disc2Emp1OverTIme+calcR2LOB2Clinician5Emp2OverTIme+calcR2LOB2Clinician5Emp3OverTIme</f>
        <v>0</v>
      </c>
      <c r="N1914" s="131" t="s">
        <v>7335</v>
      </c>
    </row>
    <row r="1915" spans="1:14" ht="12.75" customHeight="1">
      <c r="A1915" s="478"/>
      <c r="D1915" s="8" t="s">
        <v>600</v>
      </c>
      <c r="E1915" s="463">
        <f>calcLOB2Clinician6Disc1Emp1OverTIme+calcLOB2Clinician6Disc2Emp1OverTIme+calcLOB2Clinician6Emp2OverTIme+calcLOB2Clinician6Emp3OverTIme</f>
        <v>0</v>
      </c>
      <c r="F1915" s="463">
        <f>calcLOB2Clinician6Disc1Emp1OverTIme+calcLOB2Clinician6Disc2Emp1OverTIme+calcLOB2Clinician6Emp2OverTIme+calcLOB2Clinician6Emp3OverTIme</f>
        <v>0</v>
      </c>
      <c r="G1915" s="463">
        <f>calcLOB2Clinician6Disc1Emp1OverTIme+calcLOB2Clinician6Disc2Emp1OverTIme+calcLOB2Clinician6Emp2OverTIme+calcLOB2Clinician6Emp3OverTIme</f>
        <v>0</v>
      </c>
      <c r="H1915" s="131" t="s">
        <v>2617</v>
      </c>
      <c r="J1915" s="8" t="s">
        <v>600</v>
      </c>
      <c r="K1915" s="463">
        <f>calcR2LOB2Clinician6Disc1Emp1OverTIme+calcR2LOB2Clinician6Disc2Emp1OverTIme+calcR2LOB2Clinician6Emp2OverTIme+calcR2LOB2Clinician6Emp3OverTIme</f>
        <v>0</v>
      </c>
      <c r="L1915" s="463">
        <f>calcR2LOB2Clinician6Disc1Emp1OverTIme+calcR2LOB2Clinician6Disc2Emp1OverTIme+calcR2LOB2Clinician6Emp2OverTIme+calcR2LOB2Clinician6Emp3OverTIme</f>
        <v>0</v>
      </c>
      <c r="M1915" s="463">
        <f>calcR2LOB2Clinician6Disc1Emp1OverTIme+calcR2LOB2Clinician6Disc2Emp1OverTIme+calcR2LOB2Clinician6Emp2OverTIme+calcR2LOB2Clinician6Emp3OverTIme</f>
        <v>0</v>
      </c>
      <c r="N1915" s="131" t="s">
        <v>7336</v>
      </c>
    </row>
    <row r="1916" spans="1:14" ht="12.75" customHeight="1">
      <c r="A1916" s="478"/>
      <c r="D1916" s="8" t="s">
        <v>601</v>
      </c>
      <c r="E1916" s="463">
        <f>calcLOB2Clinician7Disc1Emp1OverTIme+calcLOB2Clinician7Disc2Emp1OverTIme+calcLOB2Clinician7Emp2OverTIme+calcLOB2Clinician7Emp3OverTIme</f>
        <v>0</v>
      </c>
      <c r="F1916" s="463">
        <f>calcLOB2Clinician7Disc1Emp1OverTIme+calcLOB2Clinician7Disc2Emp1OverTIme+calcLOB2Clinician7Emp2OverTIme+calcLOB2Clinician7Emp3OverTIme</f>
        <v>0</v>
      </c>
      <c r="G1916" s="463">
        <f>calcLOB2Clinician7Disc1Emp1OverTIme+calcLOB2Clinician7Disc2Emp1OverTIme+calcLOB2Clinician7Emp2OverTIme+calcLOB2Clinician7Emp3OverTIme</f>
        <v>0</v>
      </c>
      <c r="H1916" s="131" t="s">
        <v>2618</v>
      </c>
      <c r="J1916" s="8" t="s">
        <v>601</v>
      </c>
      <c r="K1916" s="463">
        <f>calcR2LOB2Clinician7Disc1Emp1OverTIme+calcR2LOB2Clinician7Disc2Emp1OverTIme+calcR2LOB2Clinician7Emp2OverTIme+calcR2LOB2Clinician7Emp3OverTIme</f>
        <v>0</v>
      </c>
      <c r="L1916" s="463">
        <f>calcR2LOB2Clinician7Disc1Emp1OverTIme+calcR2LOB2Clinician7Disc2Emp1OverTIme+calcR2LOB2Clinician7Emp2OverTIme+calcR2LOB2Clinician7Emp3OverTIme</f>
        <v>0</v>
      </c>
      <c r="M1916" s="463">
        <f>calcR2LOB2Clinician7Disc1Emp1OverTIme+calcR2LOB2Clinician7Disc2Emp1OverTIme+calcR2LOB2Clinician7Emp2OverTIme+calcR2LOB2Clinician7Emp3OverTIme</f>
        <v>0</v>
      </c>
      <c r="N1916" s="131" t="s">
        <v>7337</v>
      </c>
    </row>
    <row r="1917" spans="1:14" ht="12.75" customHeight="1">
      <c r="A1917" s="478"/>
      <c r="D1917" s="8" t="s">
        <v>602</v>
      </c>
      <c r="E1917" s="463">
        <f>calcLOB2Clinician8Disc1Emp1OverTIme+calcLOB2Clinician8Disc2Emp1OverTIme+calcLOB2Clinician8Emp2OverTIme+calcLOB2Clinician8Emp3OverTIme</f>
        <v>0</v>
      </c>
      <c r="F1917" s="463">
        <f>calcLOB2Clinician8Disc1Emp1OverTIme+calcLOB2Clinician8Disc2Emp1OverTIme+calcLOB2Clinician8Emp2OverTIme+calcLOB2Clinician8Emp3OverTIme</f>
        <v>0</v>
      </c>
      <c r="G1917" s="463">
        <f>calcLOB2Clinician8Disc1Emp1OverTIme+calcLOB2Clinician8Disc2Emp1OverTIme+calcLOB2Clinician8Emp2OverTIme+calcLOB2Clinician8Emp3OverTIme</f>
        <v>0</v>
      </c>
      <c r="H1917" s="131" t="s">
        <v>2619</v>
      </c>
      <c r="J1917" s="8" t="s">
        <v>602</v>
      </c>
      <c r="K1917" s="463">
        <f>calcR2LOB2Clinician8Disc1Emp1OverTIme+calcR2LOB2Clinician8Disc2Emp1OverTIme+calcR2LOB2Clinician8Emp2OverTIme+calcR2LOB2Clinician8Emp3OverTIme</f>
        <v>0</v>
      </c>
      <c r="L1917" s="463">
        <f>calcR2LOB2Clinician8Disc1Emp1OverTIme+calcR2LOB2Clinician8Disc2Emp1OverTIme+calcR2LOB2Clinician8Emp2OverTIme+calcR2LOB2Clinician8Emp3OverTIme</f>
        <v>0</v>
      </c>
      <c r="M1917" s="463">
        <f>calcR2LOB2Clinician8Disc1Emp1OverTIme+calcR2LOB2Clinician8Disc2Emp1OverTIme+calcR2LOB2Clinician8Emp2OverTIme+calcR2LOB2Clinician8Emp3OverTIme</f>
        <v>0</v>
      </c>
      <c r="N1917" s="131" t="s">
        <v>7338</v>
      </c>
    </row>
    <row r="1918" spans="1:14" ht="12.75" customHeight="1">
      <c r="A1918" s="478"/>
      <c r="D1918" s="8" t="s">
        <v>603</v>
      </c>
      <c r="E1918" s="463">
        <f>calcLOB2Clinician9Disc1Emp1OverTIme+calcLOB2Clinician9Disc2Emp1OverTIme+calcLOB2Clinician9Emp2OverTIme+calcLOB2Clinician9Emp3OverTIme</f>
        <v>0</v>
      </c>
      <c r="F1918" s="463">
        <f>calcLOB2Clinician9Disc1Emp1OverTIme+calcLOB2Clinician9Disc2Emp1OverTIme+calcLOB2Clinician9Emp2OverTIme+calcLOB2Clinician9Emp3OverTIme</f>
        <v>0</v>
      </c>
      <c r="G1918" s="463">
        <f>calcLOB2Clinician9Disc1Emp1OverTIme+calcLOB2Clinician9Disc2Emp1OverTIme+calcLOB2Clinician9Emp2OverTIme+calcLOB2Clinician9Emp3OverTIme</f>
        <v>0</v>
      </c>
      <c r="H1918" s="131" t="s">
        <v>2620</v>
      </c>
      <c r="J1918" s="8" t="s">
        <v>603</v>
      </c>
      <c r="K1918" s="463">
        <f>calcR2LOB2Clinician9Disc1Emp1OverTIme+calcR2LOB2Clinician9Disc2Emp1OverTIme+calcR2LOB2Clinician9Emp2OverTIme+calcR2LOB2Clinician9Emp3OverTIme</f>
        <v>0</v>
      </c>
      <c r="L1918" s="463">
        <f>calcR2LOB2Clinician9Disc1Emp1OverTIme+calcR2LOB2Clinician9Disc2Emp1OverTIme+calcR2LOB2Clinician9Emp2OverTIme+calcR2LOB2Clinician9Emp3OverTIme</f>
        <v>0</v>
      </c>
      <c r="M1918" s="463">
        <f>calcR2LOB2Clinician9Disc1Emp1OverTIme+calcR2LOB2Clinician9Disc2Emp1OverTIme+calcR2LOB2Clinician9Emp2OverTIme+calcR2LOB2Clinician9Emp3OverTIme</f>
        <v>0</v>
      </c>
      <c r="N1918" s="131" t="s">
        <v>7339</v>
      </c>
    </row>
    <row r="1919" spans="1:14" ht="12.75" customHeight="1">
      <c r="A1919" s="478"/>
      <c r="D1919" s="8" t="s">
        <v>604</v>
      </c>
      <c r="E1919" s="463">
        <f>calcLOB2Clinician10Disc1Emp1OverTIme+calcLOB2Clinician10Disc2Emp1OverTIme+calcLOB2Clinician10Emp2OverTIme+calcLOB2Clinician10Emp3OverTIme</f>
        <v>0</v>
      </c>
      <c r="F1919" s="463">
        <f>calcLOB2Clinician10Disc1Emp1OverTIme+calcLOB2Clinician10Disc2Emp1OverTIme+calcLOB2Clinician10Emp2OverTIme+calcLOB2Clinician10Emp3OverTIme</f>
        <v>0</v>
      </c>
      <c r="G1919" s="463">
        <f>calcLOB2Clinician10Disc1Emp1OverTIme+calcLOB2Clinician10Disc2Emp1OverTIme+calcLOB2Clinician10Emp2OverTIme+calcLOB2Clinician10Emp3OverTIme</f>
        <v>0</v>
      </c>
      <c r="H1919" s="131" t="s">
        <v>2621</v>
      </c>
      <c r="J1919" s="8" t="s">
        <v>604</v>
      </c>
      <c r="K1919" s="463">
        <f>calcR2LOB2Clinician10Disc1Emp1OverTIme+calcR2LOB2Clinician10Disc2Emp1OverTIme+calcR2LOB2Clinician10Emp2OverTIme+calcR2LOB2Clinician10Emp3OverTIme</f>
        <v>0</v>
      </c>
      <c r="L1919" s="463">
        <f>calcR2LOB2Clinician10Disc1Emp1OverTIme+calcR2LOB2Clinician10Disc2Emp1OverTIme+calcR2LOB2Clinician10Emp2OverTIme+calcR2LOB2Clinician10Emp3OverTIme</f>
        <v>0</v>
      </c>
      <c r="M1919" s="463">
        <f>calcR2LOB2Clinician10Disc1Emp1OverTIme+calcR2LOB2Clinician10Disc2Emp1OverTIme+calcR2LOB2Clinician10Emp2OverTIme+calcR2LOB2Clinician10Emp3OverTIme</f>
        <v>0</v>
      </c>
      <c r="N1919" s="131" t="s">
        <v>7340</v>
      </c>
    </row>
    <row r="1920" spans="1:14" ht="12.75" customHeight="1">
      <c r="A1920" s="478"/>
      <c r="D1920" s="8" t="s">
        <v>1497</v>
      </c>
      <c r="E1920" s="463">
        <f>calcLOB2Clinician11Disc1Emp1OverTIme+calcLOB2Clinician11Disc2Emp1OverTIme+calcLOB2Clinician11Emp2OverTIme+calcLOB2Clinician11Emp3OverTIme</f>
        <v>0</v>
      </c>
      <c r="F1920" s="463">
        <f>calcLOB2Clinician11Disc1Emp1OverTIme+calcLOB2Clinician11Disc2Emp1OverTIme+calcLOB2Clinician11Emp2OverTIme+calcLOB2Clinician11Emp3OverTIme</f>
        <v>0</v>
      </c>
      <c r="G1920" s="463">
        <f>calcLOB2Clinician11Disc1Emp1OverTIme+calcLOB2Clinician11Disc2Emp1OverTIme+calcLOB2Clinician11Emp2OverTIme+calcLOB2Clinician11Emp3OverTIme</f>
        <v>0</v>
      </c>
      <c r="H1920" s="131" t="s">
        <v>2622</v>
      </c>
      <c r="J1920" s="8" t="s">
        <v>1497</v>
      </c>
      <c r="K1920" s="463">
        <f>calcR2LOB2Clinician11Disc1Emp1OverTIme+calcR2LOB2Clinician11Disc2Emp1OverTIme+calcR2LOB2Clinician11Emp2OverTIme+calcR2LOB2Clinician11Emp3OverTIme</f>
        <v>0</v>
      </c>
      <c r="L1920" s="463">
        <f>calcR2LOB2Clinician11Disc1Emp1OverTIme+calcR2LOB2Clinician11Disc2Emp1OverTIme+calcR2LOB2Clinician11Emp2OverTIme+calcR2LOB2Clinician11Emp3OverTIme</f>
        <v>0</v>
      </c>
      <c r="M1920" s="463">
        <f>calcR2LOB2Clinician11Disc1Emp1OverTIme+calcR2LOB2Clinician11Disc2Emp1OverTIme+calcR2LOB2Clinician11Emp2OverTIme+calcR2LOB2Clinician11Emp3OverTIme</f>
        <v>0</v>
      </c>
      <c r="N1920" s="131" t="s">
        <v>7341</v>
      </c>
    </row>
    <row r="1921" spans="1:14" ht="12.75" customHeight="1">
      <c r="A1921" s="478"/>
      <c r="D1921" s="8" t="s">
        <v>1498</v>
      </c>
      <c r="E1921" s="463">
        <f>calcLOB2Clinician12Disc1Emp1OverTIme+calcLOB2Clinician12Disc2Emp1OverTIme+calcLOB2Clinician12Emp2OverTIme+calcLOB2Clinician12Emp3OverTIme</f>
        <v>0</v>
      </c>
      <c r="F1921" s="463">
        <f>calcLOB2Clinician12Disc1Emp1OverTIme+calcLOB2Clinician12Disc2Emp1OverTIme+calcLOB2Clinician12Emp2OverTIme+calcLOB2Clinician12Emp3OverTIme</f>
        <v>0</v>
      </c>
      <c r="G1921" s="463">
        <f>calcLOB2Clinician12Disc1Emp1OverTIme+calcLOB2Clinician12Disc2Emp1OverTIme+calcLOB2Clinician12Emp2OverTIme+calcLOB2Clinician12Emp3OverTIme</f>
        <v>0</v>
      </c>
      <c r="H1921" s="131" t="s">
        <v>2623</v>
      </c>
      <c r="J1921" s="8" t="s">
        <v>1498</v>
      </c>
      <c r="K1921" s="463">
        <f>calcR2LOB2Clinician12Disc1Emp1OverTIme+calcR2LOB2Clinician12Disc2Emp1OverTIme+calcR2LOB2Clinician12Emp2OverTIme+calcR2LOB2Clinician12Emp3OverTIme</f>
        <v>0</v>
      </c>
      <c r="L1921" s="463">
        <f>calcR2LOB2Clinician12Disc1Emp1OverTIme+calcR2LOB2Clinician12Disc2Emp1OverTIme+calcR2LOB2Clinician12Emp2OverTIme+calcR2LOB2Clinician12Emp3OverTIme</f>
        <v>0</v>
      </c>
      <c r="M1921" s="463">
        <f>calcR2LOB2Clinician12Disc1Emp1OverTIme+calcR2LOB2Clinician12Disc2Emp1OverTIme+calcR2LOB2Clinician12Emp2OverTIme+calcR2LOB2Clinician12Emp3OverTIme</f>
        <v>0</v>
      </c>
      <c r="N1921" s="131" t="s">
        <v>7342</v>
      </c>
    </row>
    <row r="1922" spans="1:14" ht="1.5" customHeight="1">
      <c r="A1922" s="478"/>
      <c r="D1922" s="449"/>
      <c r="E1922" s="450"/>
      <c r="F1922" s="450"/>
      <c r="G1922" s="450"/>
      <c r="H1922" s="131"/>
      <c r="J1922" s="449"/>
      <c r="K1922" s="450"/>
      <c r="L1922" s="450"/>
      <c r="M1922" s="450"/>
      <c r="N1922" s="131"/>
    </row>
    <row r="1923" spans="1:14" ht="12.75" customHeight="1">
      <c r="A1923" s="478"/>
      <c r="D1923" s="131" t="s">
        <v>3355</v>
      </c>
      <c r="E1923" s="448">
        <f>SUM(E1910:E1922)</f>
        <v>0</v>
      </c>
      <c r="F1923" s="448">
        <f t="shared" ref="F1923" si="234">SUM(F1910:F1922)</f>
        <v>0</v>
      </c>
      <c r="G1923" s="448">
        <f t="shared" ref="G1923" si="235">SUM(G1910:G1922)</f>
        <v>0</v>
      </c>
      <c r="H1923" s="131" t="s">
        <v>3365</v>
      </c>
      <c r="J1923" s="131" t="s">
        <v>3355</v>
      </c>
      <c r="K1923" s="448">
        <f>SUM(K1910:K1922)</f>
        <v>0</v>
      </c>
      <c r="L1923" s="448">
        <f t="shared" ref="L1923:M1923" si="236">SUM(L1910:L1922)</f>
        <v>0</v>
      </c>
      <c r="M1923" s="448">
        <f t="shared" si="236"/>
        <v>0</v>
      </c>
      <c r="N1923" s="131" t="s">
        <v>7343</v>
      </c>
    </row>
    <row r="1924" spans="1:14" ht="12.75" customHeight="1">
      <c r="A1924" s="478"/>
      <c r="D1924" s="131" t="s">
        <v>3358</v>
      </c>
      <c r="E1924" s="451">
        <f>calcLOB2ClinicianOverTime/calcLOB2ClinicianGrossProd</f>
        <v>0</v>
      </c>
      <c r="F1924" s="451">
        <f>calcLOB2ClinicianOverTime/calcLOB2ClinicianGrossProd</f>
        <v>0</v>
      </c>
      <c r="G1924" s="451">
        <f>calcLOB2ClinicianOverTime/calcLOB2ClinicianGrossProd</f>
        <v>0</v>
      </c>
      <c r="H1924" s="131" t="s">
        <v>3366</v>
      </c>
      <c r="J1924" s="131" t="s">
        <v>3358</v>
      </c>
      <c r="K1924" s="451">
        <f>calcR2LOB2ClinicianOverTime/calcR2LOB2ClinicianGrossProd</f>
        <v>0</v>
      </c>
      <c r="L1924" s="451">
        <f>calcR2LOB2ClinicianOverTime/calcR2LOB2ClinicianGrossProd</f>
        <v>0</v>
      </c>
      <c r="M1924" s="451">
        <f>calcR2LOB2ClinicianOverTime/calcR2LOB2ClinicianGrossProd</f>
        <v>0</v>
      </c>
      <c r="N1924" s="131" t="s">
        <v>7344</v>
      </c>
    </row>
    <row r="1925" spans="1:14" ht="12.75" customHeight="1">
      <c r="A1925" s="478"/>
    </row>
    <row r="1926" spans="1:14" ht="12.75" customHeight="1">
      <c r="A1926" s="478"/>
    </row>
    <row r="1927" spans="1:14" ht="12.75" customHeight="1">
      <c r="A1927" s="478"/>
      <c r="B1927" s="87" t="s">
        <v>2631</v>
      </c>
    </row>
    <row r="1928" spans="1:14" ht="12.75" customHeight="1">
      <c r="A1928" s="478"/>
      <c r="C1928" s="87" t="str">
        <f>nmEmp1</f>
        <v>Skilled Nursing</v>
      </c>
    </row>
    <row r="1929" spans="1:14" ht="12.75" customHeight="1">
      <c r="A1929" s="478"/>
      <c r="D1929" s="170" t="str">
        <f>nmProd1 &amp; " " &amp; nmSeg1</f>
        <v>Admits Medicare</v>
      </c>
      <c r="E1929" s="448">
        <f>calcLOB2Emp1NetProduction*paramWorkWeeksPYear*cbalLOB2Seg1Perc*(1-cbalLOB2Prod2Seg1Perc)</f>
        <v>12309.406134468085</v>
      </c>
      <c r="F1929" s="448">
        <f>calcLOB2Emp1NetProduction*paramWorkWeeksPYear*cbalLOB2Seg1Perc*(1-cbalLOB2Prod2Seg1Perc)</f>
        <v>9643.4779744680854</v>
      </c>
      <c r="G1929" s="448">
        <f>calcLOB2Emp1NetProduction*paramWorkWeeksPYear*cbalLOB2Seg1Perc*(1-cbalLOB2Prod2Seg1Perc)</f>
        <v>15439.477974468084</v>
      </c>
      <c r="H1929" s="131" t="s">
        <v>2728</v>
      </c>
      <c r="J1929" s="170" t="str">
        <f>nmProd1 &amp; " " &amp; nmSeg1</f>
        <v>Admits Medicare</v>
      </c>
      <c r="K1929" s="448">
        <f>calcR2LOB2Emp1NetProduction*paramR2WorkWeeksPYear*cbalR2LOB2Seg1Perc*(1-cbalR2LOB2Prod2Seg1Perc)</f>
        <v>11853.354287597514</v>
      </c>
      <c r="L1929" s="448">
        <f>calcR2LOB2Emp1NetProduction*paramR2WorkWeeksPYear*cbalR2LOB2Seg1Perc*(1-cbalR2LOB2Prod2Seg1Perc)</f>
        <v>9643.4779744680854</v>
      </c>
      <c r="M1929" s="448">
        <f>calcR2LOB2Emp1NetProduction*paramR2WorkWeeksPYear*cbalR2LOB2Seg1Perc*(1-cbalR2LOB2Prod2Seg1Perc)</f>
        <v>15439.477974468084</v>
      </c>
      <c r="N1929" s="131" t="s">
        <v>7345</v>
      </c>
    </row>
    <row r="1930" spans="1:14" ht="12.75" customHeight="1">
      <c r="A1930" s="478"/>
      <c r="D1930" s="170" t="str">
        <f>nmProd1 &amp; " " &amp; nmSeg2</f>
        <v>Admits PPS</v>
      </c>
      <c r="E1930" s="448">
        <f>calcLOB2Emp1NetProduction*paramWorkWeeksPYear*cbalLOB2Seg2Perc*(1-cbalLOB2Prod2Seg2Perc)</f>
        <v>668.98946382978716</v>
      </c>
      <c r="F1930" s="448">
        <f>calcLOB2Emp1NetProduction*paramWorkWeeksPYear*cbalLOB2Seg2Perc*(1-cbalLOB2Prod2Seg2Perc)</f>
        <v>524.10206382978731</v>
      </c>
      <c r="G1930" s="448">
        <f>calcLOB2Emp1NetProduction*paramWorkWeeksPYear*cbalLOB2Seg2Perc*(1-cbalLOB2Prod2Seg2Perc)</f>
        <v>839.1020638297872</v>
      </c>
      <c r="H1930" s="131" t="s">
        <v>2729</v>
      </c>
      <c r="J1930" s="170" t="str">
        <f>nmProd1 &amp; " " &amp; nmSeg2</f>
        <v>Admits PPS</v>
      </c>
      <c r="K1930" s="448">
        <f>calcR2LOB2Emp1NetProduction*paramR2WorkWeeksPYear*cbalR2LOB2Seg2Perc*(1-cbalR2LOB2Prod2Seg2Perc)</f>
        <v>644.20403736943013</v>
      </c>
      <c r="L1930" s="448">
        <f>calcR2LOB2Emp1NetProduction*paramR2WorkWeeksPYear*cbalR2LOB2Seg2Perc*(1-cbalR2LOB2Prod2Seg2Perc)</f>
        <v>524.10206382978731</v>
      </c>
      <c r="M1930" s="448">
        <f>calcR2LOB2Emp1NetProduction*paramR2WorkWeeksPYear*cbalR2LOB2Seg2Perc*(1-cbalR2LOB2Prod2Seg2Perc)</f>
        <v>839.1020638297872</v>
      </c>
      <c r="N1930" s="131" t="s">
        <v>7346</v>
      </c>
    </row>
    <row r="1931" spans="1:14" ht="12.75" customHeight="1">
      <c r="A1931" s="478"/>
      <c r="D1931" s="170" t="str">
        <f>nmProd1 &amp; " " &amp; nmSeg3</f>
        <v>Admits Other</v>
      </c>
      <c r="E1931" s="448">
        <f>calcLOB2Emp1NetProduction*paramWorkWeeksPYear*cbalLOB2Seg3Perc*(1-cbalLOB2Prod2Seg3Perc)</f>
        <v>401.39367829787227</v>
      </c>
      <c r="F1931" s="448">
        <f>calcLOB2Emp1NetProduction*paramWorkWeeksPYear*cbalLOB2Seg3Perc*(1-cbalLOB2Prod2Seg3Perc)</f>
        <v>314.46123829787234</v>
      </c>
      <c r="G1931" s="448">
        <f>calcLOB2Emp1NetProduction*paramWorkWeeksPYear*cbalLOB2Seg3Perc*(1-cbalLOB2Prod2Seg3Perc)</f>
        <v>503.46123829787223</v>
      </c>
      <c r="H1931" s="131" t="s">
        <v>2730</v>
      </c>
      <c r="J1931" s="170" t="str">
        <f>nmProd1 &amp; " " &amp; nmSeg3</f>
        <v>Admits Other</v>
      </c>
      <c r="K1931" s="448">
        <f>calcR2LOB2Emp1NetProduction*paramR2WorkWeeksPYear*cbalR2LOB2Seg3Perc*(1-cbalR2LOB2Prod2Seg3Perc)</f>
        <v>386.52242242165806</v>
      </c>
      <c r="L1931" s="448">
        <f>calcR2LOB2Emp1NetProduction*paramR2WorkWeeksPYear*cbalR2LOB2Seg3Perc*(1-cbalR2LOB2Prod2Seg3Perc)</f>
        <v>314.46123829787234</v>
      </c>
      <c r="M1931" s="448">
        <f>calcR2LOB2Emp1NetProduction*paramR2WorkWeeksPYear*cbalR2LOB2Seg3Perc*(1-cbalR2LOB2Prod2Seg3Perc)</f>
        <v>503.46123829787223</v>
      </c>
      <c r="N1931" s="131" t="s">
        <v>7347</v>
      </c>
    </row>
    <row r="1932" spans="1:14" ht="12.75" customHeight="1">
      <c r="A1932" s="478"/>
      <c r="D1932" s="170" t="str">
        <f>nmProd2 &amp; " " &amp; nmSeg1</f>
        <v>Recerts Medicare</v>
      </c>
      <c r="E1932" s="448">
        <f>calcLOB2Emp1NetProduction*paramWorkWeeksPYear*cbalLOB2Seg1Perc*cbalLOB2Prod2Seg1Perc</f>
        <v>5275.4597719148942</v>
      </c>
      <c r="F1932" s="448">
        <f>calcLOB2Emp1NetProduction*paramWorkWeeksPYear*cbalLOB2Seg1Perc*cbalLOB2Prod2Seg1Perc</f>
        <v>4132.919131914894</v>
      </c>
      <c r="G1932" s="448">
        <f>calcLOB2Emp1NetProduction*paramWorkWeeksPYear*cbalLOB2Seg1Perc*cbalLOB2Prod2Seg1Perc</f>
        <v>6616.9191319148931</v>
      </c>
      <c r="H1932" s="131" t="s">
        <v>2731</v>
      </c>
      <c r="J1932" s="170" t="str">
        <f>nmProd2 &amp; " " &amp; nmSeg1</f>
        <v>Recerts Medicare</v>
      </c>
      <c r="K1932" s="448">
        <f>calcR2LOB2Emp1NetProduction*paramR2WorkWeeksPYear*cbalR2LOB2Seg1Perc*cbalR2LOB2Prod2Seg1Perc</f>
        <v>5080.0089803989349</v>
      </c>
      <c r="L1932" s="448">
        <f>calcR2LOB2Emp1NetProduction*paramR2WorkWeeksPYear*cbalR2LOB2Seg1Perc*cbalR2LOB2Prod2Seg1Perc</f>
        <v>4132.919131914894</v>
      </c>
      <c r="M1932" s="448">
        <f>calcR2LOB2Emp1NetProduction*paramR2WorkWeeksPYear*cbalR2LOB2Seg1Perc*cbalR2LOB2Prod2Seg1Perc</f>
        <v>6616.9191319148931</v>
      </c>
      <c r="N1932" s="131" t="s">
        <v>7348</v>
      </c>
    </row>
    <row r="1933" spans="1:14" ht="12.75" customHeight="1">
      <c r="A1933" s="478"/>
      <c r="D1933" s="170" t="str">
        <f>nmProd2 &amp; " " &amp; nmSeg2</f>
        <v>Recerts PPS</v>
      </c>
      <c r="E1933" s="448">
        <f>calcLOB2Emp1NetProduction*paramWorkWeeksPYear*cbalLOB2Seg2Perc*cbalLOB2Prod2Seg2Perc</f>
        <v>286.70977021276593</v>
      </c>
      <c r="F1933" s="448">
        <f>calcLOB2Emp1NetProduction*paramWorkWeeksPYear*cbalLOB2Seg2Perc*cbalLOB2Prod2Seg2Perc</f>
        <v>224.61517021276597</v>
      </c>
      <c r="G1933" s="448">
        <f>calcLOB2Emp1NetProduction*paramWorkWeeksPYear*cbalLOB2Seg2Perc*cbalLOB2Prod2Seg2Perc</f>
        <v>359.61517021276592</v>
      </c>
      <c r="H1933" s="131" t="s">
        <v>2732</v>
      </c>
      <c r="J1933" s="170" t="str">
        <f>nmProd2 &amp; " " &amp; nmSeg2</f>
        <v>Recerts PPS</v>
      </c>
      <c r="K1933" s="448">
        <f>calcR2LOB2Emp1NetProduction*paramR2WorkWeeksPYear*cbalR2LOB2Seg2Perc*cbalR2LOB2Prod2Seg2Perc</f>
        <v>276.08744458689864</v>
      </c>
      <c r="L1933" s="448">
        <f>calcR2LOB2Emp1NetProduction*paramR2WorkWeeksPYear*cbalR2LOB2Seg2Perc*cbalR2LOB2Prod2Seg2Perc</f>
        <v>224.61517021276597</v>
      </c>
      <c r="M1933" s="448">
        <f>calcR2LOB2Emp1NetProduction*paramR2WorkWeeksPYear*cbalR2LOB2Seg2Perc*cbalR2LOB2Prod2Seg2Perc</f>
        <v>359.61517021276592</v>
      </c>
      <c r="N1933" s="131" t="s">
        <v>7349</v>
      </c>
    </row>
    <row r="1934" spans="1:14" ht="12.75" customHeight="1">
      <c r="A1934" s="478"/>
      <c r="D1934" s="170" t="str">
        <f>nmProd2 &amp; " " &amp; nmSeg3</f>
        <v>Recerts Other</v>
      </c>
      <c r="E1934" s="448">
        <f>calcLOB2Emp1NetProduction*paramWorkWeeksPYear*cbalLOB2Seg3Perc*cbalLOB2Prod2Seg3Perc</f>
        <v>172.02586212765956</v>
      </c>
      <c r="F1934" s="448">
        <f>calcLOB2Emp1NetProduction*paramWorkWeeksPYear*cbalLOB2Seg3Perc*cbalLOB2Prod2Seg3Perc</f>
        <v>134.76910212765958</v>
      </c>
      <c r="G1934" s="448">
        <f>calcLOB2Emp1NetProduction*paramWorkWeeksPYear*cbalLOB2Seg3Perc*cbalLOB2Prod2Seg3Perc</f>
        <v>215.76910212765955</v>
      </c>
      <c r="H1934" s="131" t="s">
        <v>2733</v>
      </c>
      <c r="J1934" s="170" t="str">
        <f>nmProd2 &amp; " " &amp; nmSeg3</f>
        <v>Recerts Other</v>
      </c>
      <c r="K1934" s="448">
        <f>calcR2LOB2Emp1NetProduction*paramR2WorkWeeksPYear*cbalR2LOB2Seg3Perc*cbalR2LOB2Prod2Seg3Perc</f>
        <v>165.65246675213919</v>
      </c>
      <c r="L1934" s="448">
        <f>calcR2LOB2Emp1NetProduction*paramR2WorkWeeksPYear*cbalR2LOB2Seg3Perc*cbalR2LOB2Prod2Seg3Perc</f>
        <v>134.76910212765958</v>
      </c>
      <c r="M1934" s="448">
        <f>calcR2LOB2Emp1NetProduction*paramR2WorkWeeksPYear*cbalR2LOB2Seg3Perc*cbalR2LOB2Prod2Seg3Perc</f>
        <v>215.76910212765955</v>
      </c>
      <c r="N1934" s="131" t="s">
        <v>7350</v>
      </c>
    </row>
    <row r="1935" spans="1:14" ht="1.5" customHeight="1">
      <c r="A1935" s="478"/>
      <c r="D1935" s="449"/>
      <c r="E1935" s="450"/>
      <c r="F1935" s="450"/>
      <c r="G1935" s="450"/>
      <c r="H1935" s="131"/>
      <c r="J1935" s="449"/>
      <c r="K1935" s="450"/>
      <c r="L1935" s="450"/>
      <c r="M1935" s="450"/>
      <c r="N1935" s="131"/>
    </row>
    <row r="1936" spans="1:14" ht="12.75" customHeight="1">
      <c r="A1936" s="478"/>
      <c r="D1936" s="170" t="str">
        <f>"Total "&amp; nmEmp1</f>
        <v>Total Skilled Nursing</v>
      </c>
      <c r="E1936" s="448">
        <f>SUM(E1929:E1935)</f>
        <v>19113.984680851063</v>
      </c>
      <c r="F1936" s="448">
        <f t="shared" ref="F1936" si="237">SUM(F1929:F1935)</f>
        <v>14974.344680851063</v>
      </c>
      <c r="G1936" s="448">
        <f t="shared" ref="G1936" si="238">SUM(G1929:G1935)</f>
        <v>23974.34468085106</v>
      </c>
      <c r="H1936" s="131" t="s">
        <v>2734</v>
      </c>
      <c r="J1936" s="170" t="str">
        <f>"Total "&amp; nmEmp1</f>
        <v>Total Skilled Nursing</v>
      </c>
      <c r="K1936" s="448">
        <f>SUM(K1929:K1935)</f>
        <v>18405.829639126576</v>
      </c>
      <c r="L1936" s="448">
        <f t="shared" ref="L1936:M1936" si="239">SUM(L1929:L1935)</f>
        <v>14974.344680851063</v>
      </c>
      <c r="M1936" s="448">
        <f t="shared" si="239"/>
        <v>23974.34468085106</v>
      </c>
      <c r="N1936" s="131" t="s">
        <v>7351</v>
      </c>
    </row>
    <row r="1937" spans="1:14" ht="12.75" customHeight="1">
      <c r="A1937" s="478"/>
      <c r="E1937" s="448"/>
      <c r="F1937" s="448"/>
      <c r="G1937" s="448"/>
      <c r="H1937" s="131"/>
      <c r="K1937" s="448"/>
      <c r="L1937" s="448"/>
      <c r="M1937" s="448"/>
      <c r="N1937" s="131"/>
    </row>
    <row r="1938" spans="1:14" ht="12.75" customHeight="1">
      <c r="A1938" s="478"/>
      <c r="C1938" s="87" t="str">
        <f>nmEmp2</f>
        <v>Occupational Therapy</v>
      </c>
    </row>
    <row r="1939" spans="1:14" ht="12.75" customHeight="1">
      <c r="A1939" s="478"/>
      <c r="D1939" s="170" t="str">
        <f>nmProd1 &amp; " " &amp; nmSeg1</f>
        <v>Admits Medicare</v>
      </c>
      <c r="E1939" s="448">
        <f>calcLOB2Emp2NetProduction*paramWorkWeeksPYear*cbalLOB2Seg1Perc*(1-cbalLOB2Prod2Seg1Perc)</f>
        <v>1642.6733731958764</v>
      </c>
      <c r="F1939" s="448">
        <f>calcLOB2Emp2NetProduction*paramWorkWeeksPYear*cbalLOB2Seg1Perc*(1-cbalLOB2Prod2Seg1Perc)</f>
        <v>1544.2057731958764</v>
      </c>
      <c r="G1939" s="448">
        <f>calcLOB2Emp2NetProduction*paramWorkWeeksPYear*cbalLOB2Seg1Perc*(1-cbalLOB2Prod2Seg1Perc)</f>
        <v>2268.7057731958771</v>
      </c>
      <c r="H1939" s="131" t="s">
        <v>2735</v>
      </c>
      <c r="J1939" s="170" t="str">
        <f>nmProd1 &amp; " " &amp; nmSeg1</f>
        <v>Admits Medicare</v>
      </c>
      <c r="K1939" s="448">
        <f>calcR2LOB2Emp2NetProduction*paramR2WorkWeeksPYear*cbalR2LOB2Seg1Perc*(1-cbalR2LOB2Prod2Seg1Perc)</f>
        <v>1590.5105802531641</v>
      </c>
      <c r="L1939" s="448">
        <f>calcR2LOB2Emp2NetProduction*paramR2WorkWeeksPYear*cbalR2LOB2Seg1Perc*(1-cbalR2LOB2Prod2Seg1Perc)</f>
        <v>1544.2057731958764</v>
      </c>
      <c r="M1939" s="448">
        <f>calcR2LOB2Emp2NetProduction*paramR2WorkWeeksPYear*cbalR2LOB2Seg1Perc*(1-cbalR2LOB2Prod2Seg1Perc)</f>
        <v>2268.7057731958771</v>
      </c>
      <c r="N1939" s="131" t="s">
        <v>7352</v>
      </c>
    </row>
    <row r="1940" spans="1:14" ht="12.75" customHeight="1">
      <c r="A1940" s="478"/>
      <c r="D1940" s="170" t="str">
        <f>nmProd1 &amp; " " &amp; nmSeg2</f>
        <v>Admits PPS</v>
      </c>
      <c r="E1940" s="448">
        <f>calcLOB2Emp2NetProduction*paramWorkWeeksPYear*cbalLOB2Seg2Perc*(1-cbalLOB2Prod2Seg2Perc)</f>
        <v>89.275726804123707</v>
      </c>
      <c r="F1940" s="448">
        <f>calcLOB2Emp2NetProduction*paramWorkWeeksPYear*cbalLOB2Seg2Perc*(1-cbalLOB2Prod2Seg2Perc)</f>
        <v>83.924226804123705</v>
      </c>
      <c r="G1940" s="448">
        <f>calcLOB2Emp2NetProduction*paramWorkWeeksPYear*cbalLOB2Seg2Perc*(1-cbalLOB2Prod2Seg2Perc)</f>
        <v>123.29922680412373</v>
      </c>
      <c r="H1940" s="131" t="s">
        <v>2736</v>
      </c>
      <c r="J1940" s="170" t="str">
        <f>nmProd1 &amp; " " &amp; nmSeg2</f>
        <v>Admits PPS</v>
      </c>
      <c r="K1940" s="448">
        <f>calcR2LOB2Emp2NetProduction*paramR2WorkWeeksPYear*cbalR2LOB2Seg2Perc*(1-cbalR2LOB2Prod2Seg2Perc)</f>
        <v>86.440792405063263</v>
      </c>
      <c r="L1940" s="448">
        <f>calcR2LOB2Emp2NetProduction*paramR2WorkWeeksPYear*cbalR2LOB2Seg2Perc*(1-cbalR2LOB2Prod2Seg2Perc)</f>
        <v>83.924226804123705</v>
      </c>
      <c r="M1940" s="448">
        <f>calcR2LOB2Emp2NetProduction*paramR2WorkWeeksPYear*cbalR2LOB2Seg2Perc*(1-cbalR2LOB2Prod2Seg2Perc)</f>
        <v>123.29922680412373</v>
      </c>
      <c r="N1940" s="131" t="s">
        <v>7353</v>
      </c>
    </row>
    <row r="1941" spans="1:14" ht="12.75" customHeight="1">
      <c r="A1941" s="478"/>
      <c r="D1941" s="170" t="str">
        <f>nmProd1 &amp; " " &amp; nmSeg3</f>
        <v>Admits Other</v>
      </c>
      <c r="E1941" s="448">
        <f>calcLOB2Emp2NetProduction*paramWorkWeeksPYear*cbalLOB2Seg3Perc*(1-cbalLOB2Prod2Seg3Perc)</f>
        <v>53.565436082474221</v>
      </c>
      <c r="F1941" s="448">
        <f>calcLOB2Emp2NetProduction*paramWorkWeeksPYear*cbalLOB2Seg3Perc*(1-cbalLOB2Prod2Seg3Perc)</f>
        <v>50.354536082474219</v>
      </c>
      <c r="G1941" s="448">
        <f>calcLOB2Emp2NetProduction*paramWorkWeeksPYear*cbalLOB2Seg3Perc*(1-cbalLOB2Prod2Seg3Perc)</f>
        <v>73.97953608247424</v>
      </c>
      <c r="H1941" s="131" t="s">
        <v>2737</v>
      </c>
      <c r="J1941" s="170" t="str">
        <f>nmProd1 &amp; " " &amp; nmSeg3</f>
        <v>Admits Other</v>
      </c>
      <c r="K1941" s="448">
        <f>calcR2LOB2Emp2NetProduction*paramR2WorkWeeksPYear*cbalR2LOB2Seg3Perc*(1-cbalR2LOB2Prod2Seg3Perc)</f>
        <v>51.864475443037954</v>
      </c>
      <c r="L1941" s="448">
        <f>calcR2LOB2Emp2NetProduction*paramR2WorkWeeksPYear*cbalR2LOB2Seg3Perc*(1-cbalR2LOB2Prod2Seg3Perc)</f>
        <v>50.354536082474219</v>
      </c>
      <c r="M1941" s="448">
        <f>calcR2LOB2Emp2NetProduction*paramR2WorkWeeksPYear*cbalR2LOB2Seg3Perc*(1-cbalR2LOB2Prod2Seg3Perc)</f>
        <v>73.97953608247424</v>
      </c>
      <c r="N1941" s="131" t="s">
        <v>7354</v>
      </c>
    </row>
    <row r="1942" spans="1:14" ht="12.75" customHeight="1">
      <c r="A1942" s="478"/>
      <c r="D1942" s="170" t="str">
        <f>nmProd2 &amp; " " &amp; nmSeg1</f>
        <v>Recerts Medicare</v>
      </c>
      <c r="E1942" s="448">
        <f>calcLOB2Emp2NetProduction*paramWorkWeeksPYear*cbalLOB2Seg1Perc*cbalLOB2Prod2Seg1Perc</f>
        <v>704.00287422680424</v>
      </c>
      <c r="F1942" s="448">
        <f>calcLOB2Emp2NetProduction*paramWorkWeeksPYear*cbalLOB2Seg1Perc*cbalLOB2Prod2Seg1Perc</f>
        <v>661.80247422680418</v>
      </c>
      <c r="G1942" s="448">
        <f>calcLOB2Emp2NetProduction*paramWorkWeeksPYear*cbalLOB2Seg1Perc*cbalLOB2Prod2Seg1Perc</f>
        <v>972.30247422680441</v>
      </c>
      <c r="H1942" s="131" t="s">
        <v>2738</v>
      </c>
      <c r="J1942" s="170" t="str">
        <f>nmProd2 &amp; " " &amp; nmSeg1</f>
        <v>Recerts Medicare</v>
      </c>
      <c r="K1942" s="448">
        <f>calcR2LOB2Emp2NetProduction*paramR2WorkWeeksPYear*cbalR2LOB2Seg1Perc*cbalR2LOB2Prod2Seg1Perc</f>
        <v>681.64739153707035</v>
      </c>
      <c r="L1942" s="448">
        <f>calcR2LOB2Emp2NetProduction*paramR2WorkWeeksPYear*cbalR2LOB2Seg1Perc*cbalR2LOB2Prod2Seg1Perc</f>
        <v>661.80247422680418</v>
      </c>
      <c r="M1942" s="448">
        <f>calcR2LOB2Emp2NetProduction*paramR2WorkWeeksPYear*cbalR2LOB2Seg1Perc*cbalR2LOB2Prod2Seg1Perc</f>
        <v>972.30247422680441</v>
      </c>
      <c r="N1942" s="131" t="s">
        <v>7355</v>
      </c>
    </row>
    <row r="1943" spans="1:14" ht="12.75" customHeight="1">
      <c r="A1943" s="478"/>
      <c r="D1943" s="170" t="str">
        <f>nmProd2 &amp; " " &amp; nmSeg2</f>
        <v>Recerts PPS</v>
      </c>
      <c r="E1943" s="448">
        <f>calcLOB2Emp2NetProduction*paramWorkWeeksPYear*cbalLOB2Seg2Perc*cbalLOB2Prod2Seg2Perc</f>
        <v>38.261025773195875</v>
      </c>
      <c r="F1943" s="448">
        <f>calcLOB2Emp2NetProduction*paramWorkWeeksPYear*cbalLOB2Seg2Perc*cbalLOB2Prod2Seg2Perc</f>
        <v>35.967525773195874</v>
      </c>
      <c r="G1943" s="448">
        <f>calcLOB2Emp2NetProduction*paramWorkWeeksPYear*cbalLOB2Seg2Perc*cbalLOB2Prod2Seg2Perc</f>
        <v>52.842525773195888</v>
      </c>
      <c r="H1943" s="131" t="s">
        <v>2739</v>
      </c>
      <c r="J1943" s="170" t="str">
        <f>nmProd2 &amp; " " &amp; nmSeg2</f>
        <v>Recerts PPS</v>
      </c>
      <c r="K1943" s="448">
        <f>calcR2LOB2Emp2NetProduction*paramR2WorkWeeksPYear*cbalR2LOB2Seg2Perc*cbalR2LOB2Prod2Seg2Perc</f>
        <v>37.046053887884256</v>
      </c>
      <c r="L1943" s="448">
        <f>calcR2LOB2Emp2NetProduction*paramR2WorkWeeksPYear*cbalR2LOB2Seg2Perc*cbalR2LOB2Prod2Seg2Perc</f>
        <v>35.967525773195874</v>
      </c>
      <c r="M1943" s="448">
        <f>calcR2LOB2Emp2NetProduction*paramR2WorkWeeksPYear*cbalR2LOB2Seg2Perc*cbalR2LOB2Prod2Seg2Perc</f>
        <v>52.842525773195888</v>
      </c>
      <c r="N1943" s="131" t="s">
        <v>7356</v>
      </c>
    </row>
    <row r="1944" spans="1:14" ht="12.75" customHeight="1">
      <c r="A1944" s="478"/>
      <c r="D1944" s="170" t="str">
        <f>nmProd2 &amp; " " &amp; nmSeg3</f>
        <v>Recerts Other</v>
      </c>
      <c r="E1944" s="448">
        <f>calcLOB2Emp2NetProduction*paramWorkWeeksPYear*cbalLOB2Seg3Perc*cbalLOB2Prod2Seg3Perc</f>
        <v>22.956615463917526</v>
      </c>
      <c r="F1944" s="448">
        <f>calcLOB2Emp2NetProduction*paramWorkWeeksPYear*cbalLOB2Seg3Perc*cbalLOB2Prod2Seg3Perc</f>
        <v>21.580515463917525</v>
      </c>
      <c r="G1944" s="448">
        <f>calcLOB2Emp2NetProduction*paramWorkWeeksPYear*cbalLOB2Seg3Perc*cbalLOB2Prod2Seg3Perc</f>
        <v>31.705515463917532</v>
      </c>
      <c r="H1944" s="131" t="s">
        <v>2740</v>
      </c>
      <c r="J1944" s="170" t="str">
        <f>nmProd2 &amp; " " &amp; nmSeg3</f>
        <v>Recerts Other</v>
      </c>
      <c r="K1944" s="448">
        <f>calcR2LOB2Emp2NetProduction*paramR2WorkWeeksPYear*cbalR2LOB2Seg3Perc*cbalR2LOB2Prod2Seg3Perc</f>
        <v>22.227632332730554</v>
      </c>
      <c r="L1944" s="448">
        <f>calcR2LOB2Emp2NetProduction*paramR2WorkWeeksPYear*cbalR2LOB2Seg3Perc*cbalR2LOB2Prod2Seg3Perc</f>
        <v>21.580515463917525</v>
      </c>
      <c r="M1944" s="448">
        <f>calcR2LOB2Emp2NetProduction*paramR2WorkWeeksPYear*cbalR2LOB2Seg3Perc*cbalR2LOB2Prod2Seg3Perc</f>
        <v>31.705515463917532</v>
      </c>
      <c r="N1944" s="131" t="s">
        <v>7357</v>
      </c>
    </row>
    <row r="1945" spans="1:14" ht="1.5" customHeight="1">
      <c r="A1945" s="478"/>
      <c r="D1945" s="449"/>
      <c r="E1945" s="450"/>
      <c r="F1945" s="450"/>
      <c r="G1945" s="450"/>
      <c r="H1945" s="131"/>
      <c r="J1945" s="449"/>
      <c r="K1945" s="450"/>
      <c r="L1945" s="450"/>
      <c r="M1945" s="450"/>
      <c r="N1945" s="131"/>
    </row>
    <row r="1946" spans="1:14" ht="12.75" customHeight="1">
      <c r="A1946" s="478"/>
      <c r="D1946" s="170" t="str">
        <f>"Total "&amp; nmEmp2</f>
        <v>Total Occupational Therapy</v>
      </c>
      <c r="E1946" s="448">
        <f>SUM(E1939:E1945)</f>
        <v>2550.7350515463918</v>
      </c>
      <c r="F1946" s="448">
        <f t="shared" ref="F1946" si="240">SUM(F1939:F1945)</f>
        <v>2397.8350515463917</v>
      </c>
      <c r="G1946" s="448">
        <f t="shared" ref="G1946" si="241">SUM(G1939:G1945)</f>
        <v>3522.8350515463931</v>
      </c>
      <c r="H1946" s="131" t="s">
        <v>2741</v>
      </c>
      <c r="J1946" s="170" t="str">
        <f>"Total "&amp; nmEmp2</f>
        <v>Total Occupational Therapy</v>
      </c>
      <c r="K1946" s="448">
        <f>SUM(K1939:K1945)</f>
        <v>2469.7369258589506</v>
      </c>
      <c r="L1946" s="448">
        <f t="shared" ref="L1946:M1946" si="242">SUM(L1939:L1945)</f>
        <v>2397.8350515463917</v>
      </c>
      <c r="M1946" s="448">
        <f t="shared" si="242"/>
        <v>3522.8350515463931</v>
      </c>
      <c r="N1946" s="131" t="s">
        <v>7358</v>
      </c>
    </row>
    <row r="1947" spans="1:14" ht="12.75" customHeight="1">
      <c r="A1947" s="478"/>
      <c r="E1947" s="448"/>
      <c r="F1947" s="448"/>
      <c r="G1947" s="448"/>
      <c r="H1947" s="131"/>
      <c r="K1947" s="448"/>
      <c r="L1947" s="448"/>
      <c r="M1947" s="448"/>
      <c r="N1947" s="131"/>
    </row>
    <row r="1948" spans="1:14" ht="12.75" customHeight="1">
      <c r="A1948" s="478"/>
      <c r="C1948" s="87" t="str">
        <f>nmEmp3</f>
        <v>Physical Therapy</v>
      </c>
    </row>
    <row r="1949" spans="1:14" ht="12.75" customHeight="1">
      <c r="A1949" s="478"/>
      <c r="D1949" s="170" t="str">
        <f>nmProd1 &amp; " " &amp; nmSeg1</f>
        <v>Admits Medicare</v>
      </c>
      <c r="E1949" s="448">
        <f>calcLOB2Emp3NetProduction*paramWorkWeeksPYear*cbalLOB2Seg1Perc*(1-cbalLOB2Prod2Seg1Perc)</f>
        <v>5041.9532799999988</v>
      </c>
      <c r="F1949" s="448">
        <f>calcLOB2Emp3NetProduction*paramWorkWeeksPYear*cbalLOB2Seg1Perc*(1-cbalLOB2Prod2Seg1Perc)</f>
        <v>4442.3635199999999</v>
      </c>
      <c r="G1949" s="448">
        <f>calcLOB2Emp3NetProduction*paramWorkWeeksPYear*cbalLOB2Seg1Perc*(1-cbalLOB2Prod2Seg1Perc)</f>
        <v>6905.6635199999992</v>
      </c>
      <c r="H1949" s="131" t="s">
        <v>2742</v>
      </c>
      <c r="J1949" s="170" t="str">
        <f>nmProd1 &amp; " " &amp; nmSeg1</f>
        <v>Admits Medicare</v>
      </c>
      <c r="K1949" s="448">
        <f>calcR2LOB2Emp3NetProduction*paramR2WorkWeeksPYear*cbalR2LOB2Seg1Perc*(1-cbalR2LOB2Prod2Seg1Perc)</f>
        <v>4869.0708805327258</v>
      </c>
      <c r="L1949" s="448">
        <f>calcR2LOB2Emp3NetProduction*paramR2WorkWeeksPYear*cbalR2LOB2Seg1Perc*(1-cbalR2LOB2Prod2Seg1Perc)</f>
        <v>4442.3635199999999</v>
      </c>
      <c r="M1949" s="448">
        <f>calcR2LOB2Emp3NetProduction*paramR2WorkWeeksPYear*cbalR2LOB2Seg1Perc*(1-cbalR2LOB2Prod2Seg1Perc)</f>
        <v>6905.6635199999992</v>
      </c>
      <c r="N1949" s="131" t="s">
        <v>7359</v>
      </c>
    </row>
    <row r="1950" spans="1:14" ht="12.75" customHeight="1">
      <c r="A1950" s="478"/>
      <c r="D1950" s="170" t="str">
        <f>nmProd1 &amp; " " &amp; nmSeg2</f>
        <v>Admits PPS</v>
      </c>
      <c r="E1950" s="448">
        <f>calcLOB2Emp3NetProduction*paramWorkWeeksPYear*cbalLOB2Seg2Perc*(1-cbalLOB2Prod2Seg2Perc)</f>
        <v>274.01919999999996</v>
      </c>
      <c r="F1950" s="448">
        <f>calcLOB2Emp3NetProduction*paramWorkWeeksPYear*cbalLOB2Seg2Perc*(1-cbalLOB2Prod2Seg2Perc)</f>
        <v>241.43279999999999</v>
      </c>
      <c r="G1950" s="448">
        <f>calcLOB2Emp3NetProduction*paramWorkWeeksPYear*cbalLOB2Seg2Perc*(1-cbalLOB2Prod2Seg2Perc)</f>
        <v>375.30779999999999</v>
      </c>
      <c r="H1950" s="131" t="s">
        <v>2743</v>
      </c>
      <c r="J1950" s="170" t="str">
        <f>nmProd1 &amp; " " &amp; nmSeg2</f>
        <v>Admits PPS</v>
      </c>
      <c r="K1950" s="448">
        <f>calcR2LOB2Emp3NetProduction*paramR2WorkWeeksPYear*cbalR2LOB2Seg2Perc*(1-cbalR2LOB2Prod2Seg2Perc)</f>
        <v>264.62341742025683</v>
      </c>
      <c r="L1950" s="448">
        <f>calcR2LOB2Emp3NetProduction*paramR2WorkWeeksPYear*cbalR2LOB2Seg2Perc*(1-cbalR2LOB2Prod2Seg2Perc)</f>
        <v>241.43279999999999</v>
      </c>
      <c r="M1950" s="448">
        <f>calcR2LOB2Emp3NetProduction*paramR2WorkWeeksPYear*cbalR2LOB2Seg2Perc*(1-cbalR2LOB2Prod2Seg2Perc)</f>
        <v>375.30779999999999</v>
      </c>
      <c r="N1950" s="131" t="s">
        <v>7360</v>
      </c>
    </row>
    <row r="1951" spans="1:14" ht="12.75" customHeight="1">
      <c r="A1951" s="478"/>
      <c r="D1951" s="170" t="str">
        <f>nmProd1 &amp; " " &amp; nmSeg3</f>
        <v>Admits Other</v>
      </c>
      <c r="E1951" s="448">
        <f>calcLOB2Emp3NetProduction*paramWorkWeeksPYear*cbalLOB2Seg3Perc*(1-cbalLOB2Prod2Seg3Perc)</f>
        <v>164.41151999999997</v>
      </c>
      <c r="F1951" s="448">
        <f>calcLOB2Emp3NetProduction*paramWorkWeeksPYear*cbalLOB2Seg3Perc*(1-cbalLOB2Prod2Seg3Perc)</f>
        <v>144.85968</v>
      </c>
      <c r="G1951" s="448">
        <f>calcLOB2Emp3NetProduction*paramWorkWeeksPYear*cbalLOB2Seg3Perc*(1-cbalLOB2Prod2Seg3Perc)</f>
        <v>225.18467999999996</v>
      </c>
      <c r="H1951" s="131" t="s">
        <v>2744</v>
      </c>
      <c r="J1951" s="170" t="str">
        <f>nmProd1 &amp; " " &amp; nmSeg3</f>
        <v>Admits Other</v>
      </c>
      <c r="K1951" s="448">
        <f>calcR2LOB2Emp3NetProduction*paramR2WorkWeeksPYear*cbalR2LOB2Seg3Perc*(1-cbalR2LOB2Prod2Seg3Perc)</f>
        <v>158.77405045215409</v>
      </c>
      <c r="L1951" s="448">
        <f>calcR2LOB2Emp3NetProduction*paramR2WorkWeeksPYear*cbalR2LOB2Seg3Perc*(1-cbalR2LOB2Prod2Seg3Perc)</f>
        <v>144.85968</v>
      </c>
      <c r="M1951" s="448">
        <f>calcR2LOB2Emp3NetProduction*paramR2WorkWeeksPYear*cbalR2LOB2Seg3Perc*(1-cbalR2LOB2Prod2Seg3Perc)</f>
        <v>225.18467999999996</v>
      </c>
      <c r="N1951" s="131" t="s">
        <v>7361</v>
      </c>
    </row>
    <row r="1952" spans="1:14" ht="12.75" customHeight="1">
      <c r="A1952" s="478"/>
      <c r="D1952" s="170" t="str">
        <f>nmProd2 &amp; " " &amp; nmSeg1</f>
        <v>Recerts Medicare</v>
      </c>
      <c r="E1952" s="448">
        <f>calcLOB2Emp3NetProduction*paramWorkWeeksPYear*cbalLOB2Seg1Perc*cbalLOB2Prod2Seg1Perc</f>
        <v>2160.8371199999997</v>
      </c>
      <c r="F1952" s="448">
        <f>calcLOB2Emp3NetProduction*paramWorkWeeksPYear*cbalLOB2Seg1Perc*cbalLOB2Prod2Seg1Perc</f>
        <v>1903.8700800000001</v>
      </c>
      <c r="G1952" s="448">
        <f>calcLOB2Emp3NetProduction*paramWorkWeeksPYear*cbalLOB2Seg1Perc*cbalLOB2Prod2Seg1Perc</f>
        <v>2959.57008</v>
      </c>
      <c r="H1952" s="131" t="s">
        <v>2745</v>
      </c>
      <c r="J1952" s="170" t="str">
        <f>nmProd2 &amp; " " &amp; nmSeg1</f>
        <v>Recerts Medicare</v>
      </c>
      <c r="K1952" s="448">
        <f>calcR2LOB2Emp3NetProduction*paramR2WorkWeeksPYear*cbalR2LOB2Seg1Perc*cbalR2LOB2Prod2Seg1Perc</f>
        <v>2086.7446630854538</v>
      </c>
      <c r="L1952" s="448">
        <f>calcR2LOB2Emp3NetProduction*paramR2WorkWeeksPYear*cbalR2LOB2Seg1Perc*cbalR2LOB2Prod2Seg1Perc</f>
        <v>1903.8700800000001</v>
      </c>
      <c r="M1952" s="448">
        <f>calcR2LOB2Emp3NetProduction*paramR2WorkWeeksPYear*cbalR2LOB2Seg1Perc*cbalR2LOB2Prod2Seg1Perc</f>
        <v>2959.57008</v>
      </c>
      <c r="N1952" s="131" t="s">
        <v>7362</v>
      </c>
    </row>
    <row r="1953" spans="1:14" ht="12.75" customHeight="1">
      <c r="A1953" s="478"/>
      <c r="D1953" s="170" t="str">
        <f>nmProd2 &amp; " " &amp; nmSeg2</f>
        <v>Recerts PPS</v>
      </c>
      <c r="E1953" s="448">
        <f>calcLOB2Emp3NetProduction*paramWorkWeeksPYear*cbalLOB2Seg2Perc*cbalLOB2Prod2Seg2Perc</f>
        <v>117.43679999999998</v>
      </c>
      <c r="F1953" s="448">
        <f>calcLOB2Emp3NetProduction*paramWorkWeeksPYear*cbalLOB2Seg2Perc*cbalLOB2Prod2Seg2Perc</f>
        <v>103.4712</v>
      </c>
      <c r="G1953" s="448">
        <f>calcLOB2Emp3NetProduction*paramWorkWeeksPYear*cbalLOB2Seg2Perc*cbalLOB2Prod2Seg2Perc</f>
        <v>160.84619999999998</v>
      </c>
      <c r="H1953" s="131" t="s">
        <v>2746</v>
      </c>
      <c r="J1953" s="170" t="str">
        <f>nmProd2 &amp; " " &amp; nmSeg2</f>
        <v>Recerts PPS</v>
      </c>
      <c r="K1953" s="448">
        <f>calcR2LOB2Emp3NetProduction*paramR2WorkWeeksPYear*cbalR2LOB2Seg2Perc*cbalR2LOB2Prod2Seg2Perc</f>
        <v>113.41003603725294</v>
      </c>
      <c r="L1953" s="448">
        <f>calcR2LOB2Emp3NetProduction*paramR2WorkWeeksPYear*cbalR2LOB2Seg2Perc*cbalR2LOB2Prod2Seg2Perc</f>
        <v>103.4712</v>
      </c>
      <c r="M1953" s="448">
        <f>calcR2LOB2Emp3NetProduction*paramR2WorkWeeksPYear*cbalR2LOB2Seg2Perc*cbalR2LOB2Prod2Seg2Perc</f>
        <v>160.84619999999998</v>
      </c>
      <c r="N1953" s="131" t="s">
        <v>7363</v>
      </c>
    </row>
    <row r="1954" spans="1:14" ht="12.75" customHeight="1">
      <c r="A1954" s="478"/>
      <c r="D1954" s="170" t="str">
        <f>nmProd2 &amp; " " &amp; nmSeg3</f>
        <v>Recerts Other</v>
      </c>
      <c r="E1954" s="448">
        <f>calcLOB2Emp3NetProduction*paramWorkWeeksPYear*cbalLOB2Seg3Perc*cbalLOB2Prod2Seg3Perc</f>
        <v>70.462079999999986</v>
      </c>
      <c r="F1954" s="448">
        <f>calcLOB2Emp3NetProduction*paramWorkWeeksPYear*cbalLOB2Seg3Perc*cbalLOB2Prod2Seg3Perc</f>
        <v>62.082719999999995</v>
      </c>
      <c r="G1954" s="448">
        <f>calcLOB2Emp3NetProduction*paramWorkWeeksPYear*cbalLOB2Seg3Perc*cbalLOB2Prod2Seg3Perc</f>
        <v>96.507719999999992</v>
      </c>
      <c r="H1954" s="131" t="s">
        <v>2747</v>
      </c>
      <c r="J1954" s="170" t="str">
        <f>nmProd2 &amp; " " &amp; nmSeg3</f>
        <v>Recerts Other</v>
      </c>
      <c r="K1954" s="448">
        <f>calcR2LOB2Emp3NetProduction*paramR2WorkWeeksPYear*cbalR2LOB2Seg3Perc*cbalR2LOB2Prod2Seg3Perc</f>
        <v>68.046021622351745</v>
      </c>
      <c r="L1954" s="448">
        <f>calcR2LOB2Emp3NetProduction*paramR2WorkWeeksPYear*cbalR2LOB2Seg3Perc*cbalR2LOB2Prod2Seg3Perc</f>
        <v>62.082719999999995</v>
      </c>
      <c r="M1954" s="448">
        <f>calcR2LOB2Emp3NetProduction*paramR2WorkWeeksPYear*cbalR2LOB2Seg3Perc*cbalR2LOB2Prod2Seg3Perc</f>
        <v>96.507719999999992</v>
      </c>
      <c r="N1954" s="131" t="s">
        <v>7364</v>
      </c>
    </row>
    <row r="1955" spans="1:14" ht="1.5" customHeight="1">
      <c r="A1955" s="478"/>
      <c r="D1955" s="449"/>
      <c r="E1955" s="450"/>
      <c r="F1955" s="450"/>
      <c r="G1955" s="450"/>
      <c r="H1955" s="131"/>
      <c r="J1955" s="449"/>
      <c r="K1955" s="450"/>
      <c r="L1955" s="450"/>
      <c r="M1955" s="450"/>
      <c r="N1955" s="131"/>
    </row>
    <row r="1956" spans="1:14" ht="12.75" customHeight="1">
      <c r="A1956" s="478"/>
      <c r="D1956" s="170" t="str">
        <f>"Total "&amp; nmEmp3</f>
        <v>Total Physical Therapy</v>
      </c>
      <c r="E1956" s="448">
        <f>SUM(E1949:E1955)</f>
        <v>7829.119999999999</v>
      </c>
      <c r="F1956" s="448">
        <f t="shared" ref="F1956" si="243">SUM(F1949:F1955)</f>
        <v>6898.08</v>
      </c>
      <c r="G1956" s="448">
        <f t="shared" ref="G1956" si="244">SUM(G1949:G1955)</f>
        <v>10723.079999999998</v>
      </c>
      <c r="H1956" s="131" t="s">
        <v>2748</v>
      </c>
      <c r="J1956" s="170" t="str">
        <f>"Total "&amp; nmEmp3</f>
        <v>Total Physical Therapy</v>
      </c>
      <c r="K1956" s="448">
        <f>SUM(K1949:K1955)</f>
        <v>7560.6690691501963</v>
      </c>
      <c r="L1956" s="448">
        <f t="shared" ref="L1956:M1956" si="245">SUM(L1949:L1955)</f>
        <v>6898.08</v>
      </c>
      <c r="M1956" s="448">
        <f t="shared" si="245"/>
        <v>10723.079999999998</v>
      </c>
      <c r="N1956" s="131" t="s">
        <v>7365</v>
      </c>
    </row>
    <row r="1957" spans="1:14" ht="12.75" customHeight="1">
      <c r="A1957" s="478"/>
    </row>
    <row r="1958" spans="1:14" ht="12.75" customHeight="1">
      <c r="A1958" s="478"/>
      <c r="C1958" s="131" t="s">
        <v>8253</v>
      </c>
    </row>
    <row r="1959" spans="1:14" ht="12.75" customHeight="1">
      <c r="A1959" s="478"/>
      <c r="C1959" s="131" t="s">
        <v>550</v>
      </c>
      <c r="E1959" s="448">
        <f>COUNTIF(E$1199:E$1210,"&gt;0")+cbalLOB2NumProdClinician13</f>
        <v>8.2749999999999986</v>
      </c>
      <c r="F1959" s="448">
        <f>COUNTIF(F$1199:F$1210,"&gt;0")+cbalLOB2NumProdClinician13</f>
        <v>7.3333333333333339</v>
      </c>
      <c r="G1959" s="448">
        <f>COUNTIF(G$1199:G$1210,"&gt;0")+cbalLOB2NumProdClinician13</f>
        <v>10.666666666666668</v>
      </c>
      <c r="H1959" s="131" t="s">
        <v>8326</v>
      </c>
      <c r="K1959" s="448">
        <f>COUNTIF(K$1199:K$1210,"&gt;0")+cbalR2LOB2NumProdClinician13</f>
        <v>8.0430800526140089</v>
      </c>
      <c r="L1959" s="448">
        <f>COUNTIF(L$1199:L$1210,"&gt;0")+cbalR2LOB2NumProdClinician13</f>
        <v>7.3333333333333339</v>
      </c>
      <c r="M1959" s="448">
        <f>COUNTIF(M$1199:M$1210,"&gt;0")+cbalR2LOB2NumProdClinician13</f>
        <v>10.666666666666668</v>
      </c>
      <c r="N1959" s="131" t="s">
        <v>8327</v>
      </c>
    </row>
    <row r="1960" spans="1:14" ht="12.75" customHeight="1">
      <c r="A1960" s="478"/>
      <c r="C1960" s="131" t="s">
        <v>554</v>
      </c>
      <c r="E1960" s="448">
        <f>COUNTIF(E$1212:E$1223,"&gt;0")+cbalLOB2NumProdClinician14</f>
        <v>7.6999999999999993</v>
      </c>
      <c r="F1960" s="448">
        <f>COUNTIF(F$1212:F$1223,"&gt;0")+cbalLOB2NumProdClinician14</f>
        <v>5.225806451612903</v>
      </c>
      <c r="G1960" s="448">
        <f>COUNTIF(G$1212:G$1223,"&gt;0")+cbalLOB2NumProdClinician14</f>
        <v>8.4516129032258061</v>
      </c>
      <c r="H1960" s="131" t="s">
        <v>8328</v>
      </c>
      <c r="K1960" s="448">
        <f>COUNTIF(K$1212:K$1223,"&gt;0")+cbalR2LOB2NumProdClinician14</f>
        <v>7.3907734034853458</v>
      </c>
      <c r="L1960" s="448">
        <f>COUNTIF(L$1212:L$1223,"&gt;0")+cbalR2LOB2NumProdClinician14</f>
        <v>5.225806451612903</v>
      </c>
      <c r="M1960" s="448">
        <f>COUNTIF(M$1212:M$1223,"&gt;0")+cbalR2LOB2NumProdClinician14</f>
        <v>8.4516129032258061</v>
      </c>
      <c r="N1960" s="131" t="s">
        <v>8329</v>
      </c>
    </row>
    <row r="1961" spans="1:14" ht="12.75" customHeight="1">
      <c r="A1961" s="478"/>
      <c r="C1961" s="131" t="s">
        <v>627</v>
      </c>
      <c r="E1961" s="448">
        <f>calcLOB2Disc1EmpCount+calcLOB2Disc2EmpCount</f>
        <v>15.974999999999998</v>
      </c>
      <c r="F1961" s="448">
        <f>calcLOB2Disc1EmpCount+calcLOB2Disc2EmpCount</f>
        <v>12.559139784946236</v>
      </c>
      <c r="G1961" s="448">
        <f>calcLOB2Disc1EmpCount+calcLOB2Disc2EmpCount</f>
        <v>19.118279569892472</v>
      </c>
      <c r="H1961" s="131" t="s">
        <v>8334</v>
      </c>
      <c r="K1961" s="448">
        <f>calcR2LOB2Disc1EmpCount+calcR2LOB2Disc2EmpCount</f>
        <v>15.433853456099355</v>
      </c>
      <c r="L1961" s="448">
        <f>calcR2LOB2Disc1EmpCount+calcR2LOB2Disc2EmpCount</f>
        <v>12.559139784946236</v>
      </c>
      <c r="M1961" s="448">
        <f>calcR2LOB2Disc1EmpCount+calcR2LOB2Disc2EmpCount</f>
        <v>19.118279569892472</v>
      </c>
      <c r="N1961" s="131" t="s">
        <v>8335</v>
      </c>
    </row>
    <row r="1962" spans="1:14" ht="12.75" customHeight="1">
      <c r="A1962" s="478"/>
      <c r="C1962" s="131" t="s">
        <v>556</v>
      </c>
      <c r="E1962" s="448">
        <f>COUNTIF(E$1644:E$1655,"&gt;0")+cbalLOB2NumProdClinician15</f>
        <v>6.8</v>
      </c>
      <c r="F1962" s="448">
        <f>COUNTIF(F$1644:F$1655,"&gt;0")+cbalLOB2NumProdClinician15</f>
        <v>6.2142857142857144</v>
      </c>
      <c r="G1962" s="448">
        <f>COUNTIF(G$1644:G$1655,"&gt;0")+cbalLOB2NumProdClinician15</f>
        <v>9.25</v>
      </c>
      <c r="H1962" s="131" t="s">
        <v>8330</v>
      </c>
      <c r="K1962" s="448">
        <f>COUNTIF(K$1644:K$1655,"&gt;0")+cbalR2LOB2NumProdClinician15</f>
        <v>6.5938489356568972</v>
      </c>
      <c r="L1962" s="448">
        <f>COUNTIF(L$1644:L$1655,"&gt;0")+cbalR2LOB2NumProdClinician15</f>
        <v>6.2142857142857144</v>
      </c>
      <c r="M1962" s="448">
        <f>COUNTIF(M$1644:M$1655,"&gt;0")+cbalR2LOB2NumProdClinician15</f>
        <v>9.25</v>
      </c>
      <c r="N1962" s="131" t="s">
        <v>8331</v>
      </c>
    </row>
    <row r="1963" spans="1:14" ht="12.75" customHeight="1">
      <c r="A1963" s="478"/>
      <c r="C1963" s="131" t="s">
        <v>555</v>
      </c>
      <c r="E1963" s="448">
        <f>COUNTIF(E$1488:E$1499,"&gt;0")+cbalLOB2NumProdClinician16</f>
        <v>2.1875</v>
      </c>
      <c r="F1963" s="448">
        <f>COUNTIF(F$1488:F$1499,"&gt;0")+cbalLOB2NumProdClinician16</f>
        <v>2.1111111111111112</v>
      </c>
      <c r="G1963" s="448">
        <f>COUNTIF(G$1488:G$1499,"&gt;0")+cbalLOB2NumProdClinician16</f>
        <v>3.0370370370370372</v>
      </c>
      <c r="H1963" s="131" t="s">
        <v>8332</v>
      </c>
      <c r="K1963" s="448">
        <f>COUNTIF(K$1488:K$1499,"&gt;0")+cbalR2LOB2NumProdClinician16</f>
        <v>2.1230777923927806</v>
      </c>
      <c r="L1963" s="448">
        <f>COUNTIF(L$1488:L$1499,"&gt;0")+cbalR2LOB2NumProdClinician16</f>
        <v>2.1111111111111112</v>
      </c>
      <c r="M1963" s="448">
        <f>COUNTIF(M$1488:M$1499,"&gt;0")+cbalR2LOB2NumProdClinician16</f>
        <v>3.0370370370370372</v>
      </c>
      <c r="N1963" s="131" t="s">
        <v>8333</v>
      </c>
    </row>
    <row r="1964" spans="1:14" ht="12.75" customHeight="1">
      <c r="A1964" s="478"/>
    </row>
    <row r="1965" spans="1:14" ht="12.75" customHeight="1">
      <c r="A1965" s="478"/>
      <c r="C1965" s="131" t="s">
        <v>2685</v>
      </c>
    </row>
    <row r="1966" spans="1:14" ht="12.75" customHeight="1">
      <c r="A1966" s="478"/>
      <c r="D1966" s="131" t="s">
        <v>551</v>
      </c>
      <c r="E1966" s="485">
        <f>COUNTIF(cbal!E$291:E$302,calc!$D1966)+cbalLOB2AddFullTime</f>
        <v>19.25</v>
      </c>
      <c r="F1966" s="485">
        <f>COUNTIF(cbal!F$291:F$302,calc!$D1966)+cbalLOB2AddFullTime</f>
        <v>17</v>
      </c>
      <c r="G1966" s="485">
        <f>COUNTIF(cbal!G$291:G$302,calc!$D1966)+cbalLOB2AddFullTime</f>
        <v>23</v>
      </c>
      <c r="H1966" s="131" t="s">
        <v>2749</v>
      </c>
      <c r="J1966" s="131" t="s">
        <v>551</v>
      </c>
      <c r="K1966" s="485">
        <f>COUNTIF(cbal!K$291:K$302,calc!$D1966)+cbalR2LOB2AddFullTime</f>
        <v>19.25</v>
      </c>
      <c r="L1966" s="485">
        <f>COUNTIF(cbal!L$291:L$302,calc!$D1966)+cbalR2LOB2AddFullTime</f>
        <v>17</v>
      </c>
      <c r="M1966" s="485">
        <f>COUNTIF(cbal!M$291:M$302,calc!$D1966)+cbalR2LOB2AddFullTime</f>
        <v>23</v>
      </c>
      <c r="N1966" s="131" t="s">
        <v>7669</v>
      </c>
    </row>
    <row r="1967" spans="1:14" ht="12.75" customHeight="1">
      <c r="A1967" s="478"/>
      <c r="D1967" s="131" t="s">
        <v>553</v>
      </c>
      <c r="E1967" s="485">
        <f>COUNTIF(cbal!E$291:E$302,calc!$D1967)+cbalLOB2AddPartTime</f>
        <v>8.25</v>
      </c>
      <c r="F1967" s="485">
        <f>COUNTIF(cbal!F$291:F$302,calc!$D1967)+cbalLOB2AddPartTime</f>
        <v>7</v>
      </c>
      <c r="G1967" s="485">
        <f>COUNTIF(cbal!G$291:G$302,calc!$D1967)+cbalLOB2AddPartTime</f>
        <v>11</v>
      </c>
      <c r="H1967" s="131" t="s">
        <v>2750</v>
      </c>
      <c r="J1967" s="131" t="s">
        <v>553</v>
      </c>
      <c r="K1967" s="485">
        <f>COUNTIF(cbal!K$291:K$302,calc!$D1967)+cbalR2LOB2AddPartTime</f>
        <v>8.25</v>
      </c>
      <c r="L1967" s="485">
        <f>COUNTIF(cbal!L$291:L$302,calc!$D1967)+cbalR2LOB2AddPartTime</f>
        <v>7</v>
      </c>
      <c r="M1967" s="485">
        <f>COUNTIF(cbal!M$291:M$302,calc!$D1967)+cbalR2LOB2AddPartTime</f>
        <v>11</v>
      </c>
      <c r="N1967" s="131" t="s">
        <v>7670</v>
      </c>
    </row>
    <row r="1968" spans="1:14" ht="12.75" customHeight="1">
      <c r="A1968" s="478"/>
      <c r="D1968" s="131"/>
      <c r="J1968" s="131"/>
    </row>
    <row r="1969" spans="1:14" ht="12.75" customHeight="1">
      <c r="A1969" s="478"/>
      <c r="C1969" s="131" t="s">
        <v>1497</v>
      </c>
      <c r="D1969" s="131"/>
      <c r="J1969" s="131"/>
    </row>
    <row r="1970" spans="1:14" ht="12.75" customHeight="1">
      <c r="A1970" s="478"/>
      <c r="D1970" s="131" t="s">
        <v>630</v>
      </c>
      <c r="E1970" s="170">
        <f>IF(decLOB2Cln11Dis_R1="RN",11,IF(decLOB2Cln11Dis_R1="LPN", 13, IF(decLOB2Cln11Dis_R1="PT", 15,IF(decLOB2Cln11Dis_R1="OT",17,IF(decLOB2Cln11Dis_R1="PTA",23,IF(decLOB2Cln11Dis_R1="OTA",25,0))))))</f>
        <v>0</v>
      </c>
      <c r="F1970" s="170">
        <f>IF(decLOB2Cln11Dis_R1="RN",11,IF(decLOB2Cln11Dis_R1="LPN", 13, IF(decLOB2Cln11Dis_R1="PT", 15,IF(decLOB2Cln11Dis_R1="OT",17,IF(decLOB2Cln11Dis_R1="PTA",23,IF(decLOB2Cln11Dis_R1="OTA",25,0))))))</f>
        <v>0</v>
      </c>
      <c r="G1970" s="170">
        <f>IF(decLOB2Cln11Dis_R1="RN",11,IF(decLOB2Cln11Dis_R1="LPN", 13, IF(decLOB2Cln11Dis_R1="PT", 15,IF(decLOB2Cln11Dis_R1="OT",17,IF(decLOB2Cln11Dis_R1="PTA",23,IF(decLOB2Cln11Dis_R1="OTA",25,0))))))</f>
        <v>0</v>
      </c>
      <c r="J1970" s="131" t="s">
        <v>630</v>
      </c>
      <c r="K1970" s="170">
        <f>IF(decLOB2Cln11Dis_R2="RN",11,IF(decLOB2Cln11Dis_R2="LPN", 13, IF(decLOB2Cln11Dis_R2="PT", 15,IF(decLOB2Cln11Dis_R2="OT",17,IF(decLOB2Cln11Dis_R2="PTA",23,IF(decLOB2Cln11Dis_R2="OTA",25,0))))))</f>
        <v>0</v>
      </c>
      <c r="L1970" s="170">
        <f>IF(decLOB2Cln11Dis_R2="RN",11,IF(decLOB2Cln11Dis_R2="LPN", 13, IF(decLOB2Cln11Dis_R2="PT", 15,IF(decLOB2Cln11Dis_R2="OT",17,IF(decLOB2Cln11Dis_R2="PTA",23,IF(decLOB2Cln11Dis_R2="OTA",25,0))))))</f>
        <v>0</v>
      </c>
      <c r="M1970" s="170">
        <f>IF(decLOB2Cln11Dis_R2="RN",11,IF(decLOB2Cln11Dis_R2="LPN", 13, IF(decLOB2Cln11Dis_R2="PT", 15,IF(decLOB2Cln11Dis_R2="OT",17,IF(decLOB2Cln11Dis_R2="PTA",23,IF(decLOB2Cln11Dis_R2="OTA",25,0))))))</f>
        <v>0</v>
      </c>
    </row>
    <row r="1971" spans="1:14" ht="12.75" customHeight="1">
      <c r="A1971" s="478"/>
      <c r="D1971" s="131" t="s">
        <v>2865</v>
      </c>
      <c r="E1971" s="170">
        <f>IF(decLOB2Cln11Status_R1="Part-Time",1,0)</f>
        <v>0</v>
      </c>
      <c r="F1971" s="170">
        <f>IF(decLOB2Cln11Status_R1="Part-Time",1,0)</f>
        <v>0</v>
      </c>
      <c r="G1971" s="170">
        <f>IF(decLOB2Cln11Status_R1="Part-Time",1,0)</f>
        <v>0</v>
      </c>
      <c r="J1971" s="131" t="s">
        <v>2865</v>
      </c>
      <c r="K1971" s="170">
        <f>IF(decLOB2Cln11Status_R2="Part-Time",1,0)</f>
        <v>0</v>
      </c>
      <c r="L1971" s="170">
        <f>IF(decLOB2Cln11Status_R2="Part-Time",1,0)</f>
        <v>0</v>
      </c>
      <c r="M1971" s="170">
        <f>IF(decLOB2Cln11Status_R2="Part-Time",1,0)</f>
        <v>0</v>
      </c>
    </row>
    <row r="1972" spans="1:14" ht="1.5" customHeight="1">
      <c r="A1972" s="478"/>
      <c r="D1972" s="449"/>
      <c r="E1972" s="450"/>
      <c r="F1972" s="450"/>
      <c r="G1972" s="450"/>
      <c r="H1972" s="131"/>
      <c r="J1972" s="449"/>
      <c r="K1972" s="450"/>
      <c r="L1972" s="450"/>
      <c r="M1972" s="450"/>
      <c r="N1972" s="131"/>
    </row>
    <row r="1973" spans="1:14" ht="12.75" customHeight="1">
      <c r="A1973" s="478"/>
      <c r="D1973" s="131" t="s">
        <v>2866</v>
      </c>
      <c r="E1973" s="170">
        <f>SUM(E1970:E1972)</f>
        <v>0</v>
      </c>
      <c r="F1973" s="170">
        <f t="shared" ref="F1973" si="246">SUM(F1970:F1972)</f>
        <v>0</v>
      </c>
      <c r="G1973" s="170">
        <f t="shared" ref="G1973" si="247">SUM(G1970:G1972)</f>
        <v>0</v>
      </c>
      <c r="H1973" s="131" t="s">
        <v>2919</v>
      </c>
      <c r="J1973" s="131" t="s">
        <v>2866</v>
      </c>
      <c r="K1973" s="170">
        <f>SUM(K1970:K1972)</f>
        <v>0</v>
      </c>
      <c r="L1973" s="170">
        <f t="shared" ref="L1973:M1973" si="248">SUM(L1970:L1972)</f>
        <v>0</v>
      </c>
      <c r="M1973" s="170">
        <f t="shared" si="248"/>
        <v>0</v>
      </c>
      <c r="N1973" s="131" t="s">
        <v>7366</v>
      </c>
    </row>
    <row r="1974" spans="1:14" ht="12.75" customHeight="1">
      <c r="A1974" s="478"/>
      <c r="D1974" s="131"/>
      <c r="J1974" s="131"/>
    </row>
    <row r="1975" spans="1:14" ht="12.75" customHeight="1">
      <c r="A1975" s="478"/>
      <c r="D1975" s="131" t="s">
        <v>1498</v>
      </c>
      <c r="J1975" s="131" t="s">
        <v>1498</v>
      </c>
    </row>
    <row r="1976" spans="1:14" ht="12.75" customHeight="1">
      <c r="A1976" s="478"/>
      <c r="D1976" s="131" t="s">
        <v>630</v>
      </c>
      <c r="E1976" s="170">
        <f>IF(decLOB2Cln12Dis_R1="RN",11,IF(decLOB2Cln12Dis_R1="LPN", 13, IF(decLOB2Cln12Dis_R1="PT", 15,IF(decLOB2Cln12Dis_R1="OT",17,IF(decLOB2Cln12Dis_R1="PTA",23,IF(decLOB2Cln12Dis_R1="OTA",25,0))))))</f>
        <v>0</v>
      </c>
      <c r="F1976" s="170">
        <f>IF(decLOB2Cln12Dis_R1="RN",11,IF(decLOB2Cln12Dis_R1="LPN", 13, IF(decLOB2Cln12Dis_R1="PT", 15,IF(decLOB2Cln12Dis_R1="OT",17,IF(decLOB2Cln12Dis_R1="PTA",23,IF(decLOB2Cln12Dis_R1="OTA",25,0))))))</f>
        <v>0</v>
      </c>
      <c r="G1976" s="170">
        <f>IF(decLOB2Cln12Dis_R1="RN",11,IF(decLOB2Cln12Dis_R1="LPN", 13, IF(decLOB2Cln12Dis_R1="PT", 15,IF(decLOB2Cln12Dis_R1="OT",17,IF(decLOB2Cln12Dis_R1="PTA",23,IF(decLOB2Cln12Dis_R1="OTA",25,0))))))</f>
        <v>0</v>
      </c>
      <c r="J1976" s="131" t="s">
        <v>630</v>
      </c>
      <c r="K1976" s="170">
        <f>IF(decLOB2Cln12Dis_R2="RN",11,IF(decLOB2Cln12Dis_R2="LPN", 13, IF(decLOB2Cln12Dis_R2="PT", 15,IF(decLOB2Cln12Dis_R2="OT",17,IF(decLOB2Cln12Dis_R2="PTA",23,IF(decLOB2Cln12Dis_R2="OTA",25,0))))))</f>
        <v>0</v>
      </c>
      <c r="L1976" s="170">
        <f>IF(decLOB2Cln12Dis_R2="RN",11,IF(decLOB2Cln12Dis_R2="LPN", 13, IF(decLOB2Cln12Dis_R2="PT", 15,IF(decLOB2Cln12Dis_R2="OT",17,IF(decLOB2Cln12Dis_R2="PTA",23,IF(decLOB2Cln12Dis_R2="OTA",25,0))))))</f>
        <v>0</v>
      </c>
      <c r="M1976" s="170">
        <f>IF(decLOB2Cln12Dis_R2="RN",11,IF(decLOB2Cln12Dis_R2="LPN", 13, IF(decLOB2Cln12Dis_R2="PT", 15,IF(decLOB2Cln12Dis_R2="OT",17,IF(decLOB2Cln12Dis_R2="PTA",23,IF(decLOB2Cln12Dis_R2="OTA",25,0))))))</f>
        <v>0</v>
      </c>
    </row>
    <row r="1977" spans="1:14" ht="12.75" customHeight="1">
      <c r="A1977" s="478"/>
      <c r="D1977" s="131" t="s">
        <v>2865</v>
      </c>
      <c r="E1977" s="170">
        <f>IF(decLOB2Cln12Status_R1="Part-Time",1,0)</f>
        <v>0</v>
      </c>
      <c r="F1977" s="170">
        <f>IF(decLOB2Cln12Status_R1="Part-Time",1,0)</f>
        <v>0</v>
      </c>
      <c r="G1977" s="170">
        <f>IF(decLOB2Cln12Status_R1="Part-Time",1,0)</f>
        <v>0</v>
      </c>
      <c r="J1977" s="131" t="s">
        <v>2865</v>
      </c>
      <c r="K1977" s="170">
        <f>IF(decLOB2Cln12Status_R2="Part-Time",1,0)</f>
        <v>0</v>
      </c>
      <c r="L1977" s="170">
        <f>IF(decLOB2Cln12Status_R2="Part-Time",1,0)</f>
        <v>0</v>
      </c>
      <c r="M1977" s="170">
        <f>IF(decLOB2Cln12Status_R2="Part-Time",1,0)</f>
        <v>0</v>
      </c>
    </row>
    <row r="1978" spans="1:14" ht="1.5" customHeight="1">
      <c r="A1978" s="478"/>
      <c r="D1978" s="449"/>
      <c r="E1978" s="450"/>
      <c r="F1978" s="450"/>
      <c r="G1978" s="450"/>
      <c r="H1978" s="131"/>
      <c r="J1978" s="449"/>
      <c r="K1978" s="450"/>
      <c r="L1978" s="450"/>
      <c r="M1978" s="450"/>
      <c r="N1978" s="131"/>
    </row>
    <row r="1979" spans="1:14" ht="12.75" customHeight="1">
      <c r="A1979" s="478"/>
      <c r="D1979" s="131" t="s">
        <v>2866</v>
      </c>
      <c r="E1979" s="170">
        <f>SUM(E1976:E1978)</f>
        <v>0</v>
      </c>
      <c r="F1979" s="170">
        <f t="shared" ref="F1979" si="249">SUM(F1976:F1978)</f>
        <v>0</v>
      </c>
      <c r="G1979" s="170">
        <f t="shared" ref="G1979" si="250">SUM(G1976:G1978)</f>
        <v>0</v>
      </c>
      <c r="H1979" s="131" t="s">
        <v>2920</v>
      </c>
      <c r="J1979" s="131" t="s">
        <v>2866</v>
      </c>
      <c r="K1979" s="170">
        <f>SUM(K1976:K1978)</f>
        <v>0</v>
      </c>
      <c r="L1979" s="170">
        <f t="shared" ref="L1979:M1979" si="251">SUM(L1976:L1978)</f>
        <v>0</v>
      </c>
      <c r="M1979" s="170">
        <f t="shared" si="251"/>
        <v>0</v>
      </c>
      <c r="N1979" s="131" t="s">
        <v>7367</v>
      </c>
    </row>
    <row r="1980" spans="1:14" ht="12.75" customHeight="1">
      <c r="A1980" s="478"/>
    </row>
    <row r="1981" spans="1:14" ht="12.75" customHeight="1">
      <c r="A1981" s="478"/>
      <c r="C1981" s="87" t="s">
        <v>2969</v>
      </c>
    </row>
    <row r="1982" spans="1:14" ht="12.75" customHeight="1">
      <c r="A1982" s="478"/>
      <c r="C1982" s="504">
        <v>0.8</v>
      </c>
      <c r="D1982" s="131" t="s">
        <v>561</v>
      </c>
      <c r="E1982" s="504">
        <f>$C1982</f>
        <v>0.8</v>
      </c>
      <c r="F1982" s="686">
        <v>0.9</v>
      </c>
      <c r="G1982" s="686">
        <v>0.95</v>
      </c>
      <c r="H1982" s="170" t="s">
        <v>2947</v>
      </c>
      <c r="J1982" s="131" t="s">
        <v>561</v>
      </c>
      <c r="K1982" s="758">
        <f>$C$931-($C1982*K2027)/10</f>
        <v>0.748</v>
      </c>
      <c r="L1982" s="686">
        <v>0.9</v>
      </c>
      <c r="M1982" s="686">
        <v>0.95</v>
      </c>
      <c r="N1982" s="170" t="s">
        <v>7368</v>
      </c>
    </row>
    <row r="1983" spans="1:14" ht="12.75" customHeight="1">
      <c r="A1983" s="478"/>
      <c r="C1983" s="480">
        <v>0</v>
      </c>
      <c r="D1983" s="131" t="s">
        <v>562</v>
      </c>
      <c r="E1983" s="504">
        <f t="shared" ref="E1983:G1987" si="252">$C1983</f>
        <v>0</v>
      </c>
      <c r="F1983" s="504">
        <f t="shared" si="252"/>
        <v>0</v>
      </c>
      <c r="G1983" s="504">
        <f t="shared" si="252"/>
        <v>0</v>
      </c>
      <c r="H1983" s="170" t="s">
        <v>2948</v>
      </c>
      <c r="J1983" s="131" t="s">
        <v>562</v>
      </c>
      <c r="K1983" s="504">
        <f t="shared" ref="K1983:M1987" si="253">$C1983</f>
        <v>0</v>
      </c>
      <c r="L1983" s="504">
        <f t="shared" si="253"/>
        <v>0</v>
      </c>
      <c r="M1983" s="504">
        <f t="shared" si="253"/>
        <v>0</v>
      </c>
      <c r="N1983" s="170" t="s">
        <v>7369</v>
      </c>
    </row>
    <row r="1984" spans="1:14" ht="12.75" customHeight="1">
      <c r="A1984" s="478"/>
      <c r="C1984" s="480">
        <v>0</v>
      </c>
      <c r="D1984" s="131" t="s">
        <v>563</v>
      </c>
      <c r="E1984" s="504">
        <f t="shared" si="252"/>
        <v>0</v>
      </c>
      <c r="F1984" s="504">
        <f t="shared" si="252"/>
        <v>0</v>
      </c>
      <c r="G1984" s="504">
        <f t="shared" si="252"/>
        <v>0</v>
      </c>
      <c r="H1984" s="170" t="s">
        <v>2949</v>
      </c>
      <c r="J1984" s="131" t="s">
        <v>563</v>
      </c>
      <c r="K1984" s="504">
        <f t="shared" si="253"/>
        <v>0</v>
      </c>
      <c r="L1984" s="504">
        <f t="shared" si="253"/>
        <v>0</v>
      </c>
      <c r="M1984" s="504">
        <f t="shared" si="253"/>
        <v>0</v>
      </c>
      <c r="N1984" s="170" t="s">
        <v>7370</v>
      </c>
    </row>
    <row r="1985" spans="1:14" ht="12.75" customHeight="1">
      <c r="A1985" s="478"/>
      <c r="C1985" s="480">
        <v>0</v>
      </c>
      <c r="D1985" s="131" t="s">
        <v>564</v>
      </c>
      <c r="E1985" s="504">
        <f t="shared" si="252"/>
        <v>0</v>
      </c>
      <c r="F1985" s="504">
        <f t="shared" si="252"/>
        <v>0</v>
      </c>
      <c r="G1985" s="504">
        <f t="shared" si="252"/>
        <v>0</v>
      </c>
      <c r="H1985" s="170" t="s">
        <v>2950</v>
      </c>
      <c r="J1985" s="131" t="s">
        <v>564</v>
      </c>
      <c r="K1985" s="504">
        <f t="shared" si="253"/>
        <v>0</v>
      </c>
      <c r="L1985" s="504">
        <f t="shared" si="253"/>
        <v>0</v>
      </c>
      <c r="M1985" s="504">
        <f t="shared" si="253"/>
        <v>0</v>
      </c>
      <c r="N1985" s="170" t="s">
        <v>7371</v>
      </c>
    </row>
    <row r="1986" spans="1:14" ht="12.75" customHeight="1">
      <c r="A1986" s="478"/>
      <c r="C1986" s="480">
        <v>0</v>
      </c>
      <c r="D1986" s="131" t="s">
        <v>565</v>
      </c>
      <c r="E1986" s="504">
        <f t="shared" si="252"/>
        <v>0</v>
      </c>
      <c r="F1986" s="504">
        <f t="shared" si="252"/>
        <v>0</v>
      </c>
      <c r="G1986" s="504">
        <f t="shared" si="252"/>
        <v>0</v>
      </c>
      <c r="H1986" s="170" t="s">
        <v>2951</v>
      </c>
      <c r="J1986" s="131" t="s">
        <v>565</v>
      </c>
      <c r="K1986" s="504">
        <f t="shared" si="253"/>
        <v>0</v>
      </c>
      <c r="L1986" s="504">
        <f t="shared" si="253"/>
        <v>0</v>
      </c>
      <c r="M1986" s="504">
        <f t="shared" si="253"/>
        <v>0</v>
      </c>
      <c r="N1986" s="170" t="s">
        <v>7372</v>
      </c>
    </row>
    <row r="1987" spans="1:14" ht="12.75" customHeight="1">
      <c r="A1987" s="478"/>
      <c r="C1987" s="480">
        <v>0</v>
      </c>
      <c r="D1987" s="131" t="s">
        <v>566</v>
      </c>
      <c r="E1987" s="504">
        <f t="shared" si="252"/>
        <v>0</v>
      </c>
      <c r="F1987" s="504">
        <f t="shared" si="252"/>
        <v>0</v>
      </c>
      <c r="G1987" s="504">
        <f t="shared" si="252"/>
        <v>0</v>
      </c>
      <c r="H1987" s="170" t="s">
        <v>2952</v>
      </c>
      <c r="J1987" s="131" t="s">
        <v>566</v>
      </c>
      <c r="K1987" s="504">
        <f t="shared" si="253"/>
        <v>0</v>
      </c>
      <c r="L1987" s="504">
        <f t="shared" si="253"/>
        <v>0</v>
      </c>
      <c r="M1987" s="504">
        <f t="shared" si="253"/>
        <v>0</v>
      </c>
      <c r="N1987" s="170" t="s">
        <v>7373</v>
      </c>
    </row>
    <row r="1988" spans="1:14" ht="1.5" customHeight="1">
      <c r="A1988" s="478"/>
      <c r="D1988" s="449"/>
      <c r="E1988" s="450"/>
      <c r="F1988" s="450"/>
      <c r="G1988" s="450"/>
      <c r="H1988" s="131"/>
      <c r="J1988" s="449"/>
      <c r="K1988" s="450"/>
      <c r="L1988" s="450"/>
      <c r="M1988" s="450"/>
      <c r="N1988" s="131"/>
    </row>
    <row r="1989" spans="1:14" ht="12.75" customHeight="1">
      <c r="A1989" s="478"/>
      <c r="D1989" s="131" t="s">
        <v>13</v>
      </c>
      <c r="E1989" s="504">
        <f>SUM(E1982:E1988)</f>
        <v>0.8</v>
      </c>
      <c r="F1989" s="504">
        <f t="shared" ref="F1989" si="254">SUM(F1982:F1988)</f>
        <v>0.9</v>
      </c>
      <c r="G1989" s="504">
        <f t="shared" ref="G1989" si="255">SUM(G1982:G1988)</f>
        <v>0.95</v>
      </c>
      <c r="H1989" s="131" t="s">
        <v>2953</v>
      </c>
      <c r="J1989" s="131" t="s">
        <v>13</v>
      </c>
      <c r="K1989" s="504">
        <f>SUM(K1982:K1988)</f>
        <v>0.748</v>
      </c>
      <c r="L1989" s="504">
        <f t="shared" ref="L1989:M1989" si="256">SUM(L1982:L1988)</f>
        <v>0.9</v>
      </c>
      <c r="M1989" s="504">
        <f t="shared" si="256"/>
        <v>0.95</v>
      </c>
      <c r="N1989" s="131" t="s">
        <v>7374</v>
      </c>
    </row>
    <row r="1990" spans="1:14" ht="12.75" customHeight="1">
      <c r="A1990" s="478"/>
    </row>
    <row r="1991" spans="1:14" ht="12.75" customHeight="1">
      <c r="A1991" s="478"/>
      <c r="C1991" s="87" t="s">
        <v>2968</v>
      </c>
    </row>
    <row r="1992" spans="1:14" ht="12.75" customHeight="1">
      <c r="A1992" s="478"/>
      <c r="C1992" s="504">
        <v>0.7</v>
      </c>
      <c r="D1992" s="131" t="s">
        <v>561</v>
      </c>
      <c r="E1992" s="504">
        <f>calcLOB2DOOBaseTime1*paramLOB2DOOProductivity</f>
        <v>0.8</v>
      </c>
      <c r="F1992" s="504">
        <f>calcLOB2DOOBaseTime1*paramLOB2DOOProductivity</f>
        <v>0.9</v>
      </c>
      <c r="G1992" s="504">
        <f>calcLOB2DOOBaseTime1*paramLOB2DOOProductivity</f>
        <v>0.95</v>
      </c>
      <c r="H1992" s="170" t="s">
        <v>3322</v>
      </c>
      <c r="J1992" s="131" t="s">
        <v>561</v>
      </c>
      <c r="K1992" s="504">
        <f>calcR2LOB2DOOBaseTime1*paramR2LOB2DOOProductivity</f>
        <v>0.748</v>
      </c>
      <c r="L1992" s="504">
        <f>calcR2LOB2DOOBaseTime1*paramR2LOB2DOOProductivity</f>
        <v>0.9</v>
      </c>
      <c r="M1992" s="504">
        <f>calcR2LOB2DOOBaseTime1*paramR2LOB2DOOProductivity</f>
        <v>0.95</v>
      </c>
      <c r="N1992" s="170" t="s">
        <v>7375</v>
      </c>
    </row>
    <row r="1993" spans="1:14" ht="12.75" customHeight="1">
      <c r="A1993" s="478"/>
      <c r="C1993" s="480">
        <v>0.05</v>
      </c>
      <c r="D1993" s="131" t="s">
        <v>562</v>
      </c>
      <c r="E1993" s="504">
        <f>calcLOB2DOOBaseTime2+(paramLOB2DOOTime2-1)</f>
        <v>0</v>
      </c>
      <c r="F1993" s="504">
        <f>calcLOB2DOOBaseTime2+(paramLOB2DOOTime2-1)</f>
        <v>0</v>
      </c>
      <c r="G1993" s="504">
        <f>calcLOB2DOOBaseTime2+(paramLOB2DOOTime2-1)</f>
        <v>0</v>
      </c>
      <c r="H1993" s="170" t="s">
        <v>3323</v>
      </c>
      <c r="J1993" s="131" t="s">
        <v>562</v>
      </c>
      <c r="K1993" s="504">
        <f>calcR2LOB2DOOBaseTime2+(paramR2LOB2DOOTime2-1)</f>
        <v>0</v>
      </c>
      <c r="L1993" s="504">
        <f>calcR2LOB2DOOBaseTime2+(paramR2LOB2DOOTime2-1)</f>
        <v>0</v>
      </c>
      <c r="M1993" s="504">
        <f>calcR2LOB2DOOBaseTime2+(paramR2LOB2DOOTime2-1)</f>
        <v>0</v>
      </c>
      <c r="N1993" s="170" t="s">
        <v>7376</v>
      </c>
    </row>
    <row r="1994" spans="1:14" ht="12.75" customHeight="1">
      <c r="A1994" s="478"/>
      <c r="C1994" s="480">
        <v>0.05</v>
      </c>
      <c r="D1994" s="131" t="s">
        <v>563</v>
      </c>
      <c r="E1994" s="504">
        <f>calcLOB2DOOBaseTime2+(paramLOB2DOOTime3-1)</f>
        <v>0</v>
      </c>
      <c r="F1994" s="504">
        <f>calcLOB2DOOBaseTime2+(paramLOB2DOOTime3-1)</f>
        <v>0</v>
      </c>
      <c r="G1994" s="504">
        <f>calcLOB2DOOBaseTime2+(paramLOB2DOOTime3-1)</f>
        <v>0</v>
      </c>
      <c r="H1994" s="170" t="s">
        <v>3324</v>
      </c>
      <c r="J1994" s="131" t="s">
        <v>563</v>
      </c>
      <c r="K1994" s="504">
        <f>calcR2LOB2DOOBaseTime2+(paramR2LOB2DOOTime3-1)</f>
        <v>0</v>
      </c>
      <c r="L1994" s="504">
        <f>calcR2LOB2DOOBaseTime2+(paramR2LOB2DOOTime3-1)</f>
        <v>0</v>
      </c>
      <c r="M1994" s="504">
        <f>calcR2LOB2DOOBaseTime2+(paramR2LOB2DOOTime3-1)</f>
        <v>0</v>
      </c>
      <c r="N1994" s="170" t="s">
        <v>7377</v>
      </c>
    </row>
    <row r="1995" spans="1:14" ht="12.75" customHeight="1">
      <c r="A1995" s="478"/>
      <c r="C1995" s="480">
        <v>0.05</v>
      </c>
      <c r="D1995" s="131" t="s">
        <v>564</v>
      </c>
      <c r="E1995" s="504">
        <f>calcLOB2DOOBaseTime2+(paramLOB2DOOTime4-1)</f>
        <v>0</v>
      </c>
      <c r="F1995" s="504">
        <f>calcLOB2DOOBaseTime2+(paramLOB2DOOTime4-1)</f>
        <v>0</v>
      </c>
      <c r="G1995" s="504">
        <f>calcLOB2DOOBaseTime2+(paramLOB2DOOTime4-1)</f>
        <v>0</v>
      </c>
      <c r="H1995" s="170" t="s">
        <v>3325</v>
      </c>
      <c r="J1995" s="131" t="s">
        <v>564</v>
      </c>
      <c r="K1995" s="504">
        <f>calcR2LOB2DOOBaseTime2+(paramR2LOB2DOOTime4-1)</f>
        <v>0</v>
      </c>
      <c r="L1995" s="504">
        <f>calcR2LOB2DOOBaseTime2+(paramR2LOB2DOOTime4-1)</f>
        <v>0</v>
      </c>
      <c r="M1995" s="504">
        <f>calcR2LOB2DOOBaseTime2+(paramR2LOB2DOOTime4-1)</f>
        <v>0</v>
      </c>
      <c r="N1995" s="170" t="s">
        <v>7378</v>
      </c>
    </row>
    <row r="1996" spans="1:14" ht="12.75" customHeight="1">
      <c r="A1996" s="478"/>
      <c r="C1996" s="480">
        <v>0.05</v>
      </c>
      <c r="D1996" s="131" t="s">
        <v>565</v>
      </c>
      <c r="E1996" s="504">
        <f>calcLOB2DOOBaseTime2+(paramLOB2DOOTime5-1)</f>
        <v>0</v>
      </c>
      <c r="F1996" s="504">
        <f>calcLOB2DOOBaseTime2+(paramLOB2DOOTime5-1)</f>
        <v>0</v>
      </c>
      <c r="G1996" s="504">
        <f>calcLOB2DOOBaseTime2+(paramLOB2DOOTime5-1)</f>
        <v>0</v>
      </c>
      <c r="H1996" s="170" t="s">
        <v>3326</v>
      </c>
      <c r="J1996" s="131" t="s">
        <v>565</v>
      </c>
      <c r="K1996" s="504">
        <f>calcR2LOB2DOOBaseTime2+(paramR2LOB2DOOTime5-1)</f>
        <v>0</v>
      </c>
      <c r="L1996" s="504">
        <f>calcR2LOB2DOOBaseTime2+(paramR2LOB2DOOTime5-1)</f>
        <v>0</v>
      </c>
      <c r="M1996" s="504">
        <f>calcR2LOB2DOOBaseTime2+(paramR2LOB2DOOTime5-1)</f>
        <v>0</v>
      </c>
      <c r="N1996" s="170" t="s">
        <v>7379</v>
      </c>
    </row>
    <row r="1997" spans="1:14" ht="12.75" customHeight="1">
      <c r="A1997" s="478"/>
      <c r="C1997" s="480">
        <v>0.05</v>
      </c>
      <c r="D1997" s="131" t="s">
        <v>566</v>
      </c>
      <c r="E1997" s="504">
        <f>calcLOB2DOOBaseTime2+(paramLOB2DOOTime6-1)</f>
        <v>0</v>
      </c>
      <c r="F1997" s="504">
        <f>calcLOB2DOOBaseTime2+(paramLOB2DOOTime6-1)</f>
        <v>0</v>
      </c>
      <c r="G1997" s="504">
        <f>calcLOB2DOOBaseTime2+(paramLOB2DOOTime6-1)</f>
        <v>0</v>
      </c>
      <c r="H1997" s="170" t="s">
        <v>3327</v>
      </c>
      <c r="J1997" s="131" t="s">
        <v>566</v>
      </c>
      <c r="K1997" s="504">
        <f>calcR2LOB2DOOBaseTime2+(paramR2LOB2DOOTime6-1)</f>
        <v>0</v>
      </c>
      <c r="L1997" s="504">
        <f>calcR2LOB2DOOBaseTime2+(paramR2LOB2DOOTime6-1)</f>
        <v>0</v>
      </c>
      <c r="M1997" s="504">
        <f>calcR2LOB2DOOBaseTime2+(paramR2LOB2DOOTime6-1)</f>
        <v>0</v>
      </c>
      <c r="N1997" s="170" t="s">
        <v>7380</v>
      </c>
    </row>
    <row r="1998" spans="1:14" ht="1.5" customHeight="1">
      <c r="A1998" s="478"/>
      <c r="D1998" s="449"/>
      <c r="E1998" s="450"/>
      <c r="F1998" s="450"/>
      <c r="G1998" s="450"/>
      <c r="H1998" s="131"/>
      <c r="J1998" s="449"/>
      <c r="K1998" s="450"/>
      <c r="L1998" s="450"/>
      <c r="M1998" s="450"/>
      <c r="N1998" s="131"/>
    </row>
    <row r="1999" spans="1:14" ht="12.75" customHeight="1">
      <c r="A1999" s="478"/>
      <c r="D1999" s="131" t="s">
        <v>13</v>
      </c>
      <c r="E1999" s="504">
        <f>SUM(E1992:E1998)</f>
        <v>0.8</v>
      </c>
      <c r="F1999" s="504">
        <f t="shared" ref="F1999" si="257">SUM(F1992:F1998)</f>
        <v>0.9</v>
      </c>
      <c r="G1999" s="504">
        <f t="shared" ref="G1999" si="258">SUM(G1992:G1998)</f>
        <v>0.95</v>
      </c>
      <c r="H1999" s="131" t="s">
        <v>3328</v>
      </c>
      <c r="J1999" s="131" t="s">
        <v>13</v>
      </c>
      <c r="K1999" s="504">
        <f>SUM(K1992:K1998)</f>
        <v>0.748</v>
      </c>
      <c r="L1999" s="504">
        <f t="shared" ref="L1999:M1999" si="259">SUM(L1992:L1998)</f>
        <v>0.9</v>
      </c>
      <c r="M1999" s="504">
        <f t="shared" si="259"/>
        <v>0.95</v>
      </c>
      <c r="N1999" s="131" t="s">
        <v>7381</v>
      </c>
    </row>
    <row r="2000" spans="1:14" ht="12.75" customHeight="1">
      <c r="A2000" s="478"/>
    </row>
    <row r="2001" spans="1:18" ht="12.75" customHeight="1">
      <c r="A2001" s="478"/>
      <c r="C2001" s="87" t="s">
        <v>2970</v>
      </c>
    </row>
    <row r="2002" spans="1:18" ht="12.75" customHeight="1">
      <c r="A2002" s="478"/>
      <c r="C2002" s="504">
        <v>0.7</v>
      </c>
      <c r="D2002" s="131" t="s">
        <v>561</v>
      </c>
      <c r="E2002" s="504">
        <f>calcLOB2DOOBaseTime1*paramLOB2DOOProductivity</f>
        <v>0.8</v>
      </c>
      <c r="F2002" s="504">
        <f>calcLOB2DOOBaseTime1*paramLOB2DOOProductivity</f>
        <v>0.9</v>
      </c>
      <c r="G2002" s="504">
        <f>calcLOB2DOOBaseTime1*paramLOB2DOOProductivity</f>
        <v>0.95</v>
      </c>
      <c r="H2002" s="170" t="s">
        <v>3329</v>
      </c>
      <c r="J2002" s="131" t="s">
        <v>561</v>
      </c>
      <c r="K2002" s="504">
        <f>calcR2LOB2DOOBaseTime1*paramR2LOB2DOOProductivity</f>
        <v>0.748</v>
      </c>
      <c r="L2002" s="504">
        <f>calcR2LOB2DOOBaseTime1*paramR2LOB2DOOProductivity</f>
        <v>0.9</v>
      </c>
      <c r="M2002" s="504">
        <f>calcR2LOB2DOOBaseTime1*paramR2LOB2DOOProductivity</f>
        <v>0.95</v>
      </c>
      <c r="N2002" s="170" t="s">
        <v>7382</v>
      </c>
    </row>
    <row r="2003" spans="1:18" ht="12.75" customHeight="1">
      <c r="A2003" s="478"/>
      <c r="C2003" s="480">
        <v>0.05</v>
      </c>
      <c r="D2003" s="131" t="s">
        <v>562</v>
      </c>
      <c r="E2003" s="504">
        <f>MAX(calcLOB2DOOActionTime2+0,calcLOB2DOOActionTime2+decLOB2DOOAdjTime2_R1)</f>
        <v>0</v>
      </c>
      <c r="F2003" s="504">
        <f>MAX(calcLOB2DOOActionTime2+0,calcLOB2DOOActionTime2+decLOB2DOOAdjTime2_R1)</f>
        <v>0</v>
      </c>
      <c r="G2003" s="504">
        <f>MAX(calcLOB2DOOActionTime2+0,calcLOB2DOOActionTime2+decLOB2DOOAdjTime2_R1)</f>
        <v>0</v>
      </c>
      <c r="H2003" s="170" t="s">
        <v>3330</v>
      </c>
      <c r="J2003" s="131" t="s">
        <v>562</v>
      </c>
      <c r="K2003" s="504">
        <f>MAX(calcR2LOB2DOOActionTime2+0,calcR2LOB2DOOActionTime2+decLOB2DOOAdjTime2_R2)</f>
        <v>0</v>
      </c>
      <c r="L2003" s="504">
        <f>MAX(calcR2LOB2DOOActionTime2+0,calcR2LOB2DOOActionTime2+decLOB2DOOAdjTime2_R2)</f>
        <v>0</v>
      </c>
      <c r="M2003" s="504">
        <f>MAX(calcR2LOB2DOOActionTime2+0,calcR2LOB2DOOActionTime2+decLOB2DOOAdjTime2_R2)</f>
        <v>0</v>
      </c>
      <c r="N2003" s="170" t="s">
        <v>7383</v>
      </c>
    </row>
    <row r="2004" spans="1:18" ht="12.75" customHeight="1">
      <c r="A2004" s="478"/>
      <c r="C2004" s="480">
        <v>0.05</v>
      </c>
      <c r="D2004" s="131" t="s">
        <v>563</v>
      </c>
      <c r="E2004" s="504">
        <f>MAX(calcLOB2DOOActionTime3+0,calcLOB2DOOActionTime3+decLOB2DOOAdjTime3_R1)</f>
        <v>0</v>
      </c>
      <c r="F2004" s="504">
        <f>MAX(calcLOB2DOOActionTime3+0,calcLOB2DOOActionTime3+decLOB2DOOAdjTime3_R1)</f>
        <v>0.05</v>
      </c>
      <c r="G2004" s="504">
        <f>MAX(calcLOB2DOOActionTime3+0,calcLOB2DOOActionTime3+decLOB2DOOAdjTime3_R1)</f>
        <v>0.08</v>
      </c>
      <c r="H2004" s="170" t="s">
        <v>3331</v>
      </c>
      <c r="J2004" s="131" t="s">
        <v>563</v>
      </c>
      <c r="K2004" s="504">
        <f>MAX(calcR2LOB2DOOActionTime3+0,calcR2LOB2DOOActionTime3+decLOB2DOOAdjTime3_R2)</f>
        <v>0</v>
      </c>
      <c r="L2004" s="504">
        <f>MAX(calcR2LOB2DOOActionTime3+0,calcR2LOB2DOOActionTime3+decLOB2DOOAdjTime3_R2)</f>
        <v>0.05</v>
      </c>
      <c r="M2004" s="504">
        <f>MAX(calcR2LOB2DOOActionTime3+0,calcR2LOB2DOOActionTime3+decLOB2DOOAdjTime3_R2)</f>
        <v>0.08</v>
      </c>
      <c r="N2004" s="170" t="s">
        <v>7384</v>
      </c>
    </row>
    <row r="2005" spans="1:18" ht="12.75" customHeight="1">
      <c r="A2005" s="478"/>
      <c r="C2005" s="480">
        <v>0.05</v>
      </c>
      <c r="D2005" s="131" t="s">
        <v>564</v>
      </c>
      <c r="E2005" s="504">
        <f>MAX(calcLOB2DOOActionTime4+0,calcLOB2DOOActionTime4+decLOB2DOOAdjTime4_R1)</f>
        <v>0</v>
      </c>
      <c r="F2005" s="504">
        <f>MAX(calcLOB2DOOActionTime4+0,calcLOB2DOOActionTime4+decLOB2DOOAdjTime4_R1)</f>
        <v>0</v>
      </c>
      <c r="G2005" s="504">
        <f>MAX(calcLOB2DOOActionTime4+0,calcLOB2DOOActionTime4+decLOB2DOOAdjTime4_R1)</f>
        <v>0</v>
      </c>
      <c r="H2005" s="170" t="s">
        <v>3332</v>
      </c>
      <c r="J2005" s="131" t="s">
        <v>564</v>
      </c>
      <c r="K2005" s="504">
        <f>MAX(calcR2LOB2DOOActionTime4+0,calcR2LOB2DOOActionTime4+decLOB2DOOAdjTime4_R2)</f>
        <v>0</v>
      </c>
      <c r="L2005" s="504">
        <f>MAX(calcR2LOB2DOOActionTime4+0,calcR2LOB2DOOActionTime4+decLOB2DOOAdjTime4_R2)</f>
        <v>0</v>
      </c>
      <c r="M2005" s="504">
        <f>MAX(calcR2LOB2DOOActionTime4+0,calcR2LOB2DOOActionTime4+decLOB2DOOAdjTime4_R2)</f>
        <v>0</v>
      </c>
      <c r="N2005" s="170" t="s">
        <v>7385</v>
      </c>
    </row>
    <row r="2006" spans="1:18" ht="12.75" customHeight="1">
      <c r="A2006" s="478"/>
      <c r="C2006" s="480">
        <v>0.05</v>
      </c>
      <c r="D2006" s="131" t="s">
        <v>565</v>
      </c>
      <c r="E2006" s="504">
        <f>MAX(calcLOB2DOOActionTime5+0,calcLOB2DOOActionTime5+decLOB2DOOAdjTime5_R1)</f>
        <v>0</v>
      </c>
      <c r="F2006" s="504">
        <f>MAX(calcLOB2DOOActionTime5+0,calcLOB2DOOActionTime5+decLOB2DOOAdjTime5_R1)</f>
        <v>0</v>
      </c>
      <c r="G2006" s="504">
        <f>MAX(calcLOB2DOOActionTime5+0,calcLOB2DOOActionTime5+decLOB2DOOAdjTime5_R1)</f>
        <v>0</v>
      </c>
      <c r="H2006" s="170" t="s">
        <v>3333</v>
      </c>
      <c r="J2006" s="131" t="s">
        <v>565</v>
      </c>
      <c r="K2006" s="504">
        <f>MAX(calcR2LOB2DOOActionTime5+0,calcR2LOB2DOOActionTime5+decLOB2DOOAdjTime5_R2)</f>
        <v>0</v>
      </c>
      <c r="L2006" s="504">
        <f>MAX(calcR2LOB2DOOActionTime5+0,calcR2LOB2DOOActionTime5+decLOB2DOOAdjTime5_R2)</f>
        <v>0</v>
      </c>
      <c r="M2006" s="504">
        <f>MAX(calcR2LOB2DOOActionTime5+0,calcR2LOB2DOOActionTime5+decLOB2DOOAdjTime5_R2)</f>
        <v>0</v>
      </c>
      <c r="N2006" s="170" t="s">
        <v>7386</v>
      </c>
    </row>
    <row r="2007" spans="1:18" ht="12.75" customHeight="1">
      <c r="A2007" s="478"/>
      <c r="C2007" s="480">
        <v>0.05</v>
      </c>
      <c r="D2007" s="131" t="s">
        <v>566</v>
      </c>
      <c r="E2007" s="504">
        <f>MAX(calcLOB2DOOActionTime6+0,calcLOB2DOOActionTime6+decLOB2DOOAdjTime6_R1)</f>
        <v>0</v>
      </c>
      <c r="F2007" s="504">
        <f>MAX(calcLOB2DOOActionTime6+0,calcLOB2DOOActionTime6+decLOB2DOOAdjTime6_R1)</f>
        <v>0</v>
      </c>
      <c r="G2007" s="504">
        <f>MAX(calcLOB2DOOActionTime6+0,calcLOB2DOOActionTime6+decLOB2DOOAdjTime6_R1)</f>
        <v>0</v>
      </c>
      <c r="H2007" s="170" t="s">
        <v>3334</v>
      </c>
      <c r="J2007" s="131" t="s">
        <v>566</v>
      </c>
      <c r="K2007" s="504">
        <f>MAX(calcR2LOB2DOOActionTime6+0,calcR2LOB2DOOActionTime6+decLOB2DOOAdjTime6_R2)</f>
        <v>0</v>
      </c>
      <c r="L2007" s="504">
        <f>MAX(calcR2LOB2DOOActionTime6+0,calcR2LOB2DOOActionTime6+decLOB2DOOAdjTime6_R2)</f>
        <v>0</v>
      </c>
      <c r="M2007" s="504">
        <f>MAX(calcR2LOB2DOOActionTime6+0,calcR2LOB2DOOActionTime6+decLOB2DOOAdjTime6_R2)</f>
        <v>0</v>
      </c>
      <c r="N2007" s="170" t="s">
        <v>7387</v>
      </c>
    </row>
    <row r="2008" spans="1:18" ht="1.5" customHeight="1">
      <c r="A2008" s="478"/>
      <c r="D2008" s="449"/>
      <c r="E2008" s="450"/>
      <c r="F2008" s="450"/>
      <c r="G2008" s="450"/>
      <c r="H2008" s="131"/>
      <c r="J2008" s="449"/>
      <c r="K2008" s="450"/>
      <c r="L2008" s="450"/>
      <c r="M2008" s="450"/>
      <c r="N2008" s="131"/>
    </row>
    <row r="2009" spans="1:18" ht="12.75" customHeight="1">
      <c r="A2009" s="478"/>
      <c r="D2009" s="131" t="s">
        <v>13</v>
      </c>
      <c r="E2009" s="504">
        <f>SUM(E2002:E2008)</f>
        <v>0.8</v>
      </c>
      <c r="F2009" s="504">
        <f t="shared" ref="F2009" si="260">SUM(F2002:F2008)</f>
        <v>0.95000000000000007</v>
      </c>
      <c r="G2009" s="504">
        <f t="shared" ref="G2009" si="261">SUM(G2002:G2008)</f>
        <v>1.03</v>
      </c>
      <c r="H2009" s="131" t="s">
        <v>3335</v>
      </c>
      <c r="J2009" s="131" t="s">
        <v>13</v>
      </c>
      <c r="K2009" s="504">
        <f>SUM(K2002:K2008)</f>
        <v>0.748</v>
      </c>
      <c r="L2009" s="504">
        <f t="shared" ref="L2009:M2009" si="262">SUM(L2002:L2008)</f>
        <v>0.95000000000000007</v>
      </c>
      <c r="M2009" s="504">
        <f t="shared" si="262"/>
        <v>1.03</v>
      </c>
      <c r="N2009" s="131" t="s">
        <v>7388</v>
      </c>
    </row>
    <row r="2010" spans="1:18" ht="12.75" customHeight="1">
      <c r="A2010" s="478"/>
    </row>
    <row r="2011" spans="1:18" ht="12.75" customHeight="1">
      <c r="A2011" s="478"/>
      <c r="C2011" s="131" t="s">
        <v>8219</v>
      </c>
    </row>
    <row r="2012" spans="1:18" ht="12.75" customHeight="1">
      <c r="A2012" s="478"/>
      <c r="C2012" s="131"/>
      <c r="D2012" s="131" t="s">
        <v>3588</v>
      </c>
      <c r="E2012" s="746">
        <f>COUNTIF(dec!E92:E103,"&gt;0")</f>
        <v>0</v>
      </c>
      <c r="F2012" s="746">
        <f>COUNTIF(dec!F92:F103,"&gt;0")</f>
        <v>0</v>
      </c>
      <c r="G2012" s="746">
        <f>COUNTIF(dec!G92:G103,"&gt;0")</f>
        <v>0</v>
      </c>
      <c r="K2012" s="746">
        <f>COUNTIF(dec!K92:K103,"&gt;0")</f>
        <v>0</v>
      </c>
      <c r="L2012" s="746">
        <f>COUNTIF(dec!L92:L103,"&gt;0")</f>
        <v>0</v>
      </c>
      <c r="M2012" s="746">
        <f>COUNTIF(dec!M92:M103,"&gt;0")</f>
        <v>0</v>
      </c>
    </row>
    <row r="2013" spans="1:18" ht="12.75" customHeight="1">
      <c r="A2013" s="478"/>
      <c r="C2013" s="824">
        <v>-1E-3</v>
      </c>
      <c r="D2013" s="131" t="s">
        <v>8220</v>
      </c>
      <c r="E2013" s="451">
        <f>E2012*$C$2013</f>
        <v>0</v>
      </c>
      <c r="F2013" s="451">
        <f t="shared" ref="F2013:G2013" si="263">F2012*$C$2013</f>
        <v>0</v>
      </c>
      <c r="G2013" s="451">
        <f t="shared" si="263"/>
        <v>0</v>
      </c>
      <c r="H2013" s="131" t="s">
        <v>8224</v>
      </c>
      <c r="K2013" s="451">
        <f>K2012*$C$2013</f>
        <v>0</v>
      </c>
      <c r="L2013" s="451">
        <f t="shared" ref="L2013:M2013" si="264">L2012*$C$2013</f>
        <v>0</v>
      </c>
      <c r="M2013" s="451">
        <f t="shared" si="264"/>
        <v>0</v>
      </c>
      <c r="N2013" s="131" t="s">
        <v>8225</v>
      </c>
      <c r="P2013" s="723"/>
    </row>
    <row r="2014" spans="1:18" ht="12.75" customHeight="1">
      <c r="A2014" s="478"/>
    </row>
    <row r="2015" spans="1:18" ht="12.75" customHeight="1">
      <c r="A2015" s="478"/>
      <c r="B2015" s="607">
        <v>1</v>
      </c>
      <c r="C2015" s="608" t="s">
        <v>2978</v>
      </c>
      <c r="D2015" s="609"/>
      <c r="E2015" s="609"/>
      <c r="F2015" s="609"/>
      <c r="G2015" s="609"/>
      <c r="H2015" s="610"/>
      <c r="I2015" s="607">
        <v>1</v>
      </c>
      <c r="J2015" s="608" t="s">
        <v>2978</v>
      </c>
      <c r="K2015" s="609"/>
      <c r="L2015" s="609"/>
      <c r="M2015" s="609"/>
      <c r="N2015" s="610"/>
    </row>
    <row r="2016" spans="1:18" ht="12.75" customHeight="1">
      <c r="A2016" s="478"/>
      <c r="B2016" s="611">
        <v>2</v>
      </c>
      <c r="C2016" s="612"/>
      <c r="D2016" s="613" t="s">
        <v>2979</v>
      </c>
      <c r="E2016" s="614">
        <f>obalLOB2CSAT</f>
        <v>0.7</v>
      </c>
      <c r="F2016" s="614">
        <f>obalLOB2CSAT</f>
        <v>0.7</v>
      </c>
      <c r="G2016" s="614">
        <f>obalLOB2CSAT</f>
        <v>0.7</v>
      </c>
      <c r="H2016" s="615"/>
      <c r="I2016" s="611">
        <v>2</v>
      </c>
      <c r="J2016" s="613" t="s">
        <v>2979</v>
      </c>
      <c r="K2016" s="614">
        <f>obalR2LOB2CSAT</f>
        <v>0.63729999999999987</v>
      </c>
      <c r="L2016" s="614">
        <f>obalR2LOB2CSAT</f>
        <v>0.71339999999999992</v>
      </c>
      <c r="M2016" s="614">
        <f>obalR2LOB2CSAT</f>
        <v>0.70877000000000001</v>
      </c>
      <c r="N2016" s="615"/>
      <c r="P2016" s="170">
        <v>0.5</v>
      </c>
      <c r="Q2016" s="170">
        <v>1</v>
      </c>
      <c r="R2016" s="170" t="s">
        <v>2978</v>
      </c>
    </row>
    <row r="2017" spans="1:19" ht="12.75" customHeight="1">
      <c r="A2017" s="478"/>
      <c r="B2017" s="611">
        <v>3</v>
      </c>
      <c r="C2017" s="617">
        <v>0.5</v>
      </c>
      <c r="D2017" s="613" t="s">
        <v>2980</v>
      </c>
      <c r="E2017" s="614">
        <f>(paramLOB2ReferralSatisfaction-1)*$C2017</f>
        <v>0</v>
      </c>
      <c r="F2017" s="614">
        <f>(paramLOB2ReferralSatisfaction-1)*$C2017</f>
        <v>1.0000000000000009E-2</v>
      </c>
      <c r="G2017" s="614">
        <f>(paramLOB2ReferralSatisfaction-1)*$C2017</f>
        <v>2.5000000000000022E-2</v>
      </c>
      <c r="H2017" s="615"/>
      <c r="I2017" s="611">
        <v>3</v>
      </c>
      <c r="J2017" s="613" t="s">
        <v>2980</v>
      </c>
      <c r="K2017" s="614">
        <f>(paramR2LOB2ReferralSatisfaction-1)*$C2017</f>
        <v>0</v>
      </c>
      <c r="L2017" s="614">
        <f>(paramR2LOB2ReferralSatisfaction-1)*$C2017</f>
        <v>1.0000000000000009E-2</v>
      </c>
      <c r="M2017" s="614">
        <f>(paramR2LOB2ReferralSatisfaction-1)*$C2017</f>
        <v>2.5000000000000022E-2</v>
      </c>
      <c r="N2017" s="615"/>
      <c r="P2017" s="170">
        <v>-2</v>
      </c>
      <c r="Q2017" s="170">
        <v>2</v>
      </c>
      <c r="S2017" s="170" t="s">
        <v>2979</v>
      </c>
    </row>
    <row r="2018" spans="1:19" ht="12.75" customHeight="1">
      <c r="A2018" s="478"/>
      <c r="B2018" s="611"/>
      <c r="C2018" s="616">
        <v>-0.25</v>
      </c>
      <c r="D2018" s="613" t="s">
        <v>491</v>
      </c>
      <c r="E2018" s="614">
        <f>MAX(0,calcLOB2DOOTotalPlanTime-1)*$C2018</f>
        <v>0</v>
      </c>
      <c r="F2018" s="614">
        <f>MAX(0,calcLOB2DOOTotalPlanTime-1)*$C2018</f>
        <v>0</v>
      </c>
      <c r="G2018" s="614">
        <f>MAX(0,calcLOB2DOOTotalPlanTime-1)*$C2018</f>
        <v>-7.5000000000000067E-3</v>
      </c>
      <c r="H2018" s="615"/>
      <c r="I2018" s="611"/>
      <c r="J2018" s="613" t="s">
        <v>491</v>
      </c>
      <c r="K2018" s="614">
        <f>MAX(0,calcR2LOB2DOOTotalPlanTime-1)*$C2018</f>
        <v>0</v>
      </c>
      <c r="L2018" s="614">
        <f>MAX(0,calcR2LOB2DOOTotalPlanTime-1)*$C2018</f>
        <v>0</v>
      </c>
      <c r="M2018" s="614">
        <f>MAX(0,calcR2LOB2DOOTotalPlanTime-1)*$C2018</f>
        <v>-7.5000000000000067E-3</v>
      </c>
      <c r="N2018" s="615"/>
      <c r="P2018" s="771">
        <v>0.1</v>
      </c>
      <c r="Q2018" s="170">
        <v>3</v>
      </c>
      <c r="R2018" s="170">
        <v>0.5</v>
      </c>
      <c r="S2018" s="170" t="s">
        <v>2980</v>
      </c>
    </row>
    <row r="2019" spans="1:19" ht="12.75" customHeight="1">
      <c r="A2019" s="478"/>
      <c r="B2019" s="611">
        <v>4</v>
      </c>
      <c r="C2019" s="616">
        <v>-2</v>
      </c>
      <c r="D2019" s="613" t="s">
        <v>1615</v>
      </c>
      <c r="E2019" s="614">
        <f>(cbalLOB2ClinicianAvgMissPerc-obalLOB2ClinicianAvgMissPerc)*$C2019</f>
        <v>-5.7000000000000023E-2</v>
      </c>
      <c r="F2019" s="686">
        <v>-0.02</v>
      </c>
      <c r="G2019" s="686">
        <v>-0.03</v>
      </c>
      <c r="H2019" s="615"/>
      <c r="I2019" s="611">
        <v>4</v>
      </c>
      <c r="J2019" s="613" t="s">
        <v>1615</v>
      </c>
      <c r="K2019" s="767">
        <f>(cbalR2LOB2ClinicianAvgMissPerc-obalR2LOB2ClinicianAvgMissPerc)*($C2019*0.15)</f>
        <v>0</v>
      </c>
      <c r="L2019" s="686">
        <v>0.01</v>
      </c>
      <c r="M2019" s="686">
        <v>0.02</v>
      </c>
      <c r="N2019" s="615"/>
      <c r="P2019" s="170">
        <v>0.1</v>
      </c>
      <c r="Q2019" s="170">
        <v>4</v>
      </c>
      <c r="R2019" s="170">
        <v>-2</v>
      </c>
      <c r="S2019" s="170" t="s">
        <v>1615</v>
      </c>
    </row>
    <row r="2020" spans="1:19" ht="12.75" customHeight="1">
      <c r="A2020" s="478"/>
      <c r="B2020" s="611">
        <v>5</v>
      </c>
      <c r="C2020" s="617">
        <v>0.3</v>
      </c>
      <c r="D2020" s="613" t="s">
        <v>489</v>
      </c>
      <c r="E2020" s="614">
        <f>(calcLOB2ESAT-obalLOB2ESAT)*$C2020</f>
        <v>0</v>
      </c>
      <c r="F2020" s="614">
        <f>(calcLOB2ESAT-obalLOB2ESAT)*$C2020</f>
        <v>1.8000000000000016E-2</v>
      </c>
      <c r="G2020" s="614">
        <f>(calcLOB2ESAT-obalLOB2ESAT)*$C2020</f>
        <v>1.5900000000000015E-2</v>
      </c>
      <c r="H2020" s="615"/>
      <c r="I2020" s="611">
        <v>5</v>
      </c>
      <c r="J2020" s="613" t="s">
        <v>489</v>
      </c>
      <c r="K2020" s="614">
        <f>(calcR2LOB2ESAT-obalR2LOB2ESAT)*$C2020</f>
        <v>-1.3421937127231609E-3</v>
      </c>
      <c r="L2020" s="614">
        <f>(calcR2LOB2ESAT-obalR2LOB2ESAT)*$C2020</f>
        <v>1.8000000000000016E-2</v>
      </c>
      <c r="M2020" s="614">
        <f>(calcR2LOB2ESAT-obalR2LOB2ESAT)*$C2020</f>
        <v>7.3247250487362692E-4</v>
      </c>
      <c r="N2020" s="615"/>
      <c r="P2020" s="170">
        <v>0.25</v>
      </c>
      <c r="Q2020" s="170">
        <v>5</v>
      </c>
      <c r="R2020" s="170">
        <v>0.1</v>
      </c>
      <c r="S2020" s="170" t="s">
        <v>489</v>
      </c>
    </row>
    <row r="2021" spans="1:19" ht="12.75" customHeight="1">
      <c r="A2021" s="478"/>
      <c r="B2021" s="611">
        <v>6</v>
      </c>
      <c r="C2021" s="617">
        <v>0.1</v>
      </c>
      <c r="D2021" s="613" t="s">
        <v>4351</v>
      </c>
      <c r="E2021" s="614">
        <f>(calcLOB2Stars-obalLOB2Stars)*$C2021</f>
        <v>-5.7000000000000054E-3</v>
      </c>
      <c r="F2021" s="614">
        <f>(calcLOB2Stars-obalLOB2Stars)*$C2021</f>
        <v>5.4000000000000055E-3</v>
      </c>
      <c r="G2021" s="614">
        <f>(calcLOB2Stars-obalLOB2Stars)*$C2021</f>
        <v>5.3699999999999972E-3</v>
      </c>
      <c r="H2021" s="615"/>
      <c r="I2021" s="611">
        <v>6</v>
      </c>
      <c r="J2021" s="613" t="s">
        <v>4351</v>
      </c>
      <c r="K2021" s="614">
        <f>(calcR2LOB2Stars-obalR2LOB2Stars)*$C2021</f>
        <v>-1.7895916169642369E-4</v>
      </c>
      <c r="L2021" s="614">
        <f>(calcR2LOB2Stars-obalR2LOB2Stars)*$C2021</f>
        <v>1.9000000000000017E-3</v>
      </c>
      <c r="M2021" s="614">
        <f>(calcR2LOB2Stars-obalR2LOB2Stars)*$C2021</f>
        <v>-1.1523369993501897E-3</v>
      </c>
      <c r="N2021" s="615"/>
      <c r="P2021" s="170" t="s">
        <v>4351</v>
      </c>
      <c r="Q2021" s="170">
        <v>6</v>
      </c>
      <c r="R2021" s="170">
        <v>0.1</v>
      </c>
      <c r="S2021" s="170" t="s">
        <v>4351</v>
      </c>
    </row>
    <row r="2022" spans="1:19" ht="12.75" customHeight="1">
      <c r="A2022" s="478"/>
      <c r="B2022" s="611"/>
      <c r="C2022" s="617">
        <v>0.25</v>
      </c>
      <c r="D2022" s="613" t="s">
        <v>8379</v>
      </c>
      <c r="E2022" s="614">
        <v>0</v>
      </c>
      <c r="F2022" s="614">
        <v>0</v>
      </c>
      <c r="G2022" s="614">
        <v>0</v>
      </c>
      <c r="H2022" s="615"/>
      <c r="I2022" s="611"/>
      <c r="J2022" s="613" t="s">
        <v>8379</v>
      </c>
      <c r="K2022" s="614">
        <v>0</v>
      </c>
      <c r="L2022" s="614">
        <v>0</v>
      </c>
      <c r="M2022" s="614">
        <v>0</v>
      </c>
      <c r="N2022" s="615"/>
      <c r="R2022" s="170">
        <v>0.25</v>
      </c>
      <c r="S2022" s="170" t="s">
        <v>8379</v>
      </c>
    </row>
    <row r="2023" spans="1:19" ht="1.5" customHeight="1">
      <c r="A2023" s="478"/>
      <c r="B2023" s="611">
        <v>8</v>
      </c>
      <c r="C2023" s="612"/>
      <c r="D2023" s="618"/>
      <c r="E2023" s="619"/>
      <c r="F2023" s="619"/>
      <c r="G2023" s="619"/>
      <c r="H2023" s="620"/>
      <c r="I2023" s="611">
        <v>8</v>
      </c>
      <c r="J2023" s="618"/>
      <c r="K2023" s="619"/>
      <c r="L2023" s="619"/>
      <c r="M2023" s="619"/>
      <c r="N2023" s="620"/>
    </row>
    <row r="2024" spans="1:19" ht="12.75" customHeight="1">
      <c r="A2024" s="478"/>
      <c r="B2024" s="621">
        <v>9</v>
      </c>
      <c r="C2024" s="622"/>
      <c r="D2024" s="623" t="str">
        <f>C2015</f>
        <v>Referrals Satisfaction</v>
      </c>
      <c r="E2024" s="624">
        <f>SUMPRODUCT(E2016:E2023)</f>
        <v>0.63729999999999987</v>
      </c>
      <c r="F2024" s="624">
        <f t="shared" ref="F2024" si="265">SUMPRODUCT(F2016:F2023)</f>
        <v>0.71339999999999992</v>
      </c>
      <c r="G2024" s="624">
        <f t="shared" ref="G2024" si="266">SUMPRODUCT(G2016:G2023)</f>
        <v>0.70877000000000001</v>
      </c>
      <c r="H2024" s="625" t="s">
        <v>3336</v>
      </c>
      <c r="I2024" s="621">
        <v>9</v>
      </c>
      <c r="J2024" s="623">
        <f>I2015</f>
        <v>1</v>
      </c>
      <c r="K2024" s="624">
        <f>SUMPRODUCT(K2016:K2023)</f>
        <v>0.6357788471255803</v>
      </c>
      <c r="L2024" s="624">
        <f t="shared" ref="L2024:M2024" si="267">SUMPRODUCT(L2016:L2023)</f>
        <v>0.75329999999999997</v>
      </c>
      <c r="M2024" s="624">
        <f t="shared" si="267"/>
        <v>0.74585013550552337</v>
      </c>
      <c r="N2024" s="625" t="s">
        <v>7389</v>
      </c>
    </row>
    <row r="2025" spans="1:19" ht="12.75" customHeight="1">
      <c r="A2025" s="478"/>
    </row>
    <row r="2026" spans="1:19" ht="12.75" customHeight="1">
      <c r="A2026" s="478"/>
      <c r="B2026" s="607">
        <v>1</v>
      </c>
      <c r="C2026" s="608" t="s">
        <v>489</v>
      </c>
      <c r="D2026" s="609"/>
      <c r="E2026" s="609"/>
      <c r="F2026" s="609"/>
      <c r="G2026" s="609"/>
      <c r="H2026" s="610"/>
      <c r="I2026" s="607">
        <v>1</v>
      </c>
      <c r="J2026" s="608" t="s">
        <v>489</v>
      </c>
      <c r="K2026" s="609"/>
      <c r="L2026" s="609"/>
      <c r="M2026" s="609"/>
      <c r="N2026" s="610"/>
    </row>
    <row r="2027" spans="1:19" ht="12.75" customHeight="1">
      <c r="A2027" s="478"/>
      <c r="B2027" s="611">
        <v>2</v>
      </c>
      <c r="C2027" s="612"/>
      <c r="D2027" s="613" t="s">
        <v>2979</v>
      </c>
      <c r="E2027" s="614">
        <f>obalLOB2ESAT</f>
        <v>0.65</v>
      </c>
      <c r="F2027" s="614">
        <f>obalLOB2ESAT</f>
        <v>0.65</v>
      </c>
      <c r="G2027" s="614">
        <f>obalLOB2ESAT</f>
        <v>0.65</v>
      </c>
      <c r="H2027" s="615"/>
      <c r="I2027" s="611">
        <v>2</v>
      </c>
      <c r="J2027" s="613" t="s">
        <v>2979</v>
      </c>
      <c r="K2027" s="614">
        <f>obalR2LOB2ESAT</f>
        <v>0.65</v>
      </c>
      <c r="L2027" s="614">
        <f>obalR2LOB2ESAT</f>
        <v>0.71000000000000008</v>
      </c>
      <c r="M2027" s="614">
        <f>obalR2LOB2ESAT</f>
        <v>0.70300000000000007</v>
      </c>
      <c r="N2027" s="615"/>
    </row>
    <row r="2028" spans="1:19" ht="12.75" customHeight="1">
      <c r="A2028" s="478"/>
      <c r="B2028" s="611">
        <v>3</v>
      </c>
      <c r="C2028" s="617">
        <v>0.35</v>
      </c>
      <c r="D2028" s="613" t="s">
        <v>2980</v>
      </c>
      <c r="E2028" s="614">
        <f>(paramLOB2EmployeeEngagement-1)*$C2028</f>
        <v>0</v>
      </c>
      <c r="F2028" s="614">
        <f>(paramLOB2EmployeeEngagement-1)*$C2028</f>
        <v>3.5000000000000031E-2</v>
      </c>
      <c r="G2028" s="614">
        <f>(paramLOB2EmployeeEngagement-1)*$C2028</f>
        <v>2.8000000000000021E-2</v>
      </c>
      <c r="H2028" s="615"/>
      <c r="I2028" s="611">
        <v>3</v>
      </c>
      <c r="J2028" s="613" t="s">
        <v>2980</v>
      </c>
      <c r="K2028" s="614">
        <f>(paramR2LOB2EmployeeEngagement-1)*$C2028</f>
        <v>0</v>
      </c>
      <c r="L2028" s="614">
        <f>(paramR2LOB2EmployeeEngagement-1)*$C2028</f>
        <v>3.5000000000000031E-2</v>
      </c>
      <c r="M2028" s="614">
        <f>(paramR2LOB2EmployeeEngagement-1)*$C2028</f>
        <v>2.8000000000000021E-2</v>
      </c>
      <c r="N2028" s="615"/>
    </row>
    <row r="2029" spans="1:19" ht="12.75" customHeight="1">
      <c r="A2029" s="478"/>
      <c r="B2029" s="611">
        <v>4</v>
      </c>
      <c r="C2029" s="617">
        <v>0.5</v>
      </c>
      <c r="D2029" s="613" t="s">
        <v>4639</v>
      </c>
      <c r="E2029" s="614">
        <f>decLOB2DOOAdjTime3_R1*$C2029</f>
        <v>0</v>
      </c>
      <c r="F2029" s="614">
        <f>decLOB2DOOAdjTime3_R1*$C2029</f>
        <v>2.5000000000000001E-2</v>
      </c>
      <c r="G2029" s="614">
        <f>decLOB2DOOAdjTime3_R1*$C2029</f>
        <v>0.04</v>
      </c>
      <c r="H2029" s="615"/>
      <c r="I2029" s="611">
        <v>4</v>
      </c>
      <c r="J2029" s="613" t="s">
        <v>4639</v>
      </c>
      <c r="K2029" s="614">
        <f>decLOB2DOOAdjTime3_R2*$C2029</f>
        <v>0</v>
      </c>
      <c r="L2029" s="614">
        <f>decLOB2DOOAdjTime3_R2*$C2029</f>
        <v>2.5000000000000001E-2</v>
      </c>
      <c r="M2029" s="614">
        <f>decLOB2DOOAdjTime3_R2*$C2029</f>
        <v>0.04</v>
      </c>
      <c r="N2029" s="615"/>
    </row>
    <row r="2030" spans="1:19" ht="12.75" customHeight="1">
      <c r="A2030" s="478"/>
      <c r="B2030" s="611">
        <v>5</v>
      </c>
      <c r="C2030" s="616">
        <v>-0.5</v>
      </c>
      <c r="D2030" s="613" t="s">
        <v>491</v>
      </c>
      <c r="E2030" s="614">
        <f>MAX(0,calcLOB2DOOTotalPlanTime-1)*$C2030</f>
        <v>0</v>
      </c>
      <c r="F2030" s="614">
        <f>MAX(0,calcLOB2DOOTotalPlanTime-1)*$C2030</f>
        <v>0</v>
      </c>
      <c r="G2030" s="614">
        <f>MAX(0,calcLOB2DOOTotalPlanTime-1)*$C2030</f>
        <v>-1.5000000000000013E-2</v>
      </c>
      <c r="H2030" s="615"/>
      <c r="I2030" s="611">
        <v>5</v>
      </c>
      <c r="J2030" s="613" t="s">
        <v>491</v>
      </c>
      <c r="K2030" s="614">
        <f>MAX(0,calcR2LOB2DOOTotalPlanTime-1)*$C2030</f>
        <v>0</v>
      </c>
      <c r="L2030" s="614">
        <f>MAX(0,calcR2LOB2DOOTotalPlanTime-1)*$C2030</f>
        <v>0</v>
      </c>
      <c r="M2030" s="614">
        <f>MAX(0,calcR2LOB2DOOTotalPlanTime-1)*$C2030</f>
        <v>-1.5000000000000013E-2</v>
      </c>
      <c r="N2030" s="615"/>
    </row>
    <row r="2031" spans="1:19" ht="12.75" customHeight="1">
      <c r="A2031" s="478"/>
      <c r="B2031" s="611">
        <v>6</v>
      </c>
      <c r="C2031" s="616"/>
      <c r="D2031" s="613" t="s">
        <v>8223</v>
      </c>
      <c r="E2031" s="614">
        <f>calcLOB2DOOStaffModImpact</f>
        <v>0</v>
      </c>
      <c r="F2031" s="614">
        <f>calcLOB2DOOStaffModImpact</f>
        <v>0</v>
      </c>
      <c r="G2031" s="614">
        <f>calcLOB2DOOStaffModImpact</f>
        <v>0</v>
      </c>
      <c r="H2031" s="615"/>
      <c r="I2031" s="611">
        <v>6</v>
      </c>
      <c r="J2031" s="613" t="s">
        <v>8223</v>
      </c>
      <c r="K2031" s="614">
        <f>calcR2LOB2DOOStaffModImpact</f>
        <v>0</v>
      </c>
      <c r="L2031" s="614">
        <f>calcR2LOB2DOOStaffModImpact</f>
        <v>0</v>
      </c>
      <c r="M2031" s="614">
        <f>calcR2LOB2DOOStaffModImpact</f>
        <v>0</v>
      </c>
      <c r="N2031" s="615"/>
    </row>
    <row r="2032" spans="1:19" ht="12.75" customHeight="1">
      <c r="A2032" s="478"/>
      <c r="B2032" s="611"/>
      <c r="C2032" s="617">
        <v>0.25</v>
      </c>
      <c r="D2032" s="613" t="s">
        <v>8379</v>
      </c>
      <c r="E2032" s="614">
        <f>MIN(0,(1-obalLOB2AvgUtilization))*$C2032</f>
        <v>0</v>
      </c>
      <c r="F2032" s="614">
        <f>MIN(0,(1-obalLOB2AvgUtilization))*$C2032</f>
        <v>0</v>
      </c>
      <c r="G2032" s="614">
        <f>MIN(0,(1-obalLOB2AvgUtilization))*$C2032</f>
        <v>0</v>
      </c>
      <c r="H2032" s="615"/>
      <c r="I2032" s="611"/>
      <c r="J2032" s="613" t="s">
        <v>8379</v>
      </c>
      <c r="K2032" s="614">
        <f>MIN(0,(1-obalR2LOB2AvgUtilization))*$C2032</f>
        <v>-4.4739790424105363E-3</v>
      </c>
      <c r="L2032" s="614">
        <f>MIN(0,(1-obalR2LOB2AvgUtilization))*$C2032</f>
        <v>0</v>
      </c>
      <c r="M2032" s="614">
        <f>MIN(0,(1-obalR2LOB2AvgUtilization))*$C2032</f>
        <v>-5.0558424983754569E-2</v>
      </c>
      <c r="N2032" s="615"/>
    </row>
    <row r="2033" spans="1:14" ht="1.5" customHeight="1">
      <c r="A2033" s="478"/>
      <c r="B2033" s="611"/>
      <c r="C2033" s="612"/>
      <c r="D2033" s="618"/>
      <c r="E2033" s="619"/>
      <c r="F2033" s="619"/>
      <c r="G2033" s="619"/>
      <c r="H2033" s="620"/>
      <c r="I2033" s="611"/>
      <c r="J2033" s="618"/>
      <c r="K2033" s="619"/>
      <c r="L2033" s="619"/>
      <c r="M2033" s="619"/>
      <c r="N2033" s="620"/>
    </row>
    <row r="2034" spans="1:14" ht="12.75" customHeight="1">
      <c r="A2034" s="478"/>
      <c r="B2034" s="621">
        <v>7</v>
      </c>
      <c r="C2034" s="622"/>
      <c r="D2034" s="623" t="str">
        <f>C2026</f>
        <v>Employee Engagement</v>
      </c>
      <c r="E2034" s="624">
        <f>SUMPRODUCT(E2027:E2033)</f>
        <v>0.65</v>
      </c>
      <c r="F2034" s="624">
        <f>SUMPRODUCT(F2027:F2033)</f>
        <v>0.71000000000000008</v>
      </c>
      <c r="G2034" s="624">
        <f>SUMPRODUCT(G2027:G2033)</f>
        <v>0.70300000000000007</v>
      </c>
      <c r="H2034" s="625" t="s">
        <v>3337</v>
      </c>
      <c r="I2034" s="621">
        <v>7</v>
      </c>
      <c r="J2034" s="623">
        <f>I2026</f>
        <v>1</v>
      </c>
      <c r="K2034" s="624">
        <f>SUMPRODUCT(K2027:K2033)</f>
        <v>0.64552602095758949</v>
      </c>
      <c r="L2034" s="624">
        <f>SUMPRODUCT(L2027:L2033)</f>
        <v>0.77000000000000013</v>
      </c>
      <c r="M2034" s="624">
        <f>SUMPRODUCT(M2027:M2033)</f>
        <v>0.70544157501624549</v>
      </c>
      <c r="N2034" s="625" t="s">
        <v>7390</v>
      </c>
    </row>
    <row r="2035" spans="1:14" ht="12.75" customHeight="1">
      <c r="A2035" s="478"/>
    </row>
    <row r="2036" spans="1:14" ht="12.75" customHeight="1">
      <c r="A2036" s="478"/>
      <c r="C2036" s="131" t="s">
        <v>2984</v>
      </c>
    </row>
    <row r="2037" spans="1:14" ht="12.75" customHeight="1">
      <c r="A2037" s="478"/>
      <c r="D2037" s="131" t="s">
        <v>2979</v>
      </c>
      <c r="E2037" s="451">
        <f>obalLOB2BDEngage</f>
        <v>0.8</v>
      </c>
      <c r="F2037" s="451">
        <f>obalLOB2BDEngage</f>
        <v>0.8</v>
      </c>
      <c r="G2037" s="451">
        <f>obalLOB2BDEngage</f>
        <v>0.8</v>
      </c>
      <c r="J2037" s="131" t="s">
        <v>2979</v>
      </c>
      <c r="K2037" s="451">
        <f>obalR2LOB2BDEngage</f>
        <v>0.8</v>
      </c>
      <c r="L2037" s="451">
        <f>obalR2LOB2BDEngage</f>
        <v>0.8</v>
      </c>
      <c r="M2037" s="451">
        <f>obalR2LOB2BDEngage</f>
        <v>0.79700000000000004</v>
      </c>
    </row>
    <row r="2038" spans="1:14" ht="12.75" customHeight="1">
      <c r="A2038" s="478"/>
      <c r="D2038" s="131" t="s">
        <v>2980</v>
      </c>
      <c r="E2038" s="451">
        <f>paramLOB2BDEngagement-1</f>
        <v>0</v>
      </c>
      <c r="F2038" s="451">
        <f>paramLOB2BDEngagement-1</f>
        <v>0</v>
      </c>
      <c r="G2038" s="451">
        <f>paramLOB2BDEngagement-1</f>
        <v>0</v>
      </c>
      <c r="J2038" s="131" t="s">
        <v>2980</v>
      </c>
      <c r="K2038" s="451">
        <f>paramR2LOB2BDEngagement-1</f>
        <v>0</v>
      </c>
      <c r="L2038" s="451">
        <f>paramR2LOB2BDEngagement-1</f>
        <v>0</v>
      </c>
      <c r="M2038" s="451">
        <f>paramR2LOB2BDEngagement-1</f>
        <v>0</v>
      </c>
    </row>
    <row r="2039" spans="1:14" ht="12.75" customHeight="1">
      <c r="A2039" s="478"/>
      <c r="C2039" s="504">
        <v>-0.1</v>
      </c>
      <c r="D2039" s="131" t="s">
        <v>491</v>
      </c>
      <c r="E2039" s="451">
        <f>MAX(0,calcLOB2DOOTotalPlanTime-1)*$C2039</f>
        <v>0</v>
      </c>
      <c r="F2039" s="451">
        <f>MAX(0,calcLOB2DOOTotalPlanTime-1)*$C2039</f>
        <v>0</v>
      </c>
      <c r="G2039" s="451">
        <f>MAX(0,calcLOB2DOOTotalPlanTime-1)*$C2039</f>
        <v>-3.0000000000000027E-3</v>
      </c>
      <c r="J2039" s="131" t="s">
        <v>491</v>
      </c>
      <c r="K2039" s="451">
        <f>MAX(0,calcR2LOB2DOOTotalPlanTime-1)*$C2039</f>
        <v>0</v>
      </c>
      <c r="L2039" s="451">
        <f>MAX(0,calcR2LOB2DOOTotalPlanTime-1)*$C2039</f>
        <v>0</v>
      </c>
      <c r="M2039" s="451">
        <f>MAX(0,calcR2LOB2DOOTotalPlanTime-1)*$C2039</f>
        <v>-3.0000000000000027E-3</v>
      </c>
    </row>
    <row r="2040" spans="1:14" ht="12.75" customHeight="1">
      <c r="A2040" s="478"/>
      <c r="D2040" s="131" t="s">
        <v>592</v>
      </c>
      <c r="E2040" s="451">
        <v>0</v>
      </c>
      <c r="F2040" s="451">
        <v>0</v>
      </c>
      <c r="G2040" s="451">
        <v>0</v>
      </c>
      <c r="J2040" s="131" t="s">
        <v>592</v>
      </c>
      <c r="K2040" s="451">
        <v>0</v>
      </c>
      <c r="L2040" s="451">
        <v>0</v>
      </c>
      <c r="M2040" s="451">
        <v>0</v>
      </c>
    </row>
    <row r="2041" spans="1:14" ht="1.5" customHeight="1">
      <c r="A2041" s="478"/>
      <c r="D2041" s="449"/>
      <c r="E2041" s="505"/>
      <c r="F2041" s="505"/>
      <c r="G2041" s="505"/>
      <c r="H2041" s="131"/>
      <c r="J2041" s="449"/>
      <c r="K2041" s="505"/>
      <c r="L2041" s="505"/>
      <c r="M2041" s="505"/>
      <c r="N2041" s="131"/>
    </row>
    <row r="2042" spans="1:14" ht="12.75" customHeight="1">
      <c r="A2042" s="478"/>
      <c r="D2042" s="131" t="s">
        <v>2981</v>
      </c>
      <c r="E2042" s="451">
        <f>SUMPRODUCT(E2037:E2041)</f>
        <v>0.8</v>
      </c>
      <c r="F2042" s="451">
        <f t="shared" ref="F2042" si="268">SUMPRODUCT(F2037:F2041)</f>
        <v>0.8</v>
      </c>
      <c r="G2042" s="451">
        <f t="shared" ref="G2042" si="269">SUMPRODUCT(G2037:G2041)</f>
        <v>0.79700000000000004</v>
      </c>
      <c r="H2042" s="131" t="s">
        <v>3338</v>
      </c>
      <c r="J2042" s="131" t="s">
        <v>2981</v>
      </c>
      <c r="K2042" s="451">
        <f>SUMPRODUCT(K2037:K2041)</f>
        <v>0.8</v>
      </c>
      <c r="L2042" s="451">
        <f t="shared" ref="L2042:M2042" si="270">SUMPRODUCT(L2037:L2041)</f>
        <v>0.8</v>
      </c>
      <c r="M2042" s="451">
        <f t="shared" si="270"/>
        <v>0.79400000000000004</v>
      </c>
      <c r="N2042" s="131" t="s">
        <v>7391</v>
      </c>
    </row>
    <row r="2043" spans="1:14" ht="12.75" customHeight="1">
      <c r="A2043" s="478"/>
    </row>
    <row r="2044" spans="1:14" ht="12.75" customHeight="1">
      <c r="A2044" s="478"/>
      <c r="B2044" s="607">
        <v>1</v>
      </c>
      <c r="C2044" s="608" t="s">
        <v>488</v>
      </c>
      <c r="D2044" s="609"/>
      <c r="E2044" s="609"/>
      <c r="F2044" s="609"/>
      <c r="G2044" s="609"/>
      <c r="H2044" s="610"/>
      <c r="I2044" s="607">
        <v>1</v>
      </c>
      <c r="J2044" s="608" t="s">
        <v>488</v>
      </c>
      <c r="K2044" s="609"/>
      <c r="L2044" s="609"/>
      <c r="M2044" s="609"/>
      <c r="N2044" s="610"/>
    </row>
    <row r="2045" spans="1:14" ht="12.75" customHeight="1">
      <c r="A2045" s="478"/>
      <c r="B2045" s="611">
        <v>2</v>
      </c>
      <c r="C2045" s="612"/>
      <c r="D2045" s="613" t="s">
        <v>2979</v>
      </c>
      <c r="E2045" s="614">
        <f>obalLOB2Stars</f>
        <v>0.7</v>
      </c>
      <c r="F2045" s="614">
        <f>obalLOB2Stars</f>
        <v>0.7</v>
      </c>
      <c r="G2045" s="614">
        <f>obalLOB2Stars</f>
        <v>0.7</v>
      </c>
      <c r="H2045" s="615"/>
      <c r="I2045" s="611">
        <v>2</v>
      </c>
      <c r="J2045" s="613" t="s">
        <v>2979</v>
      </c>
      <c r="K2045" s="614">
        <f>obalR2LOB2Stars</f>
        <v>0.6429999999999999</v>
      </c>
      <c r="L2045" s="614">
        <f>obalR2LOB2Stars</f>
        <v>0.754</v>
      </c>
      <c r="M2045" s="614">
        <f>obalR2LOB2Stars</f>
        <v>0.75369999999999993</v>
      </c>
      <c r="N2045" s="615"/>
    </row>
    <row r="2046" spans="1:14" ht="12.75" customHeight="1">
      <c r="A2046" s="478"/>
      <c r="B2046" s="611">
        <v>3</v>
      </c>
      <c r="C2046" s="617">
        <v>0.5</v>
      </c>
      <c r="D2046" s="613" t="s">
        <v>2980</v>
      </c>
      <c r="E2046" s="614">
        <f>(paramLOB2Stars-1)*$C2046</f>
        <v>0</v>
      </c>
      <c r="F2046" s="614">
        <f>(paramLOB2Stars-1)*$C2046</f>
        <v>6.0000000000000053E-2</v>
      </c>
      <c r="G2046" s="614">
        <f>(paramLOB2Stars-1)*$C2046</f>
        <v>6.0000000000000053E-2</v>
      </c>
      <c r="H2046" s="620" t="s">
        <v>408</v>
      </c>
      <c r="I2046" s="611">
        <v>3</v>
      </c>
      <c r="J2046" s="613" t="s">
        <v>2980</v>
      </c>
      <c r="K2046" s="614">
        <f>(paramR2LOB2Stars-1)*$C2046</f>
        <v>0</v>
      </c>
      <c r="L2046" s="614">
        <f>(paramR2LOB2Stars-1)*$C2046</f>
        <v>2.5000000000000022E-2</v>
      </c>
      <c r="M2046" s="614">
        <f>(paramR2LOB2Stars-1)*$C2046</f>
        <v>1.5000000000000013E-2</v>
      </c>
      <c r="N2046" s="620" t="s">
        <v>408</v>
      </c>
    </row>
    <row r="2047" spans="1:14" ht="12.75" customHeight="1">
      <c r="A2047" s="478"/>
      <c r="B2047" s="611">
        <v>4</v>
      </c>
      <c r="C2047" s="616">
        <v>-0.25</v>
      </c>
      <c r="D2047" s="613" t="s">
        <v>491</v>
      </c>
      <c r="E2047" s="614">
        <f>MAX(0,calcLOB2DOOTotalPlanTime-1)*$C2047</f>
        <v>0</v>
      </c>
      <c r="F2047" s="614">
        <f>MAX(0,calcLOB2DOOTotalPlanTime-1)*$C2047</f>
        <v>0</v>
      </c>
      <c r="G2047" s="614">
        <f>MAX(0,calcLOB2DOOTotalPlanTime-1)*$C2047</f>
        <v>-7.5000000000000067E-3</v>
      </c>
      <c r="H2047" s="615"/>
      <c r="I2047" s="611">
        <v>4</v>
      </c>
      <c r="J2047" s="613" t="s">
        <v>491</v>
      </c>
      <c r="K2047" s="614">
        <f>MAX(0,calcR2LOB2DOOTotalPlanTime-1)*$C2047</f>
        <v>0</v>
      </c>
      <c r="L2047" s="614">
        <f>MAX(0,calcR2LOB2DOOTotalPlanTime-1)*$C2047</f>
        <v>0</v>
      </c>
      <c r="M2047" s="614">
        <f>MAX(0,calcR2LOB2DOOTotalPlanTime-1)*$C2047</f>
        <v>-7.5000000000000067E-3</v>
      </c>
      <c r="N2047" s="615"/>
    </row>
    <row r="2048" spans="1:14" ht="12.75" customHeight="1">
      <c r="A2048" s="478"/>
      <c r="B2048" s="611">
        <v>5</v>
      </c>
      <c r="C2048" s="616">
        <v>-2</v>
      </c>
      <c r="D2048" s="613" t="s">
        <v>1615</v>
      </c>
      <c r="E2048" s="614">
        <f>(cbalLOB2ClinicianAvgMissPerc-obalLOB2ClinicianAvgMissPerc)*$C2048</f>
        <v>-5.7000000000000023E-2</v>
      </c>
      <c r="F2048" s="686">
        <v>-0.03</v>
      </c>
      <c r="G2048" s="686">
        <v>-0.02</v>
      </c>
      <c r="H2048" s="615"/>
      <c r="I2048" s="611">
        <v>5</v>
      </c>
      <c r="J2048" s="613" t="s">
        <v>1615</v>
      </c>
      <c r="K2048" s="767">
        <f>(cbalR2LOB2ClinicianAvgMissPerc-obalR2LOB2ClinicianAvgMissPerc)*($C2048*0.15)</f>
        <v>0</v>
      </c>
      <c r="L2048" s="686">
        <v>-0.03</v>
      </c>
      <c r="M2048" s="686">
        <v>-0.02</v>
      </c>
      <c r="N2048" s="615"/>
    </row>
    <row r="2049" spans="1:14" ht="12.75" customHeight="1">
      <c r="A2049" s="478"/>
      <c r="B2049" s="611">
        <v>6</v>
      </c>
      <c r="C2049" s="629"/>
      <c r="D2049" s="613"/>
      <c r="E2049" s="614">
        <v>0</v>
      </c>
      <c r="F2049" s="614">
        <v>0</v>
      </c>
      <c r="G2049" s="614">
        <v>0</v>
      </c>
      <c r="H2049" s="615"/>
      <c r="I2049" s="611">
        <v>6</v>
      </c>
      <c r="J2049" s="613"/>
      <c r="K2049" s="614">
        <v>0</v>
      </c>
      <c r="L2049" s="614">
        <v>0</v>
      </c>
      <c r="M2049" s="614">
        <v>0</v>
      </c>
      <c r="N2049" s="615"/>
    </row>
    <row r="2050" spans="1:14" ht="12.75" customHeight="1">
      <c r="A2050" s="478"/>
      <c r="B2050" s="611">
        <v>7</v>
      </c>
      <c r="C2050" s="617">
        <v>0.4</v>
      </c>
      <c r="D2050" s="613" t="s">
        <v>489</v>
      </c>
      <c r="E2050" s="614">
        <f>(calcLOB2ESAT-obalLOB2ESAT)*$C2050</f>
        <v>0</v>
      </c>
      <c r="F2050" s="614">
        <f>(calcLOB2ESAT-obalLOB2ESAT)*$C2050</f>
        <v>2.4000000000000021E-2</v>
      </c>
      <c r="G2050" s="614">
        <f>(calcLOB2ESAT-obalLOB2ESAT)*$C2050</f>
        <v>2.1200000000000021E-2</v>
      </c>
      <c r="H2050" s="615"/>
      <c r="I2050" s="611">
        <v>7</v>
      </c>
      <c r="J2050" s="613" t="s">
        <v>489</v>
      </c>
      <c r="K2050" s="614">
        <f>(calcR2LOB2ESAT-obalR2LOB2ESAT)*$C2050</f>
        <v>-1.7895916169642146E-3</v>
      </c>
      <c r="L2050" s="614">
        <f>(calcR2LOB2ESAT-obalR2LOB2ESAT)*$C2050</f>
        <v>2.4000000000000021E-2</v>
      </c>
      <c r="M2050" s="614">
        <f>(calcR2LOB2ESAT-obalR2LOB2ESAT)*$C2050</f>
        <v>9.7663000649816922E-4</v>
      </c>
      <c r="N2050" s="615"/>
    </row>
    <row r="2051" spans="1:14" ht="12.75" customHeight="1">
      <c r="A2051" s="478"/>
      <c r="B2051" s="611"/>
      <c r="C2051" s="617">
        <v>0.25</v>
      </c>
      <c r="D2051" s="613" t="s">
        <v>8379</v>
      </c>
      <c r="E2051" s="614">
        <v>0</v>
      </c>
      <c r="F2051" s="614">
        <v>0</v>
      </c>
      <c r="G2051" s="614">
        <v>0</v>
      </c>
      <c r="H2051" s="615"/>
      <c r="I2051" s="611"/>
      <c r="J2051" s="613"/>
      <c r="K2051" s="614">
        <v>0</v>
      </c>
      <c r="L2051" s="614">
        <v>0</v>
      </c>
      <c r="M2051" s="614">
        <v>0</v>
      </c>
      <c r="N2051" s="615"/>
    </row>
    <row r="2052" spans="1:14" ht="1.5" customHeight="1">
      <c r="A2052" s="478"/>
      <c r="B2052" s="611">
        <v>8</v>
      </c>
      <c r="C2052" s="612"/>
      <c r="D2052" s="618"/>
      <c r="E2052" s="619"/>
      <c r="F2052" s="619"/>
      <c r="G2052" s="619"/>
      <c r="H2052" s="620"/>
      <c r="I2052" s="611">
        <v>8</v>
      </c>
      <c r="J2052" s="618"/>
      <c r="K2052" s="619"/>
      <c r="L2052" s="619"/>
      <c r="M2052" s="619"/>
      <c r="N2052" s="620"/>
    </row>
    <row r="2053" spans="1:14" ht="12.75" customHeight="1">
      <c r="A2053" s="478"/>
      <c r="B2053" s="621">
        <v>9</v>
      </c>
      <c r="C2053" s="622"/>
      <c r="D2053" s="623" t="s">
        <v>4352</v>
      </c>
      <c r="E2053" s="624">
        <f>SUMPRODUCT(E2045:E2052)</f>
        <v>0.6429999999999999</v>
      </c>
      <c r="F2053" s="624">
        <f t="shared" ref="F2053:G2053" si="271">SUMPRODUCT(F2045:F2052)</f>
        <v>0.754</v>
      </c>
      <c r="G2053" s="624">
        <f t="shared" si="271"/>
        <v>0.75369999999999993</v>
      </c>
      <c r="H2053" s="625" t="s">
        <v>3339</v>
      </c>
      <c r="I2053" s="621">
        <v>9</v>
      </c>
      <c r="J2053" s="623" t="s">
        <v>4352</v>
      </c>
      <c r="K2053" s="624">
        <f>SUMPRODUCT(K2045:K2052)</f>
        <v>0.64121040838303567</v>
      </c>
      <c r="L2053" s="624">
        <f t="shared" ref="L2053" si="272">SUMPRODUCT(L2045:L2052)</f>
        <v>0.77300000000000002</v>
      </c>
      <c r="M2053" s="624">
        <f t="shared" ref="M2053" si="273">SUMPRODUCT(M2045:M2052)</f>
        <v>0.74217663000649803</v>
      </c>
      <c r="N2053" s="625" t="s">
        <v>7392</v>
      </c>
    </row>
    <row r="2054" spans="1:14" ht="12.75" customHeight="1">
      <c r="A2054" s="478"/>
    </row>
    <row r="2055" spans="1:14" ht="12.75" customHeight="1">
      <c r="A2055" s="478"/>
      <c r="C2055" s="131" t="str">
        <f>nmDisc1 &amp; " Retention Rate"</f>
        <v>RN Retention Rate</v>
      </c>
    </row>
    <row r="2056" spans="1:14" ht="12.75" customHeight="1">
      <c r="A2056" s="478"/>
      <c r="D2056" s="131" t="s">
        <v>2979</v>
      </c>
      <c r="E2056" s="451">
        <f>obalLOB2Disc1Retention</f>
        <v>0.95</v>
      </c>
      <c r="F2056" s="451">
        <f>obalLOB2Disc1Retention</f>
        <v>0.95</v>
      </c>
      <c r="G2056" s="451">
        <f>obalLOB2Disc1Retention</f>
        <v>0.95</v>
      </c>
      <c r="J2056" s="131" t="s">
        <v>2979</v>
      </c>
      <c r="K2056" s="451">
        <f>obalR2LOB2Disc1Retention</f>
        <v>0.95</v>
      </c>
      <c r="L2056" s="451">
        <f>obalR2LOB2Disc1Retention</f>
        <v>1</v>
      </c>
      <c r="M2056" s="451">
        <f>obalR2LOB2Disc1Retention</f>
        <v>1</v>
      </c>
    </row>
    <row r="2057" spans="1:14" ht="12.75" customHeight="1">
      <c r="A2057" s="478"/>
      <c r="C2057" s="581"/>
      <c r="D2057" s="131" t="s">
        <v>489</v>
      </c>
      <c r="E2057" s="451">
        <f>1+(calcLOB2ESAT-obalLOB2ESAT)</f>
        <v>1</v>
      </c>
      <c r="F2057" s="451">
        <f>1+(calcLOB2ESAT-obalLOB2ESAT)</f>
        <v>1.06</v>
      </c>
      <c r="G2057" s="451">
        <f>1+(calcLOB2ESAT-obalLOB2ESAT)</f>
        <v>1.0529999999999999</v>
      </c>
      <c r="J2057" s="131" t="s">
        <v>489</v>
      </c>
      <c r="K2057" s="451">
        <f>1+(calcR2LOB2ESAT-obalR2LOB2ESAT)</f>
        <v>0.99552602095758946</v>
      </c>
      <c r="L2057" s="451">
        <f>1+(calcR2LOB2ESAT-obalR2LOB2ESAT)</f>
        <v>1.06</v>
      </c>
      <c r="M2057" s="451">
        <f>1+(calcR2LOB2ESAT-obalR2LOB2ESAT)</f>
        <v>1.0024415750162454</v>
      </c>
    </row>
    <row r="2058" spans="1:14" ht="12.75" customHeight="1">
      <c r="A2058" s="478"/>
      <c r="C2058" s="504"/>
      <c r="D2058" s="131" t="s">
        <v>4611</v>
      </c>
      <c r="E2058" s="451">
        <f>1+(cbalLOB2DOOTime2-obalLOB2DOOTime2)</f>
        <v>1</v>
      </c>
      <c r="F2058" s="451">
        <f>1+(cbalLOB2DOOTime2-obalLOB2DOOTime2)</f>
        <v>1</v>
      </c>
      <c r="G2058" s="451">
        <f>1+(cbalLOB2DOOTime2-obalLOB2DOOTime2)</f>
        <v>1</v>
      </c>
      <c r="J2058" s="131" t="s">
        <v>4611</v>
      </c>
      <c r="K2058" s="451">
        <f>1+(cbalR2LOB2DOOTime2-obalR2LOB2DOOTime2)</f>
        <v>1</v>
      </c>
      <c r="L2058" s="451">
        <f>1+(cbalR2LOB2DOOTime2-obalR2LOB2DOOTime2)</f>
        <v>1</v>
      </c>
      <c r="M2058" s="451">
        <f>1+(cbalR2LOB2DOOTime2-obalR2LOB2DOOTime2)</f>
        <v>1</v>
      </c>
    </row>
    <row r="2059" spans="1:14" ht="12.75" customHeight="1">
      <c r="A2059" s="478"/>
      <c r="C2059" s="504"/>
      <c r="D2059" s="131" t="str">
        <f>nmDisc1 &amp; " Productivity"</f>
        <v>RN Productivity</v>
      </c>
      <c r="E2059" s="451">
        <f>paramLOB2Disc1Productivity</f>
        <v>1</v>
      </c>
      <c r="F2059" s="451">
        <f>paramLOB2Disc1Productivity</f>
        <v>1</v>
      </c>
      <c r="G2059" s="451">
        <f>paramLOB2Disc1Productivity</f>
        <v>1</v>
      </c>
      <c r="J2059" s="131" t="str">
        <f>nmDisc1 &amp; " Productivity"</f>
        <v>RN Productivity</v>
      </c>
      <c r="K2059" s="451">
        <f>paramR2LOB2Disc1Productivity</f>
        <v>1</v>
      </c>
      <c r="L2059" s="451">
        <f>paramR2LOB2Disc1Productivity</f>
        <v>1</v>
      </c>
      <c r="M2059" s="451">
        <f>paramR2LOB2Disc1Productivity</f>
        <v>1</v>
      </c>
    </row>
    <row r="2060" spans="1:14" ht="1.5" customHeight="1">
      <c r="A2060" s="478"/>
      <c r="D2060" s="449"/>
      <c r="E2060" s="505"/>
      <c r="F2060" s="505"/>
      <c r="G2060" s="505"/>
      <c r="H2060" s="131"/>
      <c r="J2060" s="449"/>
      <c r="K2060" s="505"/>
      <c r="L2060" s="505"/>
      <c r="M2060" s="505"/>
      <c r="N2060" s="131"/>
    </row>
    <row r="2061" spans="1:14" ht="12.75" customHeight="1">
      <c r="A2061" s="478"/>
      <c r="D2061" s="131" t="s">
        <v>2981</v>
      </c>
      <c r="E2061" s="480">
        <f>MIN(1,PRODUCT(E2056:E2060))</f>
        <v>0.95</v>
      </c>
      <c r="F2061" s="480">
        <f t="shared" ref="F2061" si="274">MIN(1,PRODUCT(F2056:F2060))</f>
        <v>1</v>
      </c>
      <c r="G2061" s="480">
        <f t="shared" ref="G2061" si="275">MIN(1,PRODUCT(G2056:G2060))</f>
        <v>1</v>
      </c>
      <c r="H2061" s="131" t="s">
        <v>4635</v>
      </c>
      <c r="J2061" s="131" t="s">
        <v>2981</v>
      </c>
      <c r="K2061" s="480">
        <f>MIN(1,PRODUCT(K2056:K2060))</f>
        <v>0.94574971990970991</v>
      </c>
      <c r="L2061" s="480">
        <f t="shared" ref="L2061:M2061" si="276">MIN(1,PRODUCT(L2056:L2060))</f>
        <v>1</v>
      </c>
      <c r="M2061" s="480">
        <f t="shared" si="276"/>
        <v>1</v>
      </c>
      <c r="N2061" s="131" t="s">
        <v>7393</v>
      </c>
    </row>
    <row r="2062" spans="1:14" ht="12.75" customHeight="1">
      <c r="A2062" s="478"/>
    </row>
    <row r="2063" spans="1:14" ht="12.75" customHeight="1">
      <c r="A2063" s="478"/>
      <c r="C2063" s="131" t="str">
        <f>nmDisc2 &amp; " Retention Rate"</f>
        <v>LPN Retention Rate</v>
      </c>
    </row>
    <row r="2064" spans="1:14" ht="12.75" customHeight="1">
      <c r="A2064" s="478"/>
      <c r="D2064" s="131" t="s">
        <v>2979</v>
      </c>
      <c r="E2064" s="451">
        <f>obalLOB2Disc2Retention</f>
        <v>0.95</v>
      </c>
      <c r="F2064" s="451">
        <f>obalLOB2Disc2Retention</f>
        <v>0.95</v>
      </c>
      <c r="G2064" s="451">
        <f>obalLOB2Disc2Retention</f>
        <v>0.95</v>
      </c>
      <c r="J2064" s="131" t="s">
        <v>2979</v>
      </c>
      <c r="K2064" s="451">
        <f>obalR2LOB2Disc2Retention</f>
        <v>0.95</v>
      </c>
      <c r="L2064" s="451">
        <f>obalR2LOB2Disc2Retention</f>
        <v>1</v>
      </c>
      <c r="M2064" s="451">
        <f>obalR2LOB2Disc2Retention</f>
        <v>1</v>
      </c>
    </row>
    <row r="2065" spans="1:14" ht="12.75" customHeight="1">
      <c r="A2065" s="478"/>
      <c r="C2065" s="581"/>
      <c r="D2065" s="131" t="s">
        <v>489</v>
      </c>
      <c r="E2065" s="451">
        <f>1+(calcLOB2ESAT-obalLOB2ESAT)</f>
        <v>1</v>
      </c>
      <c r="F2065" s="451">
        <f>1+(calcLOB2ESAT-obalLOB2ESAT)</f>
        <v>1.06</v>
      </c>
      <c r="G2065" s="451">
        <f>1+(calcLOB2ESAT-obalLOB2ESAT)</f>
        <v>1.0529999999999999</v>
      </c>
      <c r="J2065" s="131" t="s">
        <v>489</v>
      </c>
      <c r="K2065" s="451">
        <f>1+(calcR2LOB2ESAT-obalR2LOB2ESAT)</f>
        <v>0.99552602095758946</v>
      </c>
      <c r="L2065" s="451">
        <f>1+(calcR2LOB2ESAT-obalR2LOB2ESAT)</f>
        <v>1.06</v>
      </c>
      <c r="M2065" s="451">
        <f>1+(calcR2LOB2ESAT-obalR2LOB2ESAT)</f>
        <v>1.0024415750162454</v>
      </c>
    </row>
    <row r="2066" spans="1:14" ht="12.75" customHeight="1">
      <c r="A2066" s="478"/>
      <c r="C2066" s="504"/>
      <c r="D2066" s="131" t="s">
        <v>4611</v>
      </c>
      <c r="E2066" s="451">
        <f>1+(cbalLOB2DOOTime2-obalLOB2DOOTime2)</f>
        <v>1</v>
      </c>
      <c r="F2066" s="451">
        <f>1+(cbalLOB2DOOTime2-obalLOB2DOOTime2)</f>
        <v>1</v>
      </c>
      <c r="G2066" s="451">
        <f>1+(cbalLOB2DOOTime2-obalLOB2DOOTime2)</f>
        <v>1</v>
      </c>
      <c r="J2066" s="131" t="s">
        <v>4611</v>
      </c>
      <c r="K2066" s="451">
        <f>1+(cbalR2LOB2DOOTime2-obalR2LOB2DOOTime2)</f>
        <v>1</v>
      </c>
      <c r="L2066" s="451">
        <f>1+(cbalR2LOB2DOOTime2-obalR2LOB2DOOTime2)</f>
        <v>1</v>
      </c>
      <c r="M2066" s="451">
        <f>1+(cbalR2LOB2DOOTime2-obalR2LOB2DOOTime2)</f>
        <v>1</v>
      </c>
    </row>
    <row r="2067" spans="1:14" ht="12.75" customHeight="1">
      <c r="A2067" s="478"/>
      <c r="C2067" s="504"/>
      <c r="D2067" s="131" t="str">
        <f>nmDisc2 &amp; " Productivity"</f>
        <v>LPN Productivity</v>
      </c>
      <c r="E2067" s="451">
        <f>paramLOB2Disc2Productivity</f>
        <v>1</v>
      </c>
      <c r="F2067" s="451">
        <f>paramLOB2Disc2Productivity</f>
        <v>1</v>
      </c>
      <c r="G2067" s="451">
        <f>paramLOB2Disc2Productivity</f>
        <v>1</v>
      </c>
      <c r="J2067" s="131" t="str">
        <f>nmDisc2 &amp; " Productivity"</f>
        <v>LPN Productivity</v>
      </c>
      <c r="K2067" s="451">
        <f>paramR2LOB2Disc2Productivity</f>
        <v>1</v>
      </c>
      <c r="L2067" s="451">
        <f>paramR2LOB2Disc2Productivity</f>
        <v>1</v>
      </c>
      <c r="M2067" s="451">
        <f>paramR2LOB2Disc2Productivity</f>
        <v>1</v>
      </c>
    </row>
    <row r="2068" spans="1:14" ht="1.5" customHeight="1">
      <c r="A2068" s="478"/>
      <c r="D2068" s="449"/>
      <c r="E2068" s="505"/>
      <c r="F2068" s="505"/>
      <c r="G2068" s="505"/>
      <c r="H2068" s="131"/>
      <c r="J2068" s="449"/>
      <c r="K2068" s="505"/>
      <c r="L2068" s="505"/>
      <c r="M2068" s="505"/>
      <c r="N2068" s="131"/>
    </row>
    <row r="2069" spans="1:14" ht="12.75" customHeight="1">
      <c r="A2069" s="478"/>
      <c r="D2069" s="131" t="s">
        <v>2981</v>
      </c>
      <c r="E2069" s="480">
        <f>MIN(1,PRODUCT(E2064:E2068))</f>
        <v>0.95</v>
      </c>
      <c r="F2069" s="480">
        <f t="shared" ref="F2069" si="277">MIN(1,PRODUCT(F2064:F2068))</f>
        <v>1</v>
      </c>
      <c r="G2069" s="480">
        <f t="shared" ref="G2069" si="278">MIN(1,PRODUCT(G2064:G2068))</f>
        <v>1</v>
      </c>
      <c r="H2069" s="131" t="s">
        <v>4636</v>
      </c>
      <c r="J2069" s="131" t="s">
        <v>2981</v>
      </c>
      <c r="K2069" s="480">
        <f>MIN(1,PRODUCT(K2064:K2068))</f>
        <v>0.94574971990970991</v>
      </c>
      <c r="L2069" s="480">
        <f t="shared" ref="L2069:M2069" si="279">MIN(1,PRODUCT(L2064:L2068))</f>
        <v>1</v>
      </c>
      <c r="M2069" s="480">
        <f t="shared" si="279"/>
        <v>1</v>
      </c>
      <c r="N2069" s="131" t="s">
        <v>7394</v>
      </c>
    </row>
    <row r="2070" spans="1:14" ht="12.75" customHeight="1">
      <c r="A2070" s="478"/>
    </row>
    <row r="2071" spans="1:14" ht="12.75" customHeight="1">
      <c r="A2071" s="478"/>
      <c r="C2071" s="131" t="str">
        <f>nmDisc3 &amp; " Retention Rate"</f>
        <v>PT Retention Rate</v>
      </c>
    </row>
    <row r="2072" spans="1:14" ht="12.75" customHeight="1">
      <c r="A2072" s="478"/>
      <c r="D2072" s="131" t="s">
        <v>2979</v>
      </c>
      <c r="E2072" s="451">
        <f>obalLOB2Disc3Retention</f>
        <v>0.95</v>
      </c>
      <c r="F2072" s="451">
        <f>obalLOB2Disc3Retention</f>
        <v>0.95</v>
      </c>
      <c r="G2072" s="451">
        <f>obalLOB2Disc3Retention</f>
        <v>0.95</v>
      </c>
      <c r="J2072" s="131" t="s">
        <v>2979</v>
      </c>
      <c r="K2072" s="451">
        <f>obalR2LOB2Disc3Retention</f>
        <v>0.95</v>
      </c>
      <c r="L2072" s="451">
        <f>obalR2LOB2Disc3Retention</f>
        <v>1</v>
      </c>
      <c r="M2072" s="451">
        <f>obalR2LOB2Disc3Retention</f>
        <v>1</v>
      </c>
    </row>
    <row r="2073" spans="1:14" ht="12.75" customHeight="1">
      <c r="A2073" s="478"/>
      <c r="C2073" s="581"/>
      <c r="D2073" s="131" t="s">
        <v>489</v>
      </c>
      <c r="E2073" s="451">
        <f>1+(calcLOB2ESAT-obalLOB2ESAT)</f>
        <v>1</v>
      </c>
      <c r="F2073" s="451">
        <f>1+(calcLOB2ESAT-obalLOB2ESAT)</f>
        <v>1.06</v>
      </c>
      <c r="G2073" s="451">
        <f>1+(calcLOB2ESAT-obalLOB2ESAT)</f>
        <v>1.0529999999999999</v>
      </c>
      <c r="J2073" s="131" t="s">
        <v>489</v>
      </c>
      <c r="K2073" s="451">
        <f>1+(calcR2LOB2ESAT-obalR2LOB2ESAT)</f>
        <v>0.99552602095758946</v>
      </c>
      <c r="L2073" s="451">
        <f>1+(calcR2LOB2ESAT-obalR2LOB2ESAT)</f>
        <v>1.06</v>
      </c>
      <c r="M2073" s="451">
        <f>1+(calcR2LOB2ESAT-obalR2LOB2ESAT)</f>
        <v>1.0024415750162454</v>
      </c>
    </row>
    <row r="2074" spans="1:14" ht="12.75" customHeight="1">
      <c r="A2074" s="478"/>
      <c r="C2074" s="504"/>
      <c r="D2074" s="131" t="s">
        <v>4611</v>
      </c>
      <c r="E2074" s="451">
        <f>1+(cbalLOB2DOOTime2-obalLOB2DOOTime2)</f>
        <v>1</v>
      </c>
      <c r="F2074" s="451">
        <f>1+(cbalLOB2DOOTime2-obalLOB2DOOTime2)</f>
        <v>1</v>
      </c>
      <c r="G2074" s="451">
        <f>1+(cbalLOB2DOOTime2-obalLOB2DOOTime2)</f>
        <v>1</v>
      </c>
      <c r="J2074" s="131" t="s">
        <v>4611</v>
      </c>
      <c r="K2074" s="451">
        <f>1+(cbalR2LOB2DOOTime2-obalR2LOB2DOOTime2)</f>
        <v>1</v>
      </c>
      <c r="L2074" s="451">
        <f>1+(cbalR2LOB2DOOTime2-obalR2LOB2DOOTime2)</f>
        <v>1</v>
      </c>
      <c r="M2074" s="451">
        <f>1+(cbalR2LOB2DOOTime2-obalR2LOB2DOOTime2)</f>
        <v>1</v>
      </c>
    </row>
    <row r="2075" spans="1:14" ht="12.75" customHeight="1">
      <c r="A2075" s="478"/>
      <c r="C2075" s="504"/>
      <c r="D2075" s="131" t="str">
        <f>nmDisc3 &amp; " Productivity"</f>
        <v>PT Productivity</v>
      </c>
      <c r="E2075" s="451">
        <f>paramLOB2Disc3Productivity</f>
        <v>1</v>
      </c>
      <c r="F2075" s="451">
        <f>paramLOB2Disc3Productivity</f>
        <v>1</v>
      </c>
      <c r="G2075" s="451">
        <f>paramLOB2Disc3Productivity</f>
        <v>1</v>
      </c>
      <c r="J2075" s="131" t="str">
        <f>nmDisc3 &amp; " Productivity"</f>
        <v>PT Productivity</v>
      </c>
      <c r="K2075" s="451">
        <f>paramR2LOB2Disc3Productivity</f>
        <v>1</v>
      </c>
      <c r="L2075" s="451">
        <f>paramR2LOB2Disc3Productivity</f>
        <v>1</v>
      </c>
      <c r="M2075" s="451">
        <f>paramR2LOB2Disc3Productivity</f>
        <v>1</v>
      </c>
    </row>
    <row r="2076" spans="1:14" ht="1.5" customHeight="1">
      <c r="A2076" s="478"/>
      <c r="D2076" s="449"/>
      <c r="E2076" s="505"/>
      <c r="F2076" s="505"/>
      <c r="G2076" s="505"/>
      <c r="H2076" s="131"/>
      <c r="J2076" s="449"/>
      <c r="K2076" s="505"/>
      <c r="L2076" s="505"/>
      <c r="M2076" s="505"/>
      <c r="N2076" s="131"/>
    </row>
    <row r="2077" spans="1:14" ht="12.75" customHeight="1">
      <c r="A2077" s="478"/>
      <c r="D2077" s="131" t="s">
        <v>2981</v>
      </c>
      <c r="E2077" s="480">
        <f>MIN(1,PRODUCT(E2072:E2076))</f>
        <v>0.95</v>
      </c>
      <c r="F2077" s="480">
        <f t="shared" ref="F2077" si="280">MIN(1,PRODUCT(F2072:F2076))</f>
        <v>1</v>
      </c>
      <c r="G2077" s="480">
        <f t="shared" ref="G2077" si="281">MIN(1,PRODUCT(G2072:G2076))</f>
        <v>1</v>
      </c>
      <c r="H2077" s="131" t="s">
        <v>4637</v>
      </c>
      <c r="J2077" s="131" t="s">
        <v>2981</v>
      </c>
      <c r="K2077" s="480">
        <f>MIN(1,PRODUCT(K2072:K2076))</f>
        <v>0.94574971990970991</v>
      </c>
      <c r="L2077" s="480">
        <f t="shared" ref="L2077:M2077" si="282">MIN(1,PRODUCT(L2072:L2076))</f>
        <v>1</v>
      </c>
      <c r="M2077" s="480">
        <f t="shared" si="282"/>
        <v>1</v>
      </c>
      <c r="N2077" s="131" t="s">
        <v>7395</v>
      </c>
    </row>
    <row r="2078" spans="1:14" ht="12.75" customHeight="1">
      <c r="A2078" s="478"/>
    </row>
    <row r="2079" spans="1:14" ht="12.75" customHeight="1">
      <c r="A2079" s="478"/>
      <c r="C2079" s="131" t="str">
        <f>nmDisc4 &amp; " Retention Rate"</f>
        <v>OT Retention Rate</v>
      </c>
    </row>
    <row r="2080" spans="1:14" ht="12.75" customHeight="1">
      <c r="A2080" s="478"/>
      <c r="D2080" s="131" t="s">
        <v>2979</v>
      </c>
      <c r="E2080" s="451">
        <f>obalLOB2Disc4Retention</f>
        <v>0.95</v>
      </c>
      <c r="F2080" s="451">
        <f>obalLOB2Disc4Retention</f>
        <v>0.95</v>
      </c>
      <c r="G2080" s="451">
        <f>obalLOB2Disc4Retention</f>
        <v>0.95</v>
      </c>
      <c r="J2080" s="131" t="s">
        <v>2979</v>
      </c>
      <c r="K2080" s="451">
        <f>obalR2LOB2Disc4Retention</f>
        <v>0.95</v>
      </c>
      <c r="L2080" s="451">
        <f>obalR2LOB2Disc4Retention</f>
        <v>1</v>
      </c>
      <c r="M2080" s="451">
        <f>obalR2LOB2Disc4Retention</f>
        <v>1</v>
      </c>
    </row>
    <row r="2081" spans="1:14" ht="12.75" customHeight="1">
      <c r="A2081" s="478"/>
      <c r="C2081" s="581"/>
      <c r="D2081" s="131" t="s">
        <v>489</v>
      </c>
      <c r="E2081" s="451">
        <f>1+(calcLOB2ESAT-obalLOB2ESAT)</f>
        <v>1</v>
      </c>
      <c r="F2081" s="451">
        <f>1+(calcLOB2ESAT-obalLOB2ESAT)</f>
        <v>1.06</v>
      </c>
      <c r="G2081" s="451">
        <f>1+(calcLOB2ESAT-obalLOB2ESAT)</f>
        <v>1.0529999999999999</v>
      </c>
      <c r="J2081" s="131" t="s">
        <v>489</v>
      </c>
      <c r="K2081" s="451">
        <f>1+(calcR2LOB2ESAT-obalR2LOB2ESAT)</f>
        <v>0.99552602095758946</v>
      </c>
      <c r="L2081" s="451">
        <f>1+(calcR2LOB2ESAT-obalR2LOB2ESAT)</f>
        <v>1.06</v>
      </c>
      <c r="M2081" s="451">
        <f>1+(calcR2LOB2ESAT-obalR2LOB2ESAT)</f>
        <v>1.0024415750162454</v>
      </c>
    </row>
    <row r="2082" spans="1:14" ht="12.75" customHeight="1">
      <c r="A2082" s="478"/>
      <c r="C2082" s="504"/>
      <c r="D2082" s="131" t="s">
        <v>4611</v>
      </c>
      <c r="E2082" s="451">
        <f>1+(cbalLOB2DOOTime2-obalLOB2DOOTime2)</f>
        <v>1</v>
      </c>
      <c r="F2082" s="451">
        <f>1+(cbalLOB2DOOTime2-obalLOB2DOOTime2)</f>
        <v>1</v>
      </c>
      <c r="G2082" s="451">
        <f>1+(cbalLOB2DOOTime2-obalLOB2DOOTime2)</f>
        <v>1</v>
      </c>
      <c r="J2082" s="131" t="s">
        <v>4611</v>
      </c>
      <c r="K2082" s="451">
        <f>1+(cbalR2LOB2DOOTime2-obalR2LOB2DOOTime2)</f>
        <v>1</v>
      </c>
      <c r="L2082" s="451">
        <f>1+(cbalR2LOB2DOOTime2-obalR2LOB2DOOTime2)</f>
        <v>1</v>
      </c>
      <c r="M2082" s="451">
        <f>1+(cbalR2LOB2DOOTime2-obalR2LOB2DOOTime2)</f>
        <v>1</v>
      </c>
    </row>
    <row r="2083" spans="1:14" ht="12.75" customHeight="1">
      <c r="A2083" s="478"/>
      <c r="C2083" s="504"/>
      <c r="D2083" s="131" t="str">
        <f>nmDisc4 &amp; " Productivity"</f>
        <v>OT Productivity</v>
      </c>
      <c r="E2083" s="451">
        <f>paramLOB2Disc4Productivity</f>
        <v>1</v>
      </c>
      <c r="F2083" s="451">
        <f>paramLOB2Disc4Productivity</f>
        <v>1</v>
      </c>
      <c r="G2083" s="451">
        <f>paramLOB2Disc4Productivity</f>
        <v>1</v>
      </c>
      <c r="J2083" s="131" t="str">
        <f>nmDisc4 &amp; " Productivity"</f>
        <v>OT Productivity</v>
      </c>
      <c r="K2083" s="451">
        <f>paramR2LOB2Disc4Productivity</f>
        <v>1</v>
      </c>
      <c r="L2083" s="451">
        <f>paramR2LOB2Disc4Productivity</f>
        <v>1</v>
      </c>
      <c r="M2083" s="451">
        <f>paramR2LOB2Disc4Productivity</f>
        <v>1</v>
      </c>
    </row>
    <row r="2084" spans="1:14" ht="1.5" customHeight="1">
      <c r="A2084" s="478"/>
      <c r="D2084" s="449"/>
      <c r="E2084" s="505"/>
      <c r="F2084" s="505"/>
      <c r="G2084" s="505"/>
      <c r="H2084" s="131"/>
      <c r="J2084" s="449"/>
      <c r="K2084" s="505"/>
      <c r="L2084" s="505"/>
      <c r="M2084" s="505"/>
      <c r="N2084" s="131"/>
    </row>
    <row r="2085" spans="1:14" ht="12.75" customHeight="1">
      <c r="A2085" s="478"/>
      <c r="D2085" s="131" t="s">
        <v>2981</v>
      </c>
      <c r="E2085" s="480">
        <f>MIN(1,PRODUCT(E2080:E2084))</f>
        <v>0.95</v>
      </c>
      <c r="F2085" s="480">
        <f t="shared" ref="F2085" si="283">MIN(1,PRODUCT(F2080:F2084))</f>
        <v>1</v>
      </c>
      <c r="G2085" s="480">
        <f t="shared" ref="G2085" si="284">MIN(1,PRODUCT(G2080:G2084))</f>
        <v>1</v>
      </c>
      <c r="H2085" s="131" t="s">
        <v>4638</v>
      </c>
      <c r="J2085" s="131" t="s">
        <v>2981</v>
      </c>
      <c r="K2085" s="480">
        <f>MIN(1,PRODUCT(K2080:K2084))</f>
        <v>0.94574971990970991</v>
      </c>
      <c r="L2085" s="480">
        <f t="shared" ref="L2085:M2085" si="285">MIN(1,PRODUCT(L2080:L2084))</f>
        <v>1</v>
      </c>
      <c r="M2085" s="480">
        <f t="shared" si="285"/>
        <v>1</v>
      </c>
      <c r="N2085" s="131" t="s">
        <v>7396</v>
      </c>
    </row>
    <row r="2086" spans="1:14" ht="12.75" customHeight="1">
      <c r="A2086" s="478"/>
    </row>
    <row r="2087" spans="1:14" ht="12.75" customHeight="1">
      <c r="A2087" s="478"/>
      <c r="C2087" s="131" t="s">
        <v>4131</v>
      </c>
      <c r="E2087" s="170">
        <f>decLOB2Cln1Mtng_R1+decLOB2Cln2Mtng_R1+decLOB2Cln3Mtng_R1+decLOB2Cln4Mtng_R1+decLOB2Cln5Mtng_R1+decLOB2Cln6Mtng_R1+decLOB2Cln7Mtng_R1+decLOB2Cln8Mtng_R1+decLOB2Cln9Mtng_R1+decLOB2Cln10Mtng_R1+decLOB2Cln11Mtng_R1+decLOB2Cln12Mtng_R1</f>
        <v>0</v>
      </c>
      <c r="F2087" s="170">
        <f>decLOB2Cln1Mtng_R1+decLOB2Cln2Mtng_R1+decLOB2Cln3Mtng_R1+decLOB2Cln4Mtng_R1+decLOB2Cln5Mtng_R1+decLOB2Cln6Mtng_R1+decLOB2Cln7Mtng_R1+decLOB2Cln8Mtng_R1+decLOB2Cln9Mtng_R1+decLOB2Cln10Mtng_R1+decLOB2Cln11Mtng_R1+decLOB2Cln12Mtng_R1</f>
        <v>0</v>
      </c>
      <c r="G2087" s="170">
        <f>decLOB2Cln1Mtng_R1+decLOB2Cln2Mtng_R1+decLOB2Cln3Mtng_R1+decLOB2Cln4Mtng_R1+decLOB2Cln5Mtng_R1+decLOB2Cln6Mtng_R1+decLOB2Cln7Mtng_R1+decLOB2Cln8Mtng_R1+decLOB2Cln9Mtng_R1+decLOB2Cln10Mtng_R1+decLOB2Cln11Mtng_R1+decLOB2Cln12Mtng_R1</f>
        <v>0</v>
      </c>
      <c r="H2087" s="131" t="s">
        <v>4133</v>
      </c>
      <c r="K2087" s="170">
        <f>decLOB2Cln1Mtng_R2+decLOB2Cln2Mtng_R2+decLOB2Cln3Mtng_R2+decLOB2Cln4Mtng_R2+decLOB2Cln5Mtng_R2+decLOB2Cln6Mtng_R2+decLOB2Cln7Mtng_R2+decLOB2Cln8Mtng_R2+decLOB2Cln9Mtng_R2+decLOB2Cln10Mtng_R2+decLOB2Cln11Mtng_R2+decLOB2Cln12Mtng_R2</f>
        <v>0</v>
      </c>
      <c r="L2087" s="170">
        <f>decLOB2Cln1Mtng_R2+decLOB2Cln2Mtng_R2+decLOB2Cln3Mtng_R2+decLOB2Cln4Mtng_R2+decLOB2Cln5Mtng_R2+decLOB2Cln6Mtng_R2+decLOB2Cln7Mtng_R2+decLOB2Cln8Mtng_R2+decLOB2Cln9Mtng_R2+decLOB2Cln10Mtng_R2+decLOB2Cln11Mtng_R2+decLOB2Cln12Mtng_R2</f>
        <v>0</v>
      </c>
      <c r="M2087" s="170">
        <f>decLOB2Cln1Mtng_R2+decLOB2Cln2Mtng_R2+decLOB2Cln3Mtng_R2+decLOB2Cln4Mtng_R2+decLOB2Cln5Mtng_R2+decLOB2Cln6Mtng_R2+decLOB2Cln7Mtng_R2+decLOB2Cln8Mtng_R2+decLOB2Cln9Mtng_R2+decLOB2Cln10Mtng_R2+decLOB2Cln11Mtng_R2+decLOB2Cln12Mtng_R2</f>
        <v>0</v>
      </c>
      <c r="N2087" s="131" t="s">
        <v>7397</v>
      </c>
    </row>
    <row r="2088" spans="1:14" ht="12.75" customHeight="1">
      <c r="E2088" s="518"/>
      <c r="K2088" s="518"/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P810"/>
  <sheetViews>
    <sheetView topLeftCell="A112" zoomScaleNormal="100" workbookViewId="0">
      <selection activeCell="L117" sqref="L117"/>
    </sheetView>
  </sheetViews>
  <sheetFormatPr defaultColWidth="9.33203125" defaultRowHeight="10"/>
  <cols>
    <col min="1" max="1" width="2.77734375" style="63" customWidth="1"/>
    <col min="2" max="2" width="9.77734375" style="63" customWidth="1"/>
    <col min="3" max="3" width="8.109375" style="63" customWidth="1"/>
    <col min="4" max="4" width="37" style="63" customWidth="1"/>
    <col min="5" max="7" width="9.33203125" style="65"/>
    <col min="8" max="9" width="9.33203125" style="63"/>
    <col min="10" max="12" width="10.77734375" style="63" customWidth="1"/>
    <col min="13" max="16384" width="9.33203125" style="63"/>
  </cols>
  <sheetData>
    <row r="1" spans="1:8" s="61" customFormat="1" ht="10.5">
      <c r="A1" s="134" t="s">
        <v>165</v>
      </c>
    </row>
    <row r="2" spans="1:8" s="83" customFormat="1" ht="12.75" customHeight="1">
      <c r="C2" s="135"/>
      <c r="F2" s="135"/>
    </row>
    <row r="3" spans="1:8" s="83" customFormat="1">
      <c r="B3" s="83" t="s">
        <v>138</v>
      </c>
      <c r="D3" s="136" t="s">
        <v>123</v>
      </c>
      <c r="F3" s="137"/>
    </row>
    <row r="4" spans="1:8" ht="12" customHeight="1">
      <c r="B4" s="138"/>
      <c r="E4" s="63"/>
      <c r="F4" s="63"/>
      <c r="G4" s="63"/>
    </row>
    <row r="5" spans="1:8" s="70" customFormat="1">
      <c r="B5" s="70" t="s">
        <v>137</v>
      </c>
      <c r="C5" s="71"/>
      <c r="D5" s="71"/>
      <c r="E5" s="71"/>
      <c r="F5" s="71"/>
    </row>
    <row r="6" spans="1:8">
      <c r="E6" s="63"/>
      <c r="F6" s="63"/>
      <c r="G6" s="63"/>
    </row>
    <row r="7" spans="1:8" ht="10.5">
      <c r="B7" s="67" t="s">
        <v>136</v>
      </c>
      <c r="E7" s="63"/>
      <c r="F7" s="63"/>
      <c r="G7" s="63"/>
    </row>
    <row r="8" spans="1:8">
      <c r="B8" s="139"/>
      <c r="C8" s="73" t="s">
        <v>110</v>
      </c>
      <c r="E8" s="63"/>
      <c r="F8" s="63"/>
      <c r="G8" s="63"/>
    </row>
    <row r="9" spans="1:8">
      <c r="B9" s="141"/>
      <c r="C9" s="73" t="s">
        <v>107</v>
      </c>
      <c r="E9" s="63"/>
      <c r="F9" s="63"/>
      <c r="G9" s="63"/>
    </row>
    <row r="10" spans="1:8">
      <c r="B10" s="142"/>
      <c r="C10" s="73" t="s">
        <v>164</v>
      </c>
      <c r="E10" s="143"/>
      <c r="F10" s="63"/>
      <c r="G10" s="63"/>
    </row>
    <row r="11" spans="1:8" ht="12" customHeight="1">
      <c r="B11" s="138"/>
      <c r="E11" s="63"/>
      <c r="F11" s="63"/>
      <c r="G11" s="63"/>
    </row>
    <row r="12" spans="1:8" s="144" customFormat="1">
      <c r="A12" s="145" t="s">
        <v>174</v>
      </c>
      <c r="B12" s="145"/>
      <c r="E12" s="144" t="s">
        <v>162</v>
      </c>
      <c r="F12" s="144" t="s">
        <v>161</v>
      </c>
      <c r="G12" s="144" t="s">
        <v>160</v>
      </c>
    </row>
    <row r="13" spans="1:8" s="146" customFormat="1">
      <c r="B13" s="147"/>
      <c r="C13" s="146" t="s">
        <v>173</v>
      </c>
      <c r="D13" s="146" t="s">
        <v>172</v>
      </c>
      <c r="E13" s="152">
        <v>1</v>
      </c>
      <c r="F13" s="152">
        <v>2</v>
      </c>
      <c r="G13" s="152">
        <v>3</v>
      </c>
      <c r="H13" s="147" t="s">
        <v>171</v>
      </c>
    </row>
    <row r="15" spans="1:8">
      <c r="A15" s="157"/>
      <c r="B15" s="509"/>
      <c r="C15" s="157"/>
      <c r="D15" s="157"/>
    </row>
    <row r="16" spans="1:8">
      <c r="A16" s="157"/>
      <c r="B16" s="509"/>
      <c r="C16" s="157"/>
      <c r="D16" s="157"/>
    </row>
    <row r="18" spans="1:13" s="146" customFormat="1">
      <c r="A18" s="147" t="s">
        <v>4641</v>
      </c>
      <c r="B18" s="147"/>
      <c r="E18" s="146" t="s">
        <v>706</v>
      </c>
      <c r="F18" s="146" t="s">
        <v>707</v>
      </c>
    </row>
    <row r="19" spans="1:13">
      <c r="B19" s="432"/>
      <c r="C19" s="432"/>
      <c r="D19" s="432"/>
      <c r="E19" s="433"/>
      <c r="F19" s="433"/>
      <c r="G19" s="433"/>
    </row>
    <row r="20" spans="1:13" ht="10.5">
      <c r="A20" s="63">
        <v>1</v>
      </c>
      <c r="B20" s="585" t="str">
        <f>VLOOKUP(A20,dataTableCC1Staff,4,FALSE) &amp; " - High Mileage, Admin, Missed Visits"</f>
        <v>Tiana Teachout   - High Mileage, Admin, Missed Visits</v>
      </c>
      <c r="C20" s="432"/>
      <c r="D20" s="432"/>
      <c r="E20" s="433"/>
      <c r="F20" s="433"/>
      <c r="G20" s="433"/>
    </row>
    <row r="21" spans="1:13">
      <c r="B21" s="132" t="s">
        <v>595</v>
      </c>
      <c r="C21" s="431" t="s">
        <v>3992</v>
      </c>
      <c r="D21" s="436" t="str">
        <f>VLOOKUP(C21,param!$A$18:$B$220,2,FALSE)</f>
        <v>LOB1-Clinician 1 Meetings</v>
      </c>
      <c r="E21" s="433">
        <f>INDEX(decLOB1Cln1Mtng_R1,1)*K21</f>
        <v>0</v>
      </c>
      <c r="F21" s="433">
        <f>INDEX(decLOB1Cln1Mtng_R2,1)*L21</f>
        <v>0</v>
      </c>
      <c r="G21" s="433"/>
      <c r="J21" s="154">
        <v>0</v>
      </c>
      <c r="K21" s="429">
        <v>0.1</v>
      </c>
      <c r="L21" s="429">
        <v>0.1</v>
      </c>
      <c r="M21" s="8"/>
    </row>
    <row r="22" spans="1:13">
      <c r="B22" s="132" t="s">
        <v>595</v>
      </c>
      <c r="C22" s="431" t="s">
        <v>4149</v>
      </c>
      <c r="D22" s="436" t="str">
        <f>VLOOKUP(C22,param!$A$18:$B$220,2,FALSE)</f>
        <v>LOB1-Clinician 1 Missed</v>
      </c>
      <c r="E22" s="433">
        <f>INDEX(decLOB1Cln1Mtng_R1,1)*K22</f>
        <v>0</v>
      </c>
      <c r="F22" s="433">
        <f>INDEX(decLOB1Cln1Mtng_R2,1)*L22</f>
        <v>0</v>
      </c>
      <c r="G22" s="433"/>
      <c r="J22" s="154">
        <v>0</v>
      </c>
      <c r="K22" s="429">
        <v>-0.5</v>
      </c>
      <c r="L22" s="429">
        <v>-0.5</v>
      </c>
      <c r="M22" s="8"/>
    </row>
    <row r="23" spans="1:13">
      <c r="B23" s="132" t="s">
        <v>595</v>
      </c>
      <c r="C23" s="431" t="s">
        <v>4464</v>
      </c>
      <c r="D23" s="436" t="str">
        <f>VLOOKUP(C23,param!$A$18:$B$220,2,FALSE)</f>
        <v>LOB1-Clinician 1 Mileage</v>
      </c>
      <c r="E23" s="433">
        <f>INDEX(decLOB1Cln1Mtng_R1,1)*K23</f>
        <v>0</v>
      </c>
      <c r="F23" s="433">
        <f>INDEX(decLOB1Cln1Mtng_R2,1)*L23</f>
        <v>0</v>
      </c>
      <c r="G23" s="433"/>
      <c r="J23" s="154">
        <v>0</v>
      </c>
      <c r="K23" s="429">
        <v>-0.15</v>
      </c>
      <c r="L23" s="429">
        <v>-0.15</v>
      </c>
      <c r="M23" s="8"/>
    </row>
    <row r="24" spans="1:13">
      <c r="B24" s="132"/>
      <c r="C24" s="431"/>
      <c r="D24" s="436"/>
      <c r="E24" s="433"/>
      <c r="F24" s="433"/>
      <c r="G24" s="433"/>
      <c r="J24" s="154"/>
      <c r="K24" s="429"/>
      <c r="L24" s="429"/>
      <c r="M24" s="8"/>
    </row>
    <row r="25" spans="1:13" ht="10.5">
      <c r="A25" s="63">
        <v>2</v>
      </c>
      <c r="B25" s="585" t="str">
        <f>VLOOKUP(A25,dataTableCC1Staff,4,FALSE) &amp; " - Low Engagement"</f>
        <v>Vernon Vale   - Low Engagement</v>
      </c>
      <c r="C25" s="431"/>
      <c r="D25" s="436"/>
      <c r="E25" s="433"/>
      <c r="F25" s="433"/>
      <c r="G25" s="433"/>
      <c r="J25" s="154"/>
      <c r="K25" s="429"/>
      <c r="L25" s="429"/>
      <c r="M25" s="8"/>
    </row>
    <row r="26" spans="1:13">
      <c r="B26" s="132" t="s">
        <v>596</v>
      </c>
      <c r="C26" s="431" t="s">
        <v>4138</v>
      </c>
      <c r="D26" s="436" t="str">
        <f>VLOOKUP(C26,param!$A$18:$B$220,2,FALSE)</f>
        <v>LOB1-Clinician 2 Meetings</v>
      </c>
      <c r="E26" s="433">
        <f>INDEX(decLOB1Cln2Mtng_R1,1)*K26</f>
        <v>0</v>
      </c>
      <c r="F26" s="433">
        <f>INDEX(decLOB1Cln2Mtng_R2,1)*L26</f>
        <v>0</v>
      </c>
      <c r="G26" s="433"/>
      <c r="J26" s="154">
        <v>0</v>
      </c>
      <c r="K26" s="429">
        <v>0.1</v>
      </c>
      <c r="L26" s="429">
        <v>0.1</v>
      </c>
      <c r="M26" s="8"/>
    </row>
    <row r="27" spans="1:13">
      <c r="B27" s="132" t="s">
        <v>596</v>
      </c>
      <c r="C27" s="431" t="s">
        <v>4150</v>
      </c>
      <c r="D27" s="436" t="str">
        <f>VLOOKUP(C27,param!$A$18:$B$220,2,FALSE)</f>
        <v>LOB1-Clinician 2 Missed</v>
      </c>
      <c r="E27" s="433">
        <f>INDEX(decLOB1Cln2Mtng_R1,1)*K27</f>
        <v>0</v>
      </c>
      <c r="F27" s="433">
        <f>INDEX(decLOB1Cln2Mtng_R2,1)*L27</f>
        <v>0</v>
      </c>
      <c r="G27" s="433"/>
      <c r="J27" s="154">
        <v>0</v>
      </c>
      <c r="K27" s="429">
        <v>-0.25</v>
      </c>
      <c r="L27" s="429">
        <v>-0.25</v>
      </c>
      <c r="M27" s="8"/>
    </row>
    <row r="28" spans="1:13">
      <c r="B28" s="132" t="s">
        <v>596</v>
      </c>
      <c r="C28" s="431" t="s">
        <v>3162</v>
      </c>
      <c r="D28" s="436" t="str">
        <f>VLOOKUP(C28,param!$A$18:$B$220,2,FALSE)</f>
        <v>LOB1 - Employee Engagment</v>
      </c>
      <c r="E28" s="433">
        <f>INDEX(decLOB1Cln2Mtng_R1,1)*K28</f>
        <v>0</v>
      </c>
      <c r="F28" s="433">
        <f>INDEX(decLOB1Cln2Mtng_R2,1)*L28</f>
        <v>0</v>
      </c>
      <c r="G28" s="433"/>
      <c r="J28" s="154">
        <v>0</v>
      </c>
      <c r="K28" s="429">
        <v>0.01</v>
      </c>
      <c r="L28" s="429">
        <v>0.01</v>
      </c>
      <c r="M28" s="8"/>
    </row>
    <row r="29" spans="1:13">
      <c r="B29" s="132"/>
      <c r="C29" s="431"/>
      <c r="D29" s="436"/>
      <c r="E29" s="433"/>
      <c r="F29" s="433"/>
      <c r="G29" s="433"/>
      <c r="J29" s="154"/>
      <c r="K29" s="429"/>
      <c r="L29" s="429"/>
      <c r="M29" s="8"/>
    </row>
    <row r="30" spans="1:13" ht="10.5">
      <c r="A30" s="63">
        <v>3</v>
      </c>
      <c r="B30" s="585" t="str">
        <f>VLOOKUP(A30,dataTableCC1Staff,4,FALSE) &amp; " - High Admin Time"</f>
        <v>Shelby Schoenfeld   - High Admin Time</v>
      </c>
      <c r="C30" s="431"/>
      <c r="D30" s="436"/>
      <c r="E30" s="433"/>
      <c r="F30" s="433"/>
      <c r="G30" s="433"/>
      <c r="J30" s="154"/>
      <c r="K30" s="429"/>
      <c r="L30" s="429"/>
    </row>
    <row r="31" spans="1:13">
      <c r="B31" s="132" t="s">
        <v>597</v>
      </c>
      <c r="C31" s="431" t="s">
        <v>4139</v>
      </c>
      <c r="D31" s="436" t="str">
        <f>VLOOKUP(C31,param!$A$18:$B$220,2,FALSE)</f>
        <v>LOB1-Clinician 3 Meetings</v>
      </c>
      <c r="E31" s="433">
        <f>INDEX(decLOB1Cln3Mtng_R1,1)*K31</f>
        <v>0</v>
      </c>
      <c r="F31" s="433">
        <f>INDEX(decLOB1Cln3Mtng_R2,1)*L31</f>
        <v>0</v>
      </c>
      <c r="G31" s="433"/>
      <c r="J31" s="154">
        <v>0</v>
      </c>
      <c r="K31" s="429">
        <v>0.1</v>
      </c>
      <c r="L31" s="429">
        <v>0.1</v>
      </c>
      <c r="M31" s="8"/>
    </row>
    <row r="32" spans="1:13">
      <c r="B32" s="132" t="s">
        <v>597</v>
      </c>
      <c r="C32" s="431" t="s">
        <v>4502</v>
      </c>
      <c r="D32" s="436" t="str">
        <f>VLOOKUP(C32,param!$A$18:$B$220,2,FALSE)</f>
        <v>LOB1-Clinician 3 Admin</v>
      </c>
      <c r="E32" s="433">
        <f>INDEX(decLOB1Cln3Mtng_R1,1)*K32</f>
        <v>0</v>
      </c>
      <c r="F32" s="433">
        <f>INDEX(decLOB1Cln3Mtng_R2,1)*L32</f>
        <v>0</v>
      </c>
      <c r="G32" s="433"/>
      <c r="J32" s="154">
        <v>0</v>
      </c>
      <c r="K32" s="429">
        <v>-0.5</v>
      </c>
      <c r="L32" s="429">
        <v>-0.5</v>
      </c>
      <c r="M32" s="8"/>
    </row>
    <row r="33" spans="1:13">
      <c r="B33" s="132"/>
      <c r="C33" s="431"/>
      <c r="D33" s="436"/>
      <c r="E33" s="433"/>
      <c r="F33" s="433"/>
      <c r="G33" s="433"/>
      <c r="J33" s="154"/>
      <c r="K33" s="429"/>
      <c r="L33" s="429"/>
      <c r="M33" s="8"/>
    </row>
    <row r="34" spans="1:13" ht="10.5">
      <c r="A34" s="63">
        <v>4</v>
      </c>
      <c r="B34" s="585" t="str">
        <f>VLOOKUP(A34,dataTableCC1Staff,4,FALSE) &amp; " - Doesn't spend enough time with Patients"</f>
        <v>Edmond Estepp   - Doesn't spend enough time with Patients</v>
      </c>
      <c r="C34" s="431"/>
      <c r="D34" s="436"/>
      <c r="E34" s="433"/>
      <c r="F34" s="433"/>
      <c r="G34" s="433"/>
      <c r="J34" s="154"/>
      <c r="K34" s="429"/>
      <c r="L34" s="429"/>
    </row>
    <row r="35" spans="1:13">
      <c r="B35" s="132" t="s">
        <v>598</v>
      </c>
      <c r="C35" s="431" t="s">
        <v>4140</v>
      </c>
      <c r="D35" s="436" t="str">
        <f>VLOOKUP(C35,param!$A$18:$B$220,2,FALSE)</f>
        <v>LOB1-Clinician 4 Meetings</v>
      </c>
      <c r="E35" s="433">
        <f>INDEX(decLOB1Cln4Mtng_R1,1)*K35</f>
        <v>0</v>
      </c>
      <c r="F35" s="433">
        <f>INDEX(decLOB1Cln4Mtng_R2,1)*L35</f>
        <v>0</v>
      </c>
      <c r="G35" s="433"/>
      <c r="J35" s="154">
        <v>0</v>
      </c>
      <c r="K35" s="429">
        <v>-0.1</v>
      </c>
      <c r="L35" s="429">
        <v>-0.1</v>
      </c>
      <c r="M35" s="8"/>
    </row>
    <row r="36" spans="1:13">
      <c r="B36" s="132" t="s">
        <v>598</v>
      </c>
      <c r="C36" s="431" t="s">
        <v>4152</v>
      </c>
      <c r="D36" s="436" t="str">
        <f>VLOOKUP(C36,param!$A$18:$B$220,2,FALSE)</f>
        <v>LOB1-Clinician 4 Missed</v>
      </c>
      <c r="E36" s="433">
        <f>INDEX(decLOB1Cln4Mtng_R1,1)*K36</f>
        <v>0</v>
      </c>
      <c r="F36" s="433">
        <f>INDEX(decLOB1Cln4Mtng_R2,1)*L36</f>
        <v>0</v>
      </c>
      <c r="G36" s="433"/>
      <c r="J36" s="154">
        <v>0</v>
      </c>
      <c r="K36" s="429">
        <v>-0.5</v>
      </c>
      <c r="L36" s="429">
        <v>-0.5</v>
      </c>
    </row>
    <row r="37" spans="1:13">
      <c r="B37" s="132" t="s">
        <v>598</v>
      </c>
      <c r="C37" s="431" t="s">
        <v>3172</v>
      </c>
      <c r="D37" s="436" t="str">
        <f>VLOOKUP(C37,param!$A$18:$B$220,2,FALSE)</f>
        <v>LOB1 - Clinical Quality</v>
      </c>
      <c r="E37" s="433">
        <f>INDEX(decLOB1Cln4Mtng_R1,1)*K37</f>
        <v>0</v>
      </c>
      <c r="F37" s="433">
        <f>INDEX(decLOB1Cln4Mtng_R2,1)*L37</f>
        <v>0</v>
      </c>
      <c r="G37" s="433"/>
      <c r="J37" s="154">
        <v>0</v>
      </c>
      <c r="K37" s="429">
        <v>0.02</v>
      </c>
      <c r="L37" s="429">
        <v>0.02</v>
      </c>
    </row>
    <row r="38" spans="1:13">
      <c r="B38" s="132"/>
      <c r="C38" s="431"/>
      <c r="D38" s="436"/>
      <c r="E38" s="433"/>
      <c r="F38" s="433"/>
      <c r="G38" s="433"/>
      <c r="J38" s="154"/>
      <c r="K38" s="429"/>
      <c r="L38" s="429"/>
    </row>
    <row r="39" spans="1:13" ht="10.5">
      <c r="A39" s="63">
        <v>5</v>
      </c>
      <c r="B39" s="585" t="str">
        <f>VLOOKUP(A39,dataTableCC1Staff,4,FALSE) &amp; " - Kids schedule interferes with visits"</f>
        <v>Beatrice Ballew   - Kids schedule interferes with visits</v>
      </c>
      <c r="C39" s="431"/>
      <c r="D39" s="436"/>
      <c r="E39" s="433"/>
      <c r="F39" s="433"/>
      <c r="G39" s="433"/>
      <c r="J39" s="154"/>
      <c r="K39" s="429"/>
      <c r="L39" s="429"/>
    </row>
    <row r="40" spans="1:13">
      <c r="B40" s="132" t="s">
        <v>599</v>
      </c>
      <c r="C40" s="431" t="s">
        <v>4141</v>
      </c>
      <c r="D40" s="436" t="str">
        <f>VLOOKUP(C40,param!$A$18:$B$220,2,FALSE)</f>
        <v>LOB1-Clinician 5 Meetings</v>
      </c>
      <c r="E40" s="433">
        <f>INDEX(decLOB1Cln5Mtng_R1,1)*K40</f>
        <v>0</v>
      </c>
      <c r="F40" s="433">
        <f>INDEX(decLOB1Cln5Mtng_R2,1)*L40</f>
        <v>0</v>
      </c>
      <c r="G40" s="433"/>
      <c r="J40" s="154">
        <v>0</v>
      </c>
      <c r="K40" s="429">
        <v>0.2</v>
      </c>
      <c r="L40" s="429">
        <v>0.2</v>
      </c>
    </row>
    <row r="41" spans="1:13">
      <c r="B41" s="132" t="s">
        <v>599</v>
      </c>
      <c r="C41" s="431" t="s">
        <v>4153</v>
      </c>
      <c r="D41" s="436" t="str">
        <f>VLOOKUP(C41,param!$A$18:$B$220,2,FALSE)</f>
        <v>LOB1-Clinician 5 Missed</v>
      </c>
      <c r="E41" s="433">
        <f>INDEX(decLOB1Cln5Mtng_R1,1)*K41</f>
        <v>0</v>
      </c>
      <c r="F41" s="433">
        <f>INDEX(decLOB1Cln5Mtng_R2,1)*L41</f>
        <v>0</v>
      </c>
      <c r="G41" s="433"/>
      <c r="J41" s="154">
        <v>0</v>
      </c>
      <c r="K41" s="429">
        <v>-0.5</v>
      </c>
      <c r="L41" s="429">
        <v>-0.5</v>
      </c>
      <c r="M41" s="8"/>
    </row>
    <row r="42" spans="1:13">
      <c r="B42" s="132" t="s">
        <v>599</v>
      </c>
      <c r="C42" s="431" t="s">
        <v>4468</v>
      </c>
      <c r="D42" s="436" t="str">
        <f>VLOOKUP(C42,param!$A$18:$B$220,2,FALSE)</f>
        <v>LOB1-Clinician 5 Mileage</v>
      </c>
      <c r="E42" s="433">
        <f>INDEX(decLOB1Cln5Mtng_R1,1)*K42</f>
        <v>0</v>
      </c>
      <c r="F42" s="433">
        <f>INDEX(decLOB1Cln5Mtng_R2,1)*L42</f>
        <v>0</v>
      </c>
      <c r="G42" s="433"/>
      <c r="J42" s="154">
        <v>0</v>
      </c>
      <c r="K42" s="429">
        <v>-0.15</v>
      </c>
      <c r="L42" s="429">
        <v>-0.15</v>
      </c>
      <c r="M42" s="8"/>
    </row>
    <row r="43" spans="1:13">
      <c r="B43" s="132"/>
      <c r="C43" s="431"/>
      <c r="D43" s="436"/>
      <c r="E43" s="433"/>
      <c r="F43" s="433"/>
      <c r="G43" s="433"/>
      <c r="J43" s="154"/>
      <c r="K43" s="429"/>
      <c r="L43" s="429"/>
    </row>
    <row r="44" spans="1:13" ht="10.5">
      <c r="A44" s="63">
        <v>6</v>
      </c>
      <c r="B44" s="585" t="str">
        <f>VLOOKUP(A44,dataTableCC1Staff,4,FALSE) &amp; " - Driving too much causing missed visits"</f>
        <v>Joy Jernigan   - Driving too much causing missed visits</v>
      </c>
      <c r="C44" s="431"/>
      <c r="D44" s="436"/>
      <c r="E44" s="433"/>
      <c r="F44" s="433"/>
      <c r="G44" s="433"/>
      <c r="J44" s="154"/>
      <c r="K44" s="429"/>
      <c r="L44" s="429"/>
    </row>
    <row r="45" spans="1:13">
      <c r="B45" s="132" t="s">
        <v>600</v>
      </c>
      <c r="C45" s="431" t="s">
        <v>4142</v>
      </c>
      <c r="D45" s="436" t="str">
        <f>VLOOKUP(C45,param!$A$18:$B$220,2,FALSE)</f>
        <v>LOB1-Clinician 6 Meetings</v>
      </c>
      <c r="E45" s="433">
        <f>INDEX(decLOB1Cln6Mtng_R1,1)*K45</f>
        <v>0</v>
      </c>
      <c r="F45" s="433">
        <f>INDEX(decLOB1Cln6Mtng_R2,1)*L45</f>
        <v>0</v>
      </c>
      <c r="G45" s="433"/>
      <c r="J45" s="154">
        <v>0</v>
      </c>
      <c r="K45" s="429">
        <v>0.2</v>
      </c>
      <c r="L45" s="429">
        <v>0.2</v>
      </c>
    </row>
    <row r="46" spans="1:13">
      <c r="B46" s="132" t="s">
        <v>600</v>
      </c>
      <c r="C46" s="431" t="s">
        <v>4154</v>
      </c>
      <c r="D46" s="436" t="str">
        <f>VLOOKUP(C46,param!$A$18:$B$220,2,FALSE)</f>
        <v>LOB1-Clinician 6 Missed</v>
      </c>
      <c r="E46" s="433">
        <f>INDEX(decLOB1Cln6Mtng_R1,1)*K46</f>
        <v>0</v>
      </c>
      <c r="F46" s="433">
        <f>INDEX(decLOB1Cln6Mtng_R2,1)*L46</f>
        <v>0</v>
      </c>
      <c r="G46" s="433"/>
      <c r="J46" s="154">
        <v>0</v>
      </c>
      <c r="K46" s="429">
        <v>-0.75</v>
      </c>
      <c r="L46" s="429">
        <v>-0.75</v>
      </c>
      <c r="M46" s="8"/>
    </row>
    <row r="47" spans="1:13">
      <c r="B47" s="132" t="s">
        <v>600</v>
      </c>
      <c r="C47" s="431" t="s">
        <v>4469</v>
      </c>
      <c r="D47" s="436" t="str">
        <f>VLOOKUP(C47,param!$A$18:$B$220,2,FALSE)</f>
        <v>LOB1-Clinician 6 Mileage</v>
      </c>
      <c r="E47" s="433">
        <f>INDEX(decLOB1Cln6Mtng_R1,1)*K47</f>
        <v>0</v>
      </c>
      <c r="F47" s="433">
        <f>INDEX(decLOB1Cln6Mtng_R2,1)*L47</f>
        <v>0</v>
      </c>
      <c r="G47" s="433"/>
      <c r="J47" s="154">
        <v>0</v>
      </c>
      <c r="K47" s="429">
        <v>-0.2</v>
      </c>
      <c r="L47" s="429">
        <v>-0.2</v>
      </c>
      <c r="M47" s="8"/>
    </row>
    <row r="48" spans="1:13">
      <c r="B48" s="132"/>
      <c r="C48" s="431"/>
      <c r="D48" s="436"/>
      <c r="E48" s="433"/>
      <c r="F48" s="433"/>
      <c r="G48" s="433"/>
      <c r="J48" s="154"/>
      <c r="K48" s="429"/>
      <c r="L48" s="429"/>
    </row>
    <row r="49" spans="1:13" ht="10.5">
      <c r="A49" s="63">
        <v>7</v>
      </c>
      <c r="B49" s="585" t="str">
        <f>VLOOKUP(A49,dataTableCC1Staff,4,FALSE) &amp; " - Admin high, documenting end of day"</f>
        <v>Ellie Elizalde   - Admin high, documenting end of day</v>
      </c>
      <c r="C49" s="431"/>
      <c r="D49" s="436"/>
      <c r="E49" s="433"/>
      <c r="F49" s="433"/>
      <c r="G49" s="433"/>
      <c r="J49" s="154"/>
      <c r="K49" s="429"/>
      <c r="L49" s="429"/>
    </row>
    <row r="50" spans="1:13">
      <c r="B50" s="132" t="s">
        <v>601</v>
      </c>
      <c r="C50" s="431" t="s">
        <v>4143</v>
      </c>
      <c r="D50" s="436" t="str">
        <f>VLOOKUP(C50,param!$A$18:$B$220,2,FALSE)</f>
        <v>LOB1-Clinician 7 Meetings</v>
      </c>
      <c r="E50" s="433">
        <f>INDEX(decLOB1Cln7Mtng_R1,1)*K50</f>
        <v>0</v>
      </c>
      <c r="F50" s="433">
        <f>INDEX(decLOB1Cln7Mtng_R2,1)*L50</f>
        <v>0</v>
      </c>
      <c r="G50" s="433"/>
      <c r="J50" s="154">
        <v>0</v>
      </c>
      <c r="K50" s="429">
        <v>0.1</v>
      </c>
      <c r="L50" s="429">
        <v>0.1</v>
      </c>
    </row>
    <row r="51" spans="1:13">
      <c r="B51" s="132" t="s">
        <v>601</v>
      </c>
      <c r="C51" s="431" t="s">
        <v>4506</v>
      </c>
      <c r="D51" s="436" t="str">
        <f>VLOOKUP(C51,param!$A$18:$B$220,2,FALSE)</f>
        <v>LOB1-Clinician 7 Admin</v>
      </c>
      <c r="E51" s="433">
        <f>INDEX(decLOB1Cln7Mtng_R1,1)*K51</f>
        <v>0</v>
      </c>
      <c r="F51" s="433">
        <f>INDEX(decLOB1Cln7Mtng_R2,1)*L51</f>
        <v>0</v>
      </c>
      <c r="G51" s="433"/>
      <c r="J51" s="154">
        <v>0</v>
      </c>
      <c r="K51" s="429">
        <v>-0.5</v>
      </c>
      <c r="L51" s="429">
        <v>-0.5</v>
      </c>
      <c r="M51" s="8"/>
    </row>
    <row r="52" spans="1:13">
      <c r="B52" s="132"/>
      <c r="C52" s="431"/>
      <c r="D52" s="436"/>
      <c r="E52" s="433"/>
      <c r="F52" s="433"/>
      <c r="G52" s="433"/>
      <c r="J52" s="154"/>
      <c r="K52" s="429"/>
      <c r="L52" s="429"/>
    </row>
    <row r="53" spans="1:13" ht="10.5">
      <c r="A53" s="63">
        <v>8</v>
      </c>
      <c r="B53" s="585" t="str">
        <f>VLOOKUP(A53,dataTableCC1Staff,4,FALSE) &amp; " - Low Engagement, missed visits, lower producttivity"</f>
        <v>Jestine Jeffers   - Low Engagement, missed visits, lower producttivity</v>
      </c>
      <c r="C53" s="431"/>
      <c r="D53" s="436"/>
      <c r="E53" s="433"/>
      <c r="F53" s="433"/>
      <c r="G53" s="433"/>
      <c r="J53" s="154"/>
      <c r="K53" s="429"/>
      <c r="L53" s="429"/>
    </row>
    <row r="54" spans="1:13">
      <c r="B54" s="132" t="s">
        <v>602</v>
      </c>
      <c r="C54" s="431" t="s">
        <v>4144</v>
      </c>
      <c r="D54" s="436" t="str">
        <f>VLOOKUP(C54,param!$A$18:$B$220,2,FALSE)</f>
        <v>LOB1-Clinician 8 Meetings</v>
      </c>
      <c r="E54" s="433">
        <f>INDEX(decLOB1Cln8Mtng_R1,1)*K54</f>
        <v>0</v>
      </c>
      <c r="F54" s="433">
        <f>INDEX(decLOB1Cln8Mtng_R2,1)*L54</f>
        <v>0</v>
      </c>
      <c r="G54" s="433"/>
      <c r="J54" s="154">
        <v>0</v>
      </c>
      <c r="K54" s="429">
        <v>0.1</v>
      </c>
      <c r="L54" s="429">
        <v>0.1</v>
      </c>
    </row>
    <row r="55" spans="1:13">
      <c r="B55" s="132" t="s">
        <v>602</v>
      </c>
      <c r="C55" s="431" t="s">
        <v>4156</v>
      </c>
      <c r="D55" s="436" t="str">
        <f>VLOOKUP(C55,param!$A$18:$B$220,2,FALSE)</f>
        <v>LOB1-Clinician 8 Missed</v>
      </c>
      <c r="E55" s="433">
        <f>INDEX(decLOB1Cln8Mtng_R1,1)*K55</f>
        <v>0</v>
      </c>
      <c r="F55" s="433">
        <f>INDEX(decLOB1Cln8Mtng_R2,1)*L55</f>
        <v>0</v>
      </c>
      <c r="G55" s="433"/>
      <c r="J55" s="154">
        <v>0</v>
      </c>
      <c r="K55" s="429">
        <v>-0.5</v>
      </c>
      <c r="L55" s="429">
        <v>-0.5</v>
      </c>
    </row>
    <row r="56" spans="1:13">
      <c r="B56" s="132" t="s">
        <v>602</v>
      </c>
      <c r="C56" s="431" t="s">
        <v>3162</v>
      </c>
      <c r="D56" s="436" t="str">
        <f>VLOOKUP(C56,param!$A$18:$B$220,2,FALSE)</f>
        <v>LOB1 - Employee Engagment</v>
      </c>
      <c r="E56" s="433">
        <f>INDEX(decLOB1Cln8Mtng_R1,1)*K56</f>
        <v>0</v>
      </c>
      <c r="F56" s="433">
        <f>INDEX(decLOB1Cln8Mtng_R2,1)*L56</f>
        <v>0</v>
      </c>
      <c r="G56" s="433"/>
      <c r="J56" s="154">
        <v>0</v>
      </c>
      <c r="K56" s="429">
        <v>0.01</v>
      </c>
      <c r="L56" s="429">
        <v>0.01</v>
      </c>
      <c r="M56" s="8"/>
    </row>
    <row r="57" spans="1:13">
      <c r="B57" s="132"/>
      <c r="C57" s="431"/>
      <c r="D57" s="436"/>
      <c r="E57" s="433"/>
      <c r="F57" s="433"/>
      <c r="G57" s="433"/>
      <c r="J57" s="154"/>
      <c r="K57" s="429"/>
      <c r="L57" s="429"/>
    </row>
    <row r="58" spans="1:13" ht="10.5">
      <c r="A58" s="63">
        <v>9</v>
      </c>
      <c r="B58" s="585" t="str">
        <f>VLOOKUP(A58,dataTableCC1Staff,4,FALSE) &amp; " - Star Employee, engagement concern"</f>
        <v>Elease Esters   - Star Employee, engagement concern</v>
      </c>
      <c r="C58" s="431"/>
      <c r="D58" s="436"/>
      <c r="E58" s="433"/>
      <c r="F58" s="433"/>
      <c r="G58" s="433"/>
      <c r="J58" s="154"/>
      <c r="K58" s="429"/>
      <c r="L58" s="429"/>
    </row>
    <row r="59" spans="1:13">
      <c r="B59" s="132" t="s">
        <v>603</v>
      </c>
      <c r="C59" s="431" t="s">
        <v>4145</v>
      </c>
      <c r="D59" s="436" t="str">
        <f>VLOOKUP(C59,param!$A$18:$B$220,2,FALSE)</f>
        <v>LOB1-Clinician 9 Meetings</v>
      </c>
      <c r="E59" s="433">
        <f>INDEX(decLOB1Cln9Mtng_R1,1)*K59</f>
        <v>0</v>
      </c>
      <c r="F59" s="433">
        <f>INDEX(decLOB1Cln9Mtng_R2,1)*L59</f>
        <v>0</v>
      </c>
      <c r="G59" s="433"/>
      <c r="J59" s="154">
        <v>0</v>
      </c>
      <c r="K59" s="429">
        <v>0.1</v>
      </c>
      <c r="L59" s="429">
        <v>0.1</v>
      </c>
    </row>
    <row r="60" spans="1:13">
      <c r="B60" s="132" t="s">
        <v>603</v>
      </c>
      <c r="C60" s="431" t="s">
        <v>4157</v>
      </c>
      <c r="D60" s="436" t="str">
        <f>VLOOKUP(C60,param!$A$18:$B$220,2,FALSE)</f>
        <v>LOB1-Clinician 9 Missed</v>
      </c>
      <c r="E60" s="433">
        <f>INDEX(decLOB1Cln9Mtng_R1,1)*K60</f>
        <v>0</v>
      </c>
      <c r="F60" s="433">
        <f>INDEX(decLOB1Cln9Mtng_R2,1)*L60</f>
        <v>0</v>
      </c>
      <c r="G60" s="433"/>
      <c r="J60" s="154">
        <v>0</v>
      </c>
      <c r="K60" s="429">
        <v>-0.5</v>
      </c>
      <c r="L60" s="429">
        <v>-0.5</v>
      </c>
    </row>
    <row r="61" spans="1:13">
      <c r="B61" s="132" t="s">
        <v>603</v>
      </c>
      <c r="C61" s="431" t="s">
        <v>3162</v>
      </c>
      <c r="D61" s="436" t="str">
        <f>VLOOKUP(C61,param!$A$18:$B$220,2,FALSE)</f>
        <v>LOB1 - Employee Engagment</v>
      </c>
      <c r="E61" s="433">
        <f>INDEX(decLOB1Cln9Mtng_R1,1)*K61</f>
        <v>0</v>
      </c>
      <c r="F61" s="433">
        <f>INDEX(decLOB1Cln9Mtng_R2,1)*L61</f>
        <v>0</v>
      </c>
      <c r="G61" s="433"/>
      <c r="J61" s="154">
        <v>0</v>
      </c>
      <c r="K61" s="429">
        <v>0.01</v>
      </c>
      <c r="L61" s="429">
        <v>0.01</v>
      </c>
      <c r="M61" s="8"/>
    </row>
    <row r="62" spans="1:13">
      <c r="B62" s="132"/>
      <c r="C62" s="431"/>
      <c r="D62" s="436"/>
      <c r="E62" s="433"/>
      <c r="F62" s="433"/>
      <c r="G62" s="433"/>
      <c r="J62" s="154"/>
      <c r="K62" s="429"/>
      <c r="L62" s="429"/>
    </row>
    <row r="63" spans="1:13" ht="10.5">
      <c r="A63" s="63">
        <v>10</v>
      </c>
      <c r="B63" s="585" t="str">
        <f>VLOOKUP(A63,dataTableCC1Staff,4,FALSE) &amp; " - Thinks theres too many meetings"</f>
        <v>Ginger Gault   - Thinks theres too many meetings</v>
      </c>
      <c r="C63" s="431"/>
      <c r="D63" s="436"/>
      <c r="E63" s="433"/>
      <c r="F63" s="433"/>
      <c r="G63" s="433"/>
      <c r="J63" s="154"/>
      <c r="K63" s="429"/>
      <c r="L63" s="429"/>
    </row>
    <row r="64" spans="1:13">
      <c r="B64" s="132" t="s">
        <v>604</v>
      </c>
      <c r="C64" s="431" t="s">
        <v>4146</v>
      </c>
      <c r="D64" s="436" t="str">
        <f>VLOOKUP(C64,param!$A$18:$B$220,2,FALSE)</f>
        <v>LOB1-Clinician 10 Meetings</v>
      </c>
      <c r="E64" s="433">
        <f>INDEX(decLOB1Cln10Mtng_R1,1)*K64</f>
        <v>0</v>
      </c>
      <c r="F64" s="433">
        <f>INDEX(decLOB1Cln10Mtng_R2,1)*L64</f>
        <v>0</v>
      </c>
      <c r="G64" s="432"/>
      <c r="J64" s="154">
        <v>0</v>
      </c>
      <c r="K64" s="429">
        <v>0.1</v>
      </c>
      <c r="L64" s="429">
        <v>0.1</v>
      </c>
    </row>
    <row r="65" spans="1:13">
      <c r="B65" s="132" t="s">
        <v>604</v>
      </c>
      <c r="C65" s="431" t="s">
        <v>3162</v>
      </c>
      <c r="D65" s="436" t="str">
        <f>VLOOKUP(C65,param!$A$18:$B$220,2,FALSE)</f>
        <v>LOB1 - Employee Engagment</v>
      </c>
      <c r="E65" s="433">
        <f>INDEX(decLOB1Cln10Mtng_R1,1)*K65</f>
        <v>0</v>
      </c>
      <c r="F65" s="433">
        <f>INDEX(decLOB1Cln10Mtng_R2,1)*L65</f>
        <v>0</v>
      </c>
      <c r="G65" s="432"/>
      <c r="J65" s="154">
        <v>0</v>
      </c>
      <c r="K65" s="429">
        <v>0.01</v>
      </c>
      <c r="L65" s="429">
        <v>0.01</v>
      </c>
    </row>
    <row r="66" spans="1:13">
      <c r="B66" s="132"/>
      <c r="C66" s="431"/>
      <c r="D66" s="436"/>
      <c r="E66" s="433"/>
      <c r="F66" s="433"/>
      <c r="G66" s="432"/>
      <c r="J66" s="154"/>
      <c r="K66" s="429"/>
      <c r="L66" s="429"/>
    </row>
    <row r="67" spans="1:13" ht="10.5">
      <c r="A67" s="63">
        <v>11</v>
      </c>
      <c r="B67" s="585" t="str">
        <f>VLOOKUP(A67,dataTableCC1Staff,4,FALSE) &amp; " - New Employee"</f>
        <v>Wayne Winslow - New Employee</v>
      </c>
      <c r="C67" s="431"/>
      <c r="D67" s="436"/>
      <c r="E67" s="433"/>
      <c r="F67" s="433"/>
      <c r="G67" s="433"/>
      <c r="J67" s="154"/>
      <c r="K67" s="429"/>
      <c r="L67" s="429"/>
    </row>
    <row r="68" spans="1:13">
      <c r="B68" s="132" t="s">
        <v>1497</v>
      </c>
      <c r="C68" s="431" t="s">
        <v>4147</v>
      </c>
      <c r="D68" s="436" t="str">
        <f>VLOOKUP(C68,param!$A$18:$B$220,2,FALSE)</f>
        <v>LOB1-Clinician 11 Meetings</v>
      </c>
      <c r="E68" s="433">
        <f>INDEX(decLOB1Cln11Mtng_R1,1)*K68</f>
        <v>0</v>
      </c>
      <c r="F68" s="433">
        <f>INDEX(decLOB1Cln11Mtng_R2,1)*L68</f>
        <v>0</v>
      </c>
      <c r="G68" s="432"/>
      <c r="J68" s="154">
        <v>0</v>
      </c>
      <c r="K68" s="429">
        <v>0.1</v>
      </c>
      <c r="L68" s="429">
        <v>0.1</v>
      </c>
    </row>
    <row r="69" spans="1:13">
      <c r="B69" s="132" t="s">
        <v>1497</v>
      </c>
      <c r="C69" s="431" t="s">
        <v>4159</v>
      </c>
      <c r="D69" s="436" t="str">
        <f>VLOOKUP(C69,param!$A$18:$B$220,2,FALSE)</f>
        <v>LOB1-Clinician 11 Missed</v>
      </c>
      <c r="E69" s="433">
        <f>INDEX(decLOB1Cln11Mtng_R1,1)*K69</f>
        <v>0</v>
      </c>
      <c r="F69" s="433">
        <f>INDEX(decLOB1Cln11Mtng_R2,1)*L69</f>
        <v>0</v>
      </c>
      <c r="G69" s="432"/>
      <c r="J69" s="154">
        <v>0</v>
      </c>
      <c r="K69" s="429">
        <v>-0.5</v>
      </c>
      <c r="L69" s="429">
        <v>-0.5</v>
      </c>
    </row>
    <row r="70" spans="1:13">
      <c r="B70" s="132"/>
      <c r="C70" s="431"/>
      <c r="D70" s="436"/>
      <c r="E70" s="433"/>
      <c r="F70" s="433"/>
      <c r="G70" s="432"/>
      <c r="J70" s="154"/>
      <c r="K70" s="429"/>
      <c r="L70" s="429"/>
    </row>
    <row r="71" spans="1:13" ht="10.5">
      <c r="A71" s="63">
        <v>13</v>
      </c>
      <c r="B71" s="585" t="str">
        <f>VLOOKUP(A71,dataTableCC1Staff,4,FALSE) &amp; " - New Employee"</f>
        <v>Hulda Hoskins   - New Employee</v>
      </c>
      <c r="C71" s="431"/>
      <c r="D71" s="436"/>
      <c r="E71" s="433"/>
      <c r="F71" s="433"/>
      <c r="G71" s="433"/>
      <c r="J71" s="154"/>
      <c r="K71" s="429"/>
      <c r="L71" s="429"/>
    </row>
    <row r="72" spans="1:13">
      <c r="B72" s="132" t="s">
        <v>1498</v>
      </c>
      <c r="C72" s="431" t="s">
        <v>4148</v>
      </c>
      <c r="D72" s="436" t="str">
        <f>VLOOKUP(C72,param!$A$18:$B$220,2,FALSE)</f>
        <v>LOB1-Clinician 12 Meetings</v>
      </c>
      <c r="E72" s="433">
        <f>INDEX(decLOB1Cln12Mtng_R1,1)*K72</f>
        <v>0</v>
      </c>
      <c r="F72" s="433">
        <f>INDEX(decLOB1Cln12Mtng_R2,1)*L72</f>
        <v>0</v>
      </c>
      <c r="G72" s="432"/>
      <c r="J72" s="154">
        <v>0</v>
      </c>
      <c r="K72" s="429">
        <v>0.1</v>
      </c>
      <c r="L72" s="429">
        <v>0.1</v>
      </c>
    </row>
    <row r="73" spans="1:13">
      <c r="B73" s="132" t="s">
        <v>1498</v>
      </c>
      <c r="C73" s="431" t="s">
        <v>4160</v>
      </c>
      <c r="D73" s="436" t="str">
        <f>VLOOKUP(C73,param!$A$18:$B$220,2,FALSE)</f>
        <v>LOB1-Clinician 12 Missed</v>
      </c>
      <c r="E73" s="433">
        <f>INDEX(decLOB1Cln12Mtng_R1,1)*K73</f>
        <v>0</v>
      </c>
      <c r="F73" s="433">
        <f>INDEX(decLOB1Cln12Mtng_R2,1)*L73</f>
        <v>0</v>
      </c>
      <c r="G73" s="432"/>
      <c r="J73" s="154">
        <v>0</v>
      </c>
      <c r="K73" s="429">
        <v>-0.5</v>
      </c>
      <c r="L73" s="429">
        <v>-0.5</v>
      </c>
    </row>
    <row r="74" spans="1:13">
      <c r="B74" s="432"/>
      <c r="C74" s="432"/>
      <c r="D74" s="432"/>
      <c r="E74" s="432"/>
      <c r="F74" s="432"/>
      <c r="G74" s="432"/>
    </row>
    <row r="75" spans="1:13">
      <c r="B75" s="432"/>
      <c r="C75" s="432"/>
      <c r="D75" s="432"/>
      <c r="E75" s="432"/>
      <c r="F75" s="432"/>
      <c r="G75" s="432"/>
    </row>
    <row r="76" spans="1:13">
      <c r="B76" s="432"/>
      <c r="C76" s="432"/>
      <c r="D76" s="432"/>
      <c r="E76" s="432"/>
      <c r="F76" s="432"/>
      <c r="G76" s="432"/>
    </row>
    <row r="77" spans="1:13" ht="10.5">
      <c r="A77" s="63">
        <v>1</v>
      </c>
      <c r="B77" s="585" t="str">
        <f>VLOOKUP(A77,dataTableCC2Staff,4,FALSE) &amp; " - Very Productive, High Mileage, Admin, Missed Visits"</f>
        <v>Sherie Sea - Very Productive, High Mileage, Admin, Missed Visits</v>
      </c>
      <c r="C77" s="432"/>
      <c r="D77" s="432"/>
      <c r="E77" s="433"/>
      <c r="F77" s="433"/>
      <c r="G77" s="433"/>
    </row>
    <row r="78" spans="1:13">
      <c r="B78" s="132" t="s">
        <v>595</v>
      </c>
      <c r="C78" s="431" t="s">
        <v>3997</v>
      </c>
      <c r="D78" s="436" t="str">
        <f>VLOOKUP(C78,param!$A$18:$B$220,2,FALSE)</f>
        <v>LOB2-Clinician 1 Meetings</v>
      </c>
      <c r="E78" s="433">
        <f>INDEX(decLOB2Cln1Mtng_R1,1)*K78</f>
        <v>0</v>
      </c>
      <c r="F78" s="433">
        <f>INDEX(decLOB2Cln1Mtng_R2,1)*L78</f>
        <v>0</v>
      </c>
      <c r="G78" s="433"/>
      <c r="J78" s="154">
        <v>0</v>
      </c>
      <c r="K78" s="429">
        <v>0.05</v>
      </c>
      <c r="L78" s="429">
        <v>0.05</v>
      </c>
      <c r="M78" s="8"/>
    </row>
    <row r="79" spans="1:13">
      <c r="B79" s="132" t="s">
        <v>595</v>
      </c>
      <c r="C79" s="431" t="s">
        <v>4173</v>
      </c>
      <c r="D79" s="436" t="str">
        <f>VLOOKUP(C79,param!$A$18:$B$220,2,FALSE)</f>
        <v>LOB2-Clinician 1 Missed</v>
      </c>
      <c r="E79" s="433">
        <f>INDEX(decLOB2Cln1Mtng_R1,1)*K79</f>
        <v>0</v>
      </c>
      <c r="F79" s="433">
        <f>INDEX(decLOB2Cln1Mtng_R2,1)*L79</f>
        <v>0</v>
      </c>
      <c r="G79" s="433"/>
      <c r="J79" s="154">
        <v>0</v>
      </c>
      <c r="K79" s="429">
        <v>-0.5</v>
      </c>
      <c r="L79" s="429">
        <v>-0.5</v>
      </c>
      <c r="M79" s="8"/>
    </row>
    <row r="80" spans="1:13">
      <c r="B80" s="132" t="s">
        <v>595</v>
      </c>
      <c r="C80" s="431" t="s">
        <v>4513</v>
      </c>
      <c r="D80" s="436" t="str">
        <f>VLOOKUP(C80,param!$A$18:$B$220,2,FALSE)</f>
        <v>LOB2-Clinician 1 Mileage</v>
      </c>
      <c r="E80" s="433">
        <f>INDEX(decLOB2Cln1Mtng_R1,1)*K80</f>
        <v>0</v>
      </c>
      <c r="F80" s="433">
        <f>INDEX(decLOB2Cln1Mtng_R2,1)*L80</f>
        <v>0</v>
      </c>
      <c r="G80" s="433"/>
      <c r="J80" s="154">
        <v>0</v>
      </c>
      <c r="K80" s="429">
        <v>-0.15</v>
      </c>
      <c r="L80" s="429">
        <v>-0.15</v>
      </c>
      <c r="M80" s="8"/>
    </row>
    <row r="81" spans="1:13">
      <c r="B81" s="132" t="s">
        <v>595</v>
      </c>
      <c r="C81" s="431" t="s">
        <v>4549</v>
      </c>
      <c r="D81" s="436" t="str">
        <f>VLOOKUP(C81,param!$A$18:$B$220,2,FALSE)</f>
        <v>LOB2-Clinician 1 Admin</v>
      </c>
      <c r="E81" s="433">
        <f>INDEX(decLOB2Cln1Mtng_R1,1)*K81</f>
        <v>0</v>
      </c>
      <c r="F81" s="433">
        <f>INDEX(decLOB2Cln1Mtng_R2,1)*L81</f>
        <v>0</v>
      </c>
      <c r="G81" s="433"/>
      <c r="J81" s="154">
        <v>0</v>
      </c>
      <c r="K81" s="429">
        <v>-0.5</v>
      </c>
      <c r="L81" s="429">
        <v>-0.5</v>
      </c>
      <c r="M81" s="8"/>
    </row>
    <row r="82" spans="1:13">
      <c r="B82" s="132"/>
      <c r="C82" s="431"/>
      <c r="D82" s="436"/>
      <c r="E82" s="433"/>
      <c r="F82" s="433"/>
      <c r="G82" s="433"/>
      <c r="J82" s="154"/>
      <c r="K82" s="429"/>
      <c r="L82" s="429"/>
      <c r="M82" s="8"/>
    </row>
    <row r="83" spans="1:13" ht="10.5">
      <c r="A83" s="63">
        <v>2</v>
      </c>
      <c r="B83" s="585" t="str">
        <f>VLOOKUP(A83,dataTableCC2Staff,4,FALSE) &amp; " - High Mileage, Missed Visits"</f>
        <v>Jamison Jordon   - High Mileage, Missed Visits</v>
      </c>
      <c r="C83" s="432"/>
      <c r="D83" s="432"/>
      <c r="E83" s="433"/>
      <c r="F83" s="433"/>
      <c r="G83" s="433"/>
    </row>
    <row r="84" spans="1:13">
      <c r="B84" s="132" t="s">
        <v>596</v>
      </c>
      <c r="C84" s="431" t="s">
        <v>4162</v>
      </c>
      <c r="D84" s="436" t="str">
        <f>VLOOKUP(C84,param!$A$18:$B$220,2,FALSE)</f>
        <v>LOB2-Clinician 2 Meetings</v>
      </c>
      <c r="E84" s="433">
        <f>INDEX(decLOB2Cln2Mtng_R1,1)*K84</f>
        <v>0</v>
      </c>
      <c r="F84" s="433">
        <f>INDEX(decLOB2Cln2Mtng_R2,1)*L84</f>
        <v>0</v>
      </c>
      <c r="G84" s="433"/>
      <c r="J84" s="154">
        <v>0</v>
      </c>
      <c r="K84" s="429">
        <v>0.1</v>
      </c>
      <c r="L84" s="429">
        <v>0.1</v>
      </c>
      <c r="M84" s="8"/>
    </row>
    <row r="85" spans="1:13">
      <c r="B85" s="132" t="s">
        <v>596</v>
      </c>
      <c r="C85" s="431" t="s">
        <v>4174</v>
      </c>
      <c r="D85" s="436" t="str">
        <f>VLOOKUP(C85,param!$A$18:$B$220,2,FALSE)</f>
        <v>LOB2-Clinician 2 Missed</v>
      </c>
      <c r="E85" s="433">
        <f>INDEX(decLOB2Cln2Mtng_R1,1)*K85</f>
        <v>0</v>
      </c>
      <c r="F85" s="433">
        <f>INDEX(decLOB2Cln2Mtng_R2,1)*L85</f>
        <v>0</v>
      </c>
      <c r="G85" s="433"/>
      <c r="J85" s="154">
        <v>0</v>
      </c>
      <c r="K85" s="429">
        <v>-0.5</v>
      </c>
      <c r="L85" s="429">
        <v>-0.5</v>
      </c>
      <c r="M85" s="8"/>
    </row>
    <row r="86" spans="1:13">
      <c r="B86" s="132" t="s">
        <v>596</v>
      </c>
      <c r="C86" s="431" t="s">
        <v>4516</v>
      </c>
      <c r="D86" s="436" t="str">
        <f>VLOOKUP(C86,param!$A$18:$B$220,2,FALSE)</f>
        <v>LOB2-Clinician 2 Mileage</v>
      </c>
      <c r="E86" s="433">
        <f>INDEX(decLOB2Cln2Mtng_R1,1)*K86</f>
        <v>0</v>
      </c>
      <c r="F86" s="433">
        <f>INDEX(decLOB2Cln2Mtng_R2,1)*L86</f>
        <v>0</v>
      </c>
      <c r="G86" s="433"/>
      <c r="J86" s="154">
        <v>0</v>
      </c>
      <c r="K86" s="429">
        <v>-0.15</v>
      </c>
      <c r="L86" s="429">
        <v>-0.15</v>
      </c>
      <c r="M86" s="8"/>
    </row>
    <row r="87" spans="1:13">
      <c r="B87" s="132"/>
      <c r="C87" s="431"/>
      <c r="D87" s="436"/>
      <c r="E87" s="433"/>
      <c r="F87" s="433"/>
      <c r="G87" s="433"/>
      <c r="J87" s="154"/>
      <c r="K87" s="429"/>
      <c r="L87" s="429"/>
      <c r="M87" s="8"/>
    </row>
    <row r="88" spans="1:13" ht="10.5">
      <c r="A88" s="63">
        <v>3</v>
      </c>
      <c r="B88" s="585" t="str">
        <f>VLOOKUP(A88,dataTableCC2Staff,4,FALSE) &amp; " - High Admin Time"</f>
        <v>Audry Amore   - High Admin Time</v>
      </c>
      <c r="C88" s="432"/>
      <c r="D88" s="432"/>
      <c r="E88" s="433"/>
      <c r="F88" s="433"/>
      <c r="G88" s="433"/>
    </row>
    <row r="89" spans="1:13">
      <c r="B89" s="132" t="s">
        <v>597</v>
      </c>
      <c r="C89" s="431" t="s">
        <v>4163</v>
      </c>
      <c r="D89" s="436" t="str">
        <f>VLOOKUP(C89,param!$A$18:$B$220,2,FALSE)</f>
        <v>LOB2-Clinician 3 Meetings</v>
      </c>
      <c r="E89" s="433">
        <f>INDEX(decLOB2Cln3Mtng_R1,1)*K89</f>
        <v>0</v>
      </c>
      <c r="F89" s="433">
        <f>INDEX(decLOB2Cln3Mtng_R2,1)*L89</f>
        <v>0</v>
      </c>
      <c r="G89" s="433"/>
      <c r="J89" s="154">
        <v>0</v>
      </c>
      <c r="K89" s="429">
        <v>0.1</v>
      </c>
      <c r="L89" s="429">
        <v>0.1</v>
      </c>
      <c r="M89" s="8"/>
    </row>
    <row r="90" spans="1:13">
      <c r="B90" s="132" t="s">
        <v>597</v>
      </c>
      <c r="C90" s="431" t="s">
        <v>4175</v>
      </c>
      <c r="D90" s="436" t="str">
        <f>VLOOKUP(C90,param!$A$18:$B$220,2,FALSE)</f>
        <v>LOB2-Clinician 3 Missed</v>
      </c>
      <c r="E90" s="433">
        <f>INDEX(decLOB2Cln3Mtng_R1,1)*K90</f>
        <v>0</v>
      </c>
      <c r="F90" s="433">
        <f>INDEX(decLOB2Cln3Mtng_R2,1)*L90</f>
        <v>0</v>
      </c>
      <c r="G90" s="433"/>
      <c r="J90" s="154">
        <v>0</v>
      </c>
      <c r="K90" s="429">
        <v>-0.5</v>
      </c>
      <c r="L90" s="429">
        <v>-0.5</v>
      </c>
      <c r="M90" s="8"/>
    </row>
    <row r="91" spans="1:13">
      <c r="B91" s="132" t="s">
        <v>597</v>
      </c>
      <c r="C91" s="431" t="s">
        <v>4519</v>
      </c>
      <c r="D91" s="436" t="str">
        <f>VLOOKUP(C91,param!$A$18:$B$220,2,FALSE)</f>
        <v>LOB2-Clinician 3 Mileage</v>
      </c>
      <c r="E91" s="433">
        <f>INDEX(decLOB2Cln3Mtng_R1,1)*K91</f>
        <v>0</v>
      </c>
      <c r="F91" s="433">
        <f>INDEX(decLOB2Cln3Mtng_R2,1)*L91</f>
        <v>0</v>
      </c>
      <c r="G91" s="433"/>
      <c r="J91" s="154">
        <v>0</v>
      </c>
      <c r="K91" s="429">
        <v>0</v>
      </c>
      <c r="L91" s="429">
        <v>0</v>
      </c>
      <c r="M91" s="8"/>
    </row>
    <row r="92" spans="1:13">
      <c r="B92" s="132" t="s">
        <v>597</v>
      </c>
      <c r="C92" s="431" t="s">
        <v>4555</v>
      </c>
      <c r="D92" s="436" t="str">
        <f>VLOOKUP(C92,param!$A$18:$B$220,2,FALSE)</f>
        <v>LOB2-Clinician 3 Admin</v>
      </c>
      <c r="E92" s="433">
        <f>INDEX(decLOB2Cln3Mtng_R1,1)*K92</f>
        <v>0</v>
      </c>
      <c r="F92" s="433">
        <f>INDEX(decLOB2Cln3Mtng_R2,1)*L92</f>
        <v>0</v>
      </c>
      <c r="G92" s="433"/>
      <c r="J92" s="154">
        <v>0</v>
      </c>
      <c r="K92" s="429">
        <v>-0.5</v>
      </c>
      <c r="L92" s="429">
        <v>-0.5</v>
      </c>
      <c r="M92" s="8"/>
    </row>
    <row r="93" spans="1:13">
      <c r="B93" s="132"/>
      <c r="C93" s="431"/>
      <c r="D93" s="436"/>
      <c r="E93" s="433"/>
      <c r="F93" s="433"/>
      <c r="G93" s="433"/>
      <c r="J93" s="154"/>
      <c r="K93" s="429"/>
      <c r="L93" s="429"/>
      <c r="M93" s="8"/>
    </row>
    <row r="94" spans="1:13" ht="10.5">
      <c r="A94" s="63">
        <v>4</v>
      </c>
      <c r="B94" s="585" t="str">
        <f>VLOOKUP(A94,dataTableCC2Staff,4,FALSE) &amp; " - Low Engagement"</f>
        <v>Marvis Martine   - Low Engagement</v>
      </c>
      <c r="C94" s="432"/>
      <c r="D94" s="432"/>
      <c r="E94" s="433"/>
      <c r="F94" s="433"/>
      <c r="G94" s="433"/>
    </row>
    <row r="95" spans="1:13">
      <c r="B95" s="132" t="s">
        <v>598</v>
      </c>
      <c r="C95" s="431" t="s">
        <v>4164</v>
      </c>
      <c r="D95" s="436" t="str">
        <f>VLOOKUP(C95,param!$A$18:$B$220,2,FALSE)</f>
        <v>LOB2-Clinician 4 Meetings</v>
      </c>
      <c r="E95" s="433">
        <f>INDEX(decLOB2Cln4Mtng_R1,1)*K95</f>
        <v>0</v>
      </c>
      <c r="F95" s="433">
        <f>INDEX(decLOB2Cln4Mtng_R2,1)*L95</f>
        <v>0</v>
      </c>
      <c r="G95" s="433"/>
      <c r="J95" s="154">
        <v>0</v>
      </c>
      <c r="K95" s="429">
        <v>0.1</v>
      </c>
      <c r="L95" s="429">
        <v>0.1</v>
      </c>
      <c r="M95" s="8"/>
    </row>
    <row r="96" spans="1:13">
      <c r="B96" s="132" t="s">
        <v>598</v>
      </c>
      <c r="C96" s="431" t="s">
        <v>4176</v>
      </c>
      <c r="D96" s="436" t="str">
        <f>VLOOKUP(C96,param!$A$18:$B$220,2,FALSE)</f>
        <v>LOB2-Clinician 4 Missed</v>
      </c>
      <c r="E96" s="433">
        <f>INDEX(decLOB2Cln4Mtng_R1,1)*K96</f>
        <v>0</v>
      </c>
      <c r="F96" s="433">
        <f>INDEX(decLOB2Cln4Mtng_R2,1)*L96</f>
        <v>0</v>
      </c>
      <c r="G96" s="433"/>
      <c r="J96" s="154">
        <v>0</v>
      </c>
      <c r="K96" s="429">
        <v>-0.5</v>
      </c>
      <c r="L96" s="429">
        <v>-0.5</v>
      </c>
      <c r="M96" s="8"/>
    </row>
    <row r="97" spans="1:13">
      <c r="B97" s="132" t="s">
        <v>598</v>
      </c>
      <c r="C97" s="431" t="s">
        <v>4522</v>
      </c>
      <c r="D97" s="436" t="str">
        <f>VLOOKUP(C97,param!$A$18:$B$220,2,FALSE)</f>
        <v>LOB2-Clinician 4 Mileage</v>
      </c>
      <c r="E97" s="433">
        <f>INDEX(decLOB2Cln4Mtng_R1,1)*K97</f>
        <v>0</v>
      </c>
      <c r="F97" s="433">
        <f>INDEX(decLOB2Cln4Mtng_R2,1)*L97</f>
        <v>0</v>
      </c>
      <c r="G97" s="433"/>
      <c r="J97" s="154">
        <v>0</v>
      </c>
      <c r="K97" s="429">
        <v>0</v>
      </c>
      <c r="L97" s="429">
        <v>0</v>
      </c>
      <c r="M97" s="8"/>
    </row>
    <row r="98" spans="1:13">
      <c r="B98" s="132" t="s">
        <v>598</v>
      </c>
      <c r="C98" s="431" t="s">
        <v>4558</v>
      </c>
      <c r="D98" s="436" t="str">
        <f>VLOOKUP(C98,param!$A$18:$B$220,2,FALSE)</f>
        <v>LOB2-Clinician 4 Admin</v>
      </c>
      <c r="E98" s="433">
        <f>INDEX(decLOB2Cln4Mtng_R1,1)*K98</f>
        <v>0</v>
      </c>
      <c r="F98" s="433">
        <f>INDEX(decLOB2Cln4Mtng_R2,1)*L98</f>
        <v>0</v>
      </c>
      <c r="G98" s="433"/>
      <c r="J98" s="154">
        <v>0</v>
      </c>
      <c r="K98" s="429">
        <v>-0.1</v>
      </c>
      <c r="L98" s="429">
        <v>-0.1</v>
      </c>
      <c r="M98" s="8"/>
    </row>
    <row r="99" spans="1:13">
      <c r="B99" s="132" t="s">
        <v>598</v>
      </c>
      <c r="C99" s="431" t="s">
        <v>3234</v>
      </c>
      <c r="D99" s="436" t="str">
        <f>VLOOKUP(C99,param!$A$18:$B$220,2,FALSE)</f>
        <v>LOB2 - Employee Engagment</v>
      </c>
      <c r="E99" s="433">
        <f>INDEX(decLOB2Cln4Mtng_R1,1)*K99</f>
        <v>0</v>
      </c>
      <c r="F99" s="433">
        <f>INDEX(decLOB2Cln4Mtng_R2,1)*L99</f>
        <v>0</v>
      </c>
      <c r="G99" s="433"/>
      <c r="J99" s="154">
        <v>0</v>
      </c>
      <c r="K99" s="429">
        <v>0.01</v>
      </c>
      <c r="L99" s="429">
        <v>0.01</v>
      </c>
      <c r="M99" s="8"/>
    </row>
    <row r="100" spans="1:13">
      <c r="B100" s="132"/>
      <c r="C100" s="431"/>
      <c r="D100" s="436"/>
      <c r="E100" s="433"/>
      <c r="F100" s="433"/>
      <c r="G100" s="433"/>
      <c r="J100" s="154"/>
      <c r="K100" s="429"/>
      <c r="L100" s="429"/>
      <c r="M100" s="8"/>
    </row>
    <row r="101" spans="1:13" ht="10.5">
      <c r="A101" s="63">
        <v>5</v>
      </c>
      <c r="B101" s="585" t="str">
        <f>VLOOKUP(A101,dataTableCC2Staff,4,FALSE) &amp;" - High Mileage, Missed Visits"</f>
        <v>Ming Mines   - High Mileage, Missed Visits</v>
      </c>
      <c r="C101" s="432"/>
      <c r="D101" s="432"/>
      <c r="E101" s="433"/>
      <c r="F101" s="433"/>
      <c r="G101" s="433"/>
    </row>
    <row r="102" spans="1:13">
      <c r="B102" s="132" t="s">
        <v>599</v>
      </c>
      <c r="C102" s="431" t="s">
        <v>4165</v>
      </c>
      <c r="D102" s="436" t="str">
        <f>VLOOKUP(C102,param!$A$18:$B$220,2,FALSE)</f>
        <v>LOB2-Clinician 5 Meetings</v>
      </c>
      <c r="E102" s="433">
        <f>INDEX(decLOB2Cln5Mtng_R1,1)*K102</f>
        <v>0</v>
      </c>
      <c r="F102" s="433">
        <f>INDEX(decLOB2Cln5Mtng_R2,1)*L102</f>
        <v>0</v>
      </c>
      <c r="G102" s="433"/>
      <c r="J102" s="154">
        <v>0</v>
      </c>
      <c r="K102" s="429">
        <v>0.05</v>
      </c>
      <c r="L102" s="429">
        <v>0.05</v>
      </c>
      <c r="M102" s="8"/>
    </row>
    <row r="103" spans="1:13">
      <c r="B103" s="132" t="s">
        <v>599</v>
      </c>
      <c r="C103" s="431" t="s">
        <v>4177</v>
      </c>
      <c r="D103" s="436" t="str">
        <f>VLOOKUP(C103,param!$A$18:$B$220,2,FALSE)</f>
        <v>LOB2-Clinician 5 Missed</v>
      </c>
      <c r="E103" s="433">
        <f>INDEX(decLOB2Cln5Mtng_R1,1)*K103</f>
        <v>0</v>
      </c>
      <c r="F103" s="433">
        <f>INDEX(decLOB2Cln5Mtng_R2,1)*L103</f>
        <v>0</v>
      </c>
      <c r="G103" s="433"/>
      <c r="J103" s="154">
        <v>0</v>
      </c>
      <c r="K103" s="429">
        <v>-0.5</v>
      </c>
      <c r="L103" s="429">
        <v>-0.5</v>
      </c>
      <c r="M103" s="8"/>
    </row>
    <row r="104" spans="1:13">
      <c r="B104" s="132" t="s">
        <v>599</v>
      </c>
      <c r="C104" s="431" t="s">
        <v>4525</v>
      </c>
      <c r="D104" s="436" t="str">
        <f>VLOOKUP(C104,param!$A$18:$B$220,2,FALSE)</f>
        <v>LOB2-Clinician 5 Mileage</v>
      </c>
      <c r="E104" s="433">
        <f>INDEX(decLOB2Cln5Mtng_R1,1)*K104</f>
        <v>0</v>
      </c>
      <c r="F104" s="433">
        <f>INDEX(decLOB2Cln5Mtng_R2,1)*L104</f>
        <v>0</v>
      </c>
      <c r="G104" s="433"/>
      <c r="J104" s="154">
        <v>0</v>
      </c>
      <c r="K104" s="429">
        <v>-0.15</v>
      </c>
      <c r="L104" s="429">
        <v>-0.15</v>
      </c>
      <c r="M104" s="8"/>
    </row>
    <row r="105" spans="1:13">
      <c r="B105" s="132" t="s">
        <v>599</v>
      </c>
      <c r="C105" s="431" t="s">
        <v>4561</v>
      </c>
      <c r="D105" s="436" t="str">
        <f>VLOOKUP(C105,param!$A$18:$B$220,2,FALSE)</f>
        <v>LOB2-Clinician 5 Admin</v>
      </c>
      <c r="E105" s="433">
        <f>INDEX(decLOB2Cln5Mtng_R1,1)*K105</f>
        <v>0</v>
      </c>
      <c r="F105" s="433">
        <f>INDEX(decLOB2Cln5Mtng_R2,1)*L105</f>
        <v>0</v>
      </c>
      <c r="G105" s="433"/>
      <c r="J105" s="154">
        <v>0</v>
      </c>
      <c r="K105" s="429">
        <v>0</v>
      </c>
      <c r="L105" s="429">
        <v>0</v>
      </c>
      <c r="M105" s="8"/>
    </row>
    <row r="106" spans="1:13">
      <c r="B106" s="132" t="s">
        <v>599</v>
      </c>
      <c r="C106" s="431" t="s">
        <v>3234</v>
      </c>
      <c r="D106" s="436" t="str">
        <f>VLOOKUP(C106,param!$A$18:$B$220,2,FALSE)</f>
        <v>LOB2 - Employee Engagment</v>
      </c>
      <c r="E106" s="433">
        <f>INDEX(decLOB2Cln5Mtng_R1,1)*K106</f>
        <v>0</v>
      </c>
      <c r="F106" s="433">
        <f>INDEX(decLOB2Cln5Mtng_R2,1)*L106</f>
        <v>0</v>
      </c>
      <c r="G106" s="433"/>
      <c r="J106" s="154">
        <v>0</v>
      </c>
      <c r="K106" s="429">
        <v>0.01</v>
      </c>
      <c r="L106" s="429">
        <v>0.01</v>
      </c>
      <c r="M106" s="8"/>
    </row>
    <row r="107" spans="1:13">
      <c r="B107" s="132"/>
      <c r="C107" s="431"/>
      <c r="D107" s="436"/>
      <c r="E107" s="433"/>
      <c r="F107" s="433"/>
      <c r="G107" s="433"/>
      <c r="J107" s="154"/>
      <c r="K107" s="429"/>
      <c r="L107" s="429"/>
      <c r="M107" s="8"/>
    </row>
    <row r="108" spans="1:13" ht="10.5">
      <c r="A108" s="63">
        <v>6</v>
      </c>
      <c r="B108" s="585" t="str">
        <f>VLOOKUP(A108,dataTableCC2Staff,4,FALSE) &amp;" - High Admin, Low Enagement"</f>
        <v>Esteban Ervin   - High Admin, Low Enagement</v>
      </c>
      <c r="C108" s="432"/>
      <c r="D108" s="432"/>
      <c r="E108" s="433"/>
      <c r="F108" s="433"/>
      <c r="G108" s="433"/>
    </row>
    <row r="109" spans="1:13">
      <c r="B109" s="132" t="s">
        <v>600</v>
      </c>
      <c r="C109" s="431" t="s">
        <v>4166</v>
      </c>
      <c r="D109" s="436" t="str">
        <f>VLOOKUP(C109,param!$A$18:$B$220,2,FALSE)</f>
        <v>LOB2-Clinician 6 Meetings</v>
      </c>
      <c r="E109" s="433">
        <f>INDEX(decLOB2Cln6Mtng_R1,1)*K109</f>
        <v>0</v>
      </c>
      <c r="F109" s="433">
        <f>INDEX(decLOB2Cln6Mtng_R2,1)*L109</f>
        <v>0</v>
      </c>
      <c r="G109" s="433"/>
      <c r="J109" s="154">
        <v>0</v>
      </c>
      <c r="K109" s="429">
        <v>0.1</v>
      </c>
      <c r="L109" s="429">
        <v>0.1</v>
      </c>
      <c r="M109" s="8"/>
    </row>
    <row r="110" spans="1:13">
      <c r="B110" s="132" t="s">
        <v>600</v>
      </c>
      <c r="C110" s="431" t="s">
        <v>4178</v>
      </c>
      <c r="D110" s="436" t="str">
        <f>VLOOKUP(C110,param!$A$18:$B$220,2,FALSE)</f>
        <v>LOB2-Clinician 6 Missed</v>
      </c>
      <c r="E110" s="433">
        <f>INDEX(decLOB2Cln6Mtng_R1,1)*K110</f>
        <v>0</v>
      </c>
      <c r="F110" s="433">
        <f>INDEX(decLOB2Cln6Mtng_R2,1)*L110</f>
        <v>0</v>
      </c>
      <c r="G110" s="433"/>
      <c r="J110" s="154">
        <v>0</v>
      </c>
      <c r="K110" s="429">
        <v>-0.5</v>
      </c>
      <c r="L110" s="429">
        <v>-0.5</v>
      </c>
      <c r="M110" s="8"/>
    </row>
    <row r="111" spans="1:13">
      <c r="B111" s="132" t="s">
        <v>600</v>
      </c>
      <c r="C111" s="431" t="s">
        <v>4528</v>
      </c>
      <c r="D111" s="436" t="str">
        <f>VLOOKUP(C111,param!$A$18:$B$220,2,FALSE)</f>
        <v>LOB2-Clinician 6 Mileage</v>
      </c>
      <c r="E111" s="433">
        <f>INDEX(decLOB2Cln6Mtng_R1,1)*K111</f>
        <v>0</v>
      </c>
      <c r="F111" s="433">
        <f>INDEX(decLOB2Cln6Mtng_R2,1)*L111</f>
        <v>0</v>
      </c>
      <c r="G111" s="433"/>
      <c r="J111" s="154">
        <v>0</v>
      </c>
      <c r="K111" s="429">
        <v>0</v>
      </c>
      <c r="L111" s="429">
        <v>0</v>
      </c>
      <c r="M111" s="8"/>
    </row>
    <row r="112" spans="1:13">
      <c r="B112" s="132" t="s">
        <v>600</v>
      </c>
      <c r="C112" s="431" t="s">
        <v>4564</v>
      </c>
      <c r="D112" s="436" t="str">
        <f>VLOOKUP(C112,param!$A$18:$B$220,2,FALSE)</f>
        <v>LOB2-Clinician 6 Admin</v>
      </c>
      <c r="E112" s="433">
        <f>INDEX(decLOB2Cln6Mtng_R1,1)*K112</f>
        <v>0</v>
      </c>
      <c r="F112" s="433">
        <f>INDEX(decLOB2Cln6Mtng_R2,1)*L112</f>
        <v>0</v>
      </c>
      <c r="G112" s="433"/>
      <c r="J112" s="154">
        <v>0</v>
      </c>
      <c r="K112" s="429">
        <v>-0.3</v>
      </c>
      <c r="L112" s="429">
        <v>-0.3</v>
      </c>
      <c r="M112" s="8"/>
    </row>
    <row r="113" spans="1:13">
      <c r="B113" s="132" t="s">
        <v>600</v>
      </c>
      <c r="C113" s="431" t="s">
        <v>3234</v>
      </c>
      <c r="D113" s="436" t="str">
        <f>VLOOKUP(C113,param!$A$18:$B$220,2,FALSE)</f>
        <v>LOB2 - Employee Engagment</v>
      </c>
      <c r="E113" s="433">
        <f>INDEX(decLOB2Cln6Mtng_R1,1)*K113</f>
        <v>0</v>
      </c>
      <c r="F113" s="433">
        <f>INDEX(decLOB2Cln6Mtng_R2,1)*L113</f>
        <v>0</v>
      </c>
      <c r="G113" s="433"/>
      <c r="J113" s="154">
        <v>0</v>
      </c>
      <c r="K113" s="429">
        <v>0.02</v>
      </c>
      <c r="L113" s="429">
        <v>0.02</v>
      </c>
      <c r="M113" s="8"/>
    </row>
    <row r="114" spans="1:13">
      <c r="B114" s="132"/>
      <c r="C114" s="431"/>
      <c r="D114" s="436"/>
      <c r="E114" s="433"/>
      <c r="F114" s="433"/>
      <c r="G114" s="433"/>
      <c r="J114" s="154"/>
      <c r="K114" s="429"/>
      <c r="L114" s="429"/>
      <c r="M114" s="8"/>
    </row>
    <row r="115" spans="1:13" ht="10.5">
      <c r="A115" s="63">
        <v>7</v>
      </c>
      <c r="B115" s="585" t="str">
        <f>VLOOKUP(A115,dataTableCC2Staff,4,FALSE) &amp;" - Low Productivity, Low Enagement"</f>
        <v>Chester Cheesman   - Low Productivity, Low Enagement</v>
      </c>
      <c r="C115" s="432"/>
      <c r="D115" s="432"/>
      <c r="E115" s="433"/>
      <c r="F115" s="433"/>
      <c r="G115" s="433"/>
    </row>
    <row r="116" spans="1:13">
      <c r="B116" s="132" t="s">
        <v>601</v>
      </c>
      <c r="C116" s="431" t="s">
        <v>4167</v>
      </c>
      <c r="D116" s="436" t="str">
        <f>VLOOKUP(C116,param!$A$18:$B$220,2,FALSE)</f>
        <v>LOB2-Clinician 7 Meetings</v>
      </c>
      <c r="E116" s="433">
        <f>INDEX(decLOB2Cln7Mtng_R1,1)*K116</f>
        <v>0</v>
      </c>
      <c r="F116" s="433">
        <f>INDEX(decLOB2Cln7Mtng_R2,1)*L116</f>
        <v>0</v>
      </c>
      <c r="G116" s="433"/>
      <c r="J116" s="154">
        <v>0</v>
      </c>
      <c r="K116" s="429">
        <v>0.3</v>
      </c>
      <c r="L116" s="429">
        <v>0.3</v>
      </c>
      <c r="M116" s="8"/>
    </row>
    <row r="117" spans="1:13">
      <c r="B117" s="132" t="s">
        <v>601</v>
      </c>
      <c r="C117" s="431" t="s">
        <v>4179</v>
      </c>
      <c r="D117" s="436" t="str">
        <f>VLOOKUP(C117,param!$A$18:$B$220,2,FALSE)</f>
        <v>LOB2-Clinician 7 Missed</v>
      </c>
      <c r="E117" s="433">
        <f>INDEX(decLOB2Cln7Mtng_R1,1)*K117</f>
        <v>0</v>
      </c>
      <c r="F117" s="433">
        <f>INDEX(decLOB2Cln7Mtng_R2,1)*L117</f>
        <v>0</v>
      </c>
      <c r="G117" s="433"/>
      <c r="J117" s="154">
        <v>0</v>
      </c>
      <c r="K117" s="429">
        <v>-0.75</v>
      </c>
      <c r="L117" s="429">
        <v>0.75</v>
      </c>
      <c r="M117" s="8"/>
    </row>
    <row r="118" spans="1:13">
      <c r="B118" s="132" t="s">
        <v>601</v>
      </c>
      <c r="C118" s="431" t="s">
        <v>4531</v>
      </c>
      <c r="D118" s="436" t="str">
        <f>VLOOKUP(C118,param!$A$18:$B$220,2,FALSE)</f>
        <v>LOB2-Clinician 7 Mileage</v>
      </c>
      <c r="E118" s="433">
        <f>INDEX(decLOB2Cln7Mtng_R1,1)*K118</f>
        <v>0</v>
      </c>
      <c r="F118" s="433">
        <f>INDEX(decLOB2Cln7Mtng_R2,1)*L118</f>
        <v>0</v>
      </c>
      <c r="G118" s="433"/>
      <c r="J118" s="154">
        <v>0</v>
      </c>
      <c r="K118" s="429">
        <v>0</v>
      </c>
      <c r="L118" s="429">
        <v>0</v>
      </c>
      <c r="M118" s="8"/>
    </row>
    <row r="119" spans="1:13">
      <c r="B119" s="132" t="s">
        <v>601</v>
      </c>
      <c r="C119" s="431" t="s">
        <v>4567</v>
      </c>
      <c r="D119" s="436" t="str">
        <f>VLOOKUP(C119,param!$A$18:$B$220,2,FALSE)</f>
        <v>LOB2-Clinician 7 Admin</v>
      </c>
      <c r="E119" s="433">
        <f>INDEX(decLOB2Cln7Mtng_R1,1)*K119</f>
        <v>0</v>
      </c>
      <c r="F119" s="433">
        <f>INDEX(decLOB2Cln7Mtng_R2,1)*L119</f>
        <v>0</v>
      </c>
      <c r="G119" s="433"/>
      <c r="J119" s="154">
        <v>0</v>
      </c>
      <c r="K119" s="429">
        <v>-0.15</v>
      </c>
      <c r="L119" s="429">
        <v>-0.15</v>
      </c>
      <c r="M119" s="8"/>
    </row>
    <row r="120" spans="1:13">
      <c r="B120" s="132" t="s">
        <v>601</v>
      </c>
      <c r="C120" s="431" t="s">
        <v>3234</v>
      </c>
      <c r="D120" s="436" t="str">
        <f>VLOOKUP(C120,param!$A$18:$B$220,2,FALSE)</f>
        <v>LOB2 - Employee Engagment</v>
      </c>
      <c r="E120" s="433">
        <f>INDEX(decLOB2Cln7Mtng_R1,1)*K120</f>
        <v>0</v>
      </c>
      <c r="F120" s="433">
        <f>INDEX(decLOB2Cln7Mtng_R2,1)*L120</f>
        <v>0</v>
      </c>
      <c r="G120" s="433"/>
      <c r="J120" s="154">
        <v>0</v>
      </c>
      <c r="K120" s="429">
        <v>0.01</v>
      </c>
      <c r="L120" s="429">
        <v>0.01</v>
      </c>
      <c r="M120" s="8"/>
    </row>
    <row r="121" spans="1:13">
      <c r="B121" s="132"/>
      <c r="C121" s="431"/>
      <c r="D121" s="436"/>
      <c r="E121" s="433"/>
      <c r="F121" s="433"/>
      <c r="G121" s="433"/>
      <c r="J121" s="154"/>
      <c r="K121" s="429"/>
      <c r="L121" s="429"/>
      <c r="M121" s="8"/>
    </row>
    <row r="122" spans="1:13" ht="10.5">
      <c r="A122" s="63">
        <v>8</v>
      </c>
      <c r="B122" s="585" t="str">
        <f>VLOOKUP(A122,dataTableCC2Staff,4,FALSE) &amp;" - High Admin, Low Productivity"</f>
        <v>Susie Sluder   - High Admin, Low Productivity</v>
      </c>
      <c r="C122" s="432"/>
      <c r="D122" s="432"/>
      <c r="E122" s="433"/>
      <c r="F122" s="433"/>
      <c r="G122" s="433"/>
    </row>
    <row r="123" spans="1:13">
      <c r="B123" s="132" t="s">
        <v>602</v>
      </c>
      <c r="C123" s="431" t="s">
        <v>4168</v>
      </c>
      <c r="D123" s="436" t="str">
        <f>VLOOKUP(C123,param!$A$18:$B$220,2,FALSE)</f>
        <v>LOB2-Clinician 8 Meetings</v>
      </c>
      <c r="E123" s="433">
        <f>INDEX(decLOB2Cln8Mtng_R1,1)*K123</f>
        <v>0</v>
      </c>
      <c r="F123" s="433">
        <f>INDEX(decLOB2Cln8Mtng_R2,1)*L123</f>
        <v>0</v>
      </c>
      <c r="G123" s="433"/>
      <c r="J123" s="154">
        <v>0</v>
      </c>
      <c r="K123" s="429">
        <v>0.1</v>
      </c>
      <c r="L123" s="429">
        <v>0.1</v>
      </c>
      <c r="M123" s="8"/>
    </row>
    <row r="124" spans="1:13">
      <c r="B124" s="132" t="s">
        <v>602</v>
      </c>
      <c r="C124" s="431" t="s">
        <v>4180</v>
      </c>
      <c r="D124" s="436" t="str">
        <f>VLOOKUP(C124,param!$A$18:$B$220,2,FALSE)</f>
        <v>LOB2-Clinician 8 Missed</v>
      </c>
      <c r="E124" s="433">
        <f>INDEX(decLOB2Cln8Mtng_R1,1)*K124</f>
        <v>0</v>
      </c>
      <c r="F124" s="433">
        <f>INDEX(decLOB2Cln8Mtng_R2,1)*L124</f>
        <v>0</v>
      </c>
      <c r="G124" s="433"/>
      <c r="J124" s="154">
        <v>0</v>
      </c>
      <c r="K124" s="429">
        <v>-0.5</v>
      </c>
      <c r="L124" s="429">
        <v>-0.5</v>
      </c>
      <c r="M124" s="8"/>
    </row>
    <row r="125" spans="1:13">
      <c r="B125" s="132" t="s">
        <v>602</v>
      </c>
      <c r="C125" s="431" t="s">
        <v>4534</v>
      </c>
      <c r="D125" s="436" t="str">
        <f>VLOOKUP(C125,param!$A$18:$B$220,2,FALSE)</f>
        <v>LOB2-Clinician 8 Mileage</v>
      </c>
      <c r="E125" s="433">
        <f>INDEX(decLOB2Cln8Mtng_R1,1)*K125</f>
        <v>0</v>
      </c>
      <c r="F125" s="433">
        <f>INDEX(decLOB2Cln8Mtng_R2,1)*L125</f>
        <v>0</v>
      </c>
      <c r="G125" s="433"/>
      <c r="J125" s="154">
        <v>0</v>
      </c>
      <c r="K125" s="429">
        <v>0</v>
      </c>
      <c r="L125" s="429">
        <v>0</v>
      </c>
      <c r="M125" s="8"/>
    </row>
    <row r="126" spans="1:13">
      <c r="B126" s="132" t="s">
        <v>602</v>
      </c>
      <c r="C126" s="431" t="s">
        <v>4570</v>
      </c>
      <c r="D126" s="436" t="str">
        <f>VLOOKUP(C126,param!$A$18:$B$220,2,FALSE)</f>
        <v>LOB2-Clinician 8 Admin</v>
      </c>
      <c r="E126" s="433">
        <f>INDEX(decLOB2Cln8Mtng_R1,1)*K126</f>
        <v>0</v>
      </c>
      <c r="F126" s="433">
        <f>INDEX(decLOB2Cln8Mtng_R2,1)*L126</f>
        <v>0</v>
      </c>
      <c r="G126" s="433"/>
      <c r="J126" s="154">
        <v>0</v>
      </c>
      <c r="K126" s="429">
        <v>-0.5</v>
      </c>
      <c r="L126" s="429">
        <v>-0.5</v>
      </c>
      <c r="M126" s="8"/>
    </row>
    <row r="127" spans="1:13">
      <c r="B127" s="132" t="s">
        <v>602</v>
      </c>
      <c r="C127" s="431" t="s">
        <v>3234</v>
      </c>
      <c r="D127" s="436" t="str">
        <f>VLOOKUP(C127,param!$A$18:$B$220,2,FALSE)</f>
        <v>LOB2 - Employee Engagment</v>
      </c>
      <c r="E127" s="433">
        <f>INDEX(decLOB2Cln8Mtng_R1,1)*K127</f>
        <v>0</v>
      </c>
      <c r="F127" s="433">
        <f>INDEX(decLOB2Cln8Mtng_R2,1)*L127</f>
        <v>0</v>
      </c>
      <c r="G127" s="433"/>
      <c r="J127" s="154">
        <v>0</v>
      </c>
      <c r="K127" s="429">
        <v>0</v>
      </c>
      <c r="L127" s="429">
        <v>0</v>
      </c>
      <c r="M127" s="8"/>
    </row>
    <row r="128" spans="1:13">
      <c r="B128" s="132"/>
      <c r="C128" s="431"/>
      <c r="D128" s="436"/>
      <c r="E128" s="433"/>
      <c r="F128" s="433"/>
      <c r="G128" s="433"/>
      <c r="J128" s="154"/>
      <c r="K128" s="429"/>
      <c r="L128" s="429"/>
      <c r="M128" s="8"/>
    </row>
    <row r="129" spans="1:13" ht="10.5">
      <c r="A129" s="63">
        <v>9</v>
      </c>
      <c r="B129" s="585" t="str">
        <f>VLOOKUP(A129,dataTableCC2Staff,4,FALSE) &amp;" - Low Enagement, Low Productivity"</f>
        <v>Jerome Jurek   - Low Enagement, Low Productivity</v>
      </c>
      <c r="C129" s="432"/>
      <c r="D129" s="432"/>
      <c r="E129" s="433"/>
      <c r="F129" s="433"/>
      <c r="G129" s="433"/>
    </row>
    <row r="130" spans="1:13">
      <c r="B130" s="132" t="s">
        <v>603</v>
      </c>
      <c r="C130" s="431" t="s">
        <v>4169</v>
      </c>
      <c r="D130" s="436" t="str">
        <f>VLOOKUP(C130,param!$A$18:$B$220,2,FALSE)</f>
        <v>LOB2-Clinician 9 Meetings</v>
      </c>
      <c r="E130" s="433">
        <f>INDEX(decLOB2Cln9Mtng_R1,1)*K130</f>
        <v>0</v>
      </c>
      <c r="F130" s="433">
        <f>INDEX(decLOB2Cln9Mtng_R2,1)*L130</f>
        <v>0</v>
      </c>
      <c r="G130" s="433"/>
      <c r="J130" s="154">
        <v>0</v>
      </c>
      <c r="K130" s="429">
        <v>0.1</v>
      </c>
      <c r="L130" s="429">
        <v>0.1</v>
      </c>
      <c r="M130" s="8"/>
    </row>
    <row r="131" spans="1:13">
      <c r="B131" s="132" t="s">
        <v>603</v>
      </c>
      <c r="C131" s="431" t="s">
        <v>4181</v>
      </c>
      <c r="D131" s="436" t="str">
        <f>VLOOKUP(C131,param!$A$18:$B$220,2,FALSE)</f>
        <v>LOB2-Clinician 9 Missed</v>
      </c>
      <c r="E131" s="433">
        <f>INDEX(decLOB2Cln9Mtng_R1,1)*K131</f>
        <v>0</v>
      </c>
      <c r="F131" s="433">
        <f>INDEX(decLOB2Cln9Mtng_R2,1)*L131</f>
        <v>0</v>
      </c>
      <c r="G131" s="433"/>
      <c r="J131" s="154">
        <v>0</v>
      </c>
      <c r="K131" s="429">
        <v>-0.5</v>
      </c>
      <c r="L131" s="429">
        <v>-0.5</v>
      </c>
      <c r="M131" s="8"/>
    </row>
    <row r="132" spans="1:13">
      <c r="B132" s="132" t="s">
        <v>603</v>
      </c>
      <c r="C132" s="431" t="s">
        <v>4537</v>
      </c>
      <c r="D132" s="436" t="str">
        <f>VLOOKUP(C132,param!$A$18:$B$220,2,FALSE)</f>
        <v>LOB2-Clinician 9 Mileage</v>
      </c>
      <c r="E132" s="433">
        <f>INDEX(decLOB2Cln9Mtng_R1,1)*K132</f>
        <v>0</v>
      </c>
      <c r="F132" s="433">
        <f>INDEX(decLOB2Cln9Mtng_R2,1)*L132</f>
        <v>0</v>
      </c>
      <c r="G132" s="433"/>
      <c r="J132" s="154">
        <v>0</v>
      </c>
      <c r="K132" s="429">
        <v>0</v>
      </c>
      <c r="L132" s="429">
        <v>0</v>
      </c>
      <c r="M132" s="8"/>
    </row>
    <row r="133" spans="1:13">
      <c r="B133" s="132" t="s">
        <v>603</v>
      </c>
      <c r="C133" s="431" t="s">
        <v>4573</v>
      </c>
      <c r="D133" s="436" t="str">
        <f>VLOOKUP(C133,param!$A$18:$B$220,2,FALSE)</f>
        <v>LOB2-Clinician 9 Admin</v>
      </c>
      <c r="E133" s="433">
        <f>INDEX(decLOB2Cln9Mtng_R1,1)*K133</f>
        <v>0</v>
      </c>
      <c r="F133" s="433">
        <f>INDEX(decLOB2Cln9Mtng_R2,1)*L133</f>
        <v>0</v>
      </c>
      <c r="G133" s="433"/>
      <c r="J133" s="154">
        <v>0</v>
      </c>
      <c r="K133" s="429">
        <v>-0.25</v>
      </c>
      <c r="L133" s="429">
        <v>-0.25</v>
      </c>
      <c r="M133" s="8"/>
    </row>
    <row r="134" spans="1:13">
      <c r="B134" s="132" t="s">
        <v>603</v>
      </c>
      <c r="C134" s="431" t="s">
        <v>3234</v>
      </c>
      <c r="D134" s="436" t="str">
        <f>VLOOKUP(C134,param!$A$18:$B$220,2,FALSE)</f>
        <v>LOB2 - Employee Engagment</v>
      </c>
      <c r="E134" s="433">
        <f>INDEX(decLOB2Cln9Mtng_R1,1)*K134</f>
        <v>0</v>
      </c>
      <c r="F134" s="433">
        <f>INDEX(decLOB2Cln9Mtng_R2,1)*L134</f>
        <v>0</v>
      </c>
      <c r="G134" s="433"/>
      <c r="J134" s="154">
        <v>0</v>
      </c>
      <c r="K134" s="429">
        <v>0.01</v>
      </c>
      <c r="L134" s="429">
        <v>0.01</v>
      </c>
      <c r="M134" s="8"/>
    </row>
    <row r="135" spans="1:13">
      <c r="B135" s="132"/>
      <c r="C135" s="431"/>
      <c r="D135" s="436"/>
      <c r="E135" s="433"/>
      <c r="F135" s="433"/>
      <c r="G135" s="433"/>
      <c r="J135" s="154"/>
      <c r="K135" s="429"/>
      <c r="L135" s="429"/>
      <c r="M135" s="8"/>
    </row>
    <row r="136" spans="1:13" ht="10.5">
      <c r="A136" s="63">
        <v>10</v>
      </c>
      <c r="B136" s="585" t="str">
        <f>VLOOKUP(A136,dataTableCC2Staff,4,FALSE) &amp;" - High Admin"</f>
        <v>Roseanna Roder   - High Admin</v>
      </c>
      <c r="C136" s="432"/>
      <c r="D136" s="432"/>
      <c r="E136" s="433"/>
      <c r="F136" s="433"/>
      <c r="G136" s="433"/>
    </row>
    <row r="137" spans="1:13">
      <c r="B137" s="132" t="s">
        <v>604</v>
      </c>
      <c r="C137" s="431" t="s">
        <v>4170</v>
      </c>
      <c r="D137" s="436" t="str">
        <f>VLOOKUP(C137,param!$A$18:$B$220,2,FALSE)</f>
        <v>LOB2-Clinician 10 Meetings</v>
      </c>
      <c r="E137" s="433">
        <f>INDEX(decLOB2Cln10Mtng_R1,1)*K137</f>
        <v>0</v>
      </c>
      <c r="F137" s="433">
        <f>INDEX(decLOB2Cln10Mtng_R2,1)*L137</f>
        <v>0</v>
      </c>
      <c r="G137" s="433"/>
      <c r="J137" s="154">
        <v>0</v>
      </c>
      <c r="K137" s="429">
        <v>0.1</v>
      </c>
      <c r="L137" s="429">
        <v>0.1</v>
      </c>
      <c r="M137" s="8"/>
    </row>
    <row r="138" spans="1:13">
      <c r="B138" s="132" t="s">
        <v>604</v>
      </c>
      <c r="C138" s="431" t="s">
        <v>4182</v>
      </c>
      <c r="D138" s="436" t="str">
        <f>VLOOKUP(C138,param!$A$18:$B$220,2,FALSE)</f>
        <v>LOB2-Clinician 10 Missed</v>
      </c>
      <c r="E138" s="433">
        <f>INDEX(decLOB2Cln10Mtng_R1,1)*K138</f>
        <v>0</v>
      </c>
      <c r="F138" s="433">
        <f>INDEX(decLOB2Cln10Mtng_R2,1)*L138</f>
        <v>0</v>
      </c>
      <c r="G138" s="433"/>
      <c r="J138" s="154">
        <v>0</v>
      </c>
      <c r="K138" s="429">
        <v>-0.5</v>
      </c>
      <c r="L138" s="429">
        <v>-0.5</v>
      </c>
      <c r="M138" s="8"/>
    </row>
    <row r="139" spans="1:13">
      <c r="B139" s="132" t="s">
        <v>604</v>
      </c>
      <c r="C139" s="431" t="s">
        <v>4540</v>
      </c>
      <c r="D139" s="436" t="str">
        <f>VLOOKUP(C139,param!$A$18:$B$220,2,FALSE)</f>
        <v>LOB2-Clinician 10 Mileage</v>
      </c>
      <c r="E139" s="433">
        <f>INDEX(decLOB2Cln10Mtng_R1,1)*K139</f>
        <v>0</v>
      </c>
      <c r="F139" s="433">
        <f>INDEX(decLOB2Cln10Mtng_R2,1)*L139</f>
        <v>0</v>
      </c>
      <c r="G139" s="433"/>
      <c r="J139" s="154">
        <v>0</v>
      </c>
      <c r="K139" s="429">
        <v>0</v>
      </c>
      <c r="L139" s="429">
        <v>0</v>
      </c>
      <c r="M139" s="8"/>
    </row>
    <row r="140" spans="1:13">
      <c r="B140" s="132" t="s">
        <v>604</v>
      </c>
      <c r="C140" s="431" t="s">
        <v>4576</v>
      </c>
      <c r="D140" s="436" t="str">
        <f>VLOOKUP(C140,param!$A$18:$B$220,2,FALSE)</f>
        <v>LOB2-Clinician 10 Admin</v>
      </c>
      <c r="E140" s="433">
        <f>INDEX(decLOB2Cln10Mtng_R1,1)*K140</f>
        <v>0</v>
      </c>
      <c r="F140" s="433">
        <f>INDEX(decLOB2Cln10Mtng_R2,1)*L140</f>
        <v>0</v>
      </c>
      <c r="G140" s="433"/>
      <c r="J140" s="154">
        <v>0</v>
      </c>
      <c r="K140" s="429">
        <v>-0.5</v>
      </c>
      <c r="L140" s="429">
        <v>-0.5</v>
      </c>
      <c r="M140" s="8"/>
    </row>
    <row r="141" spans="1:13">
      <c r="B141" s="132" t="s">
        <v>604</v>
      </c>
      <c r="C141" s="431" t="s">
        <v>3234</v>
      </c>
      <c r="D141" s="436" t="str">
        <f>VLOOKUP(C141,param!$A$18:$B$220,2,FALSE)</f>
        <v>LOB2 - Employee Engagment</v>
      </c>
      <c r="E141" s="433">
        <f>INDEX(decLOB2Cln10Mtng_R1,1)*K141</f>
        <v>0</v>
      </c>
      <c r="F141" s="433">
        <f>INDEX(decLOB2Cln10Mtng_R2,1)*L141</f>
        <v>0</v>
      </c>
      <c r="G141" s="433"/>
      <c r="J141" s="154">
        <v>0</v>
      </c>
      <c r="K141" s="429">
        <v>0</v>
      </c>
      <c r="L141" s="429">
        <v>0</v>
      </c>
      <c r="M141" s="8"/>
    </row>
    <row r="142" spans="1:13">
      <c r="B142" s="132"/>
      <c r="C142" s="431"/>
      <c r="D142" s="436"/>
      <c r="E142" s="433"/>
      <c r="F142" s="433"/>
      <c r="G142" s="433"/>
      <c r="J142" s="154"/>
      <c r="K142" s="429"/>
      <c r="L142" s="429"/>
      <c r="M142" s="8"/>
    </row>
    <row r="143" spans="1:13" ht="10.5">
      <c r="A143" s="63">
        <v>11</v>
      </c>
      <c r="B143" s="585" t="str">
        <f>VLOOKUP(A143,dataTableCC2Staff,4,FALSE) &amp; " - New Employee"</f>
        <v>Cherise Caraveo  - New Employee</v>
      </c>
      <c r="C143" s="431"/>
      <c r="D143" s="436"/>
      <c r="E143" s="433"/>
      <c r="F143" s="433"/>
      <c r="G143" s="433"/>
      <c r="J143" s="154"/>
      <c r="K143" s="429"/>
      <c r="L143" s="429"/>
    </row>
    <row r="144" spans="1:13">
      <c r="B144" s="132" t="s">
        <v>1497</v>
      </c>
      <c r="C144" s="431" t="s">
        <v>4171</v>
      </c>
      <c r="D144" s="436" t="str">
        <f>VLOOKUP(C144,param!$A$18:$B$220,2,FALSE)</f>
        <v>LOB2-Clinician 11 Meetings</v>
      </c>
      <c r="E144" s="433">
        <f>INDEX(decLOB2Cln11Mtng_R1,1)*K144</f>
        <v>0</v>
      </c>
      <c r="F144" s="433">
        <f>INDEX(decLOB2Cln11Mtng_R2,1)*L144</f>
        <v>0</v>
      </c>
      <c r="G144" s="432"/>
      <c r="J144" s="154">
        <v>0</v>
      </c>
      <c r="K144" s="429">
        <v>0.1</v>
      </c>
      <c r="L144" s="429">
        <v>0.1</v>
      </c>
    </row>
    <row r="145" spans="1:12">
      <c r="B145" s="132" t="s">
        <v>1497</v>
      </c>
      <c r="C145" s="431" t="s">
        <v>4183</v>
      </c>
      <c r="D145" s="436" t="str">
        <f>VLOOKUP(C145,param!$A$18:$B$220,2,FALSE)</f>
        <v>LOB2-Clinician 11 Missed</v>
      </c>
      <c r="E145" s="433">
        <f>INDEX(decLOB2Cln11Mtng_R1,1)*K145</f>
        <v>0</v>
      </c>
      <c r="F145" s="433">
        <f>INDEX(decLOB2Cln11Mtng_R2,1)*L145</f>
        <v>0</v>
      </c>
      <c r="G145" s="432"/>
      <c r="J145" s="154">
        <v>0</v>
      </c>
      <c r="K145" s="429">
        <v>-0.5</v>
      </c>
      <c r="L145" s="429">
        <v>-0.5</v>
      </c>
    </row>
    <row r="146" spans="1:12">
      <c r="B146" s="132"/>
      <c r="C146" s="431"/>
      <c r="D146" s="436"/>
      <c r="E146" s="433"/>
      <c r="F146" s="433"/>
      <c r="G146" s="432"/>
      <c r="J146" s="154"/>
      <c r="K146" s="429"/>
      <c r="L146" s="429"/>
    </row>
    <row r="147" spans="1:12" ht="10.5">
      <c r="A147" s="63">
        <v>13</v>
      </c>
      <c r="B147" s="585" t="str">
        <f>VLOOKUP(A147,dataTableCC2Staff,4,FALSE) &amp; " - New Employee"</f>
        <v>Bennie Bitton   - New Employee</v>
      </c>
      <c r="C147" s="431"/>
      <c r="D147" s="436"/>
      <c r="E147" s="433"/>
      <c r="F147" s="433"/>
      <c r="G147" s="433"/>
      <c r="J147" s="154"/>
      <c r="K147" s="429"/>
      <c r="L147" s="429"/>
    </row>
    <row r="148" spans="1:12">
      <c r="B148" s="132" t="s">
        <v>1498</v>
      </c>
      <c r="C148" s="431" t="s">
        <v>4172</v>
      </c>
      <c r="D148" s="436" t="str">
        <f>VLOOKUP(C148,param!$A$18:$B$220,2,FALSE)</f>
        <v>LOB2-Clinician 12 Meetings</v>
      </c>
      <c r="E148" s="433">
        <f>INDEX(decLOB2Cln12Mtng_R1,1)*K148</f>
        <v>0</v>
      </c>
      <c r="F148" s="433">
        <f>INDEX(decLOB2Cln12Mtng_R2,1)*L148</f>
        <v>0</v>
      </c>
      <c r="G148" s="432"/>
      <c r="J148" s="154">
        <v>0</v>
      </c>
      <c r="K148" s="429">
        <v>0.1</v>
      </c>
      <c r="L148" s="429">
        <v>0.1</v>
      </c>
    </row>
    <row r="149" spans="1:12">
      <c r="B149" s="132" t="s">
        <v>1498</v>
      </c>
      <c r="C149" s="431" t="s">
        <v>4184</v>
      </c>
      <c r="D149" s="436" t="str">
        <f>VLOOKUP(C149,param!$A$18:$B$220,2,FALSE)</f>
        <v>LOB2-Clinician 12 Missed</v>
      </c>
      <c r="E149" s="433">
        <f>INDEX(decLOB2Cln12Mtng_R1,1)*K149</f>
        <v>0</v>
      </c>
      <c r="F149" s="433">
        <f>INDEX(decLOB2Cln12Mtng_R2,1)*L149</f>
        <v>0</v>
      </c>
      <c r="G149" s="432"/>
      <c r="J149" s="154">
        <v>0</v>
      </c>
      <c r="K149" s="429">
        <v>-0.5</v>
      </c>
      <c r="L149" s="429">
        <v>-0.5</v>
      </c>
    </row>
    <row r="150" spans="1:12">
      <c r="B150" s="432"/>
      <c r="C150" s="432"/>
      <c r="D150" s="432"/>
      <c r="E150" s="432"/>
      <c r="F150" s="432"/>
      <c r="G150" s="432"/>
    </row>
    <row r="151" spans="1:12">
      <c r="B151" s="432"/>
      <c r="C151" s="432"/>
      <c r="D151" s="432"/>
      <c r="E151" s="432"/>
      <c r="F151" s="432"/>
      <c r="G151" s="432"/>
    </row>
    <row r="152" spans="1:12" s="146" customFormat="1">
      <c r="A152" s="147" t="s">
        <v>4642</v>
      </c>
      <c r="B152" s="147"/>
      <c r="E152" s="146" t="s">
        <v>706</v>
      </c>
      <c r="F152" s="146" t="s">
        <v>707</v>
      </c>
    </row>
    <row r="153" spans="1:12">
      <c r="B153" s="432"/>
      <c r="C153" s="432"/>
      <c r="D153" s="432"/>
      <c r="E153" s="433"/>
      <c r="F153" s="433"/>
      <c r="G153" s="433"/>
    </row>
    <row r="154" spans="1:12">
      <c r="B154" s="387" t="s">
        <v>563</v>
      </c>
      <c r="C154" s="432"/>
      <c r="D154" s="432"/>
      <c r="E154" s="433"/>
      <c r="F154" s="433"/>
      <c r="G154" s="433"/>
    </row>
    <row r="155" spans="1:12">
      <c r="B155" s="432"/>
      <c r="C155" s="431" t="s">
        <v>3173</v>
      </c>
      <c r="D155" s="436" t="str">
        <f>VLOOKUP(C155,param!$A$18:$B$220,2,FALSE)</f>
        <v>LOB1 - RN Meetings</v>
      </c>
      <c r="E155" s="437">
        <f>INDEX(decLOB1DOOAdjTime3_R1,1)/K155</f>
        <v>0</v>
      </c>
      <c r="F155" s="437">
        <f>INDEX(decLOB1DOOAdjTime3_R2,1)/L155</f>
        <v>0</v>
      </c>
      <c r="G155" s="433"/>
      <c r="K155" s="591">
        <v>2</v>
      </c>
      <c r="L155" s="591">
        <v>2</v>
      </c>
    </row>
    <row r="156" spans="1:12">
      <c r="B156" s="432"/>
      <c r="C156" s="431" t="s">
        <v>3174</v>
      </c>
      <c r="D156" s="436" t="str">
        <f>VLOOKUP(C156,param!$A$18:$B$220,2,FALSE)</f>
        <v>LOB1 - LPN Meetings</v>
      </c>
      <c r="E156" s="437">
        <f>INDEX(decLOB1DOOAdjTime3_R1,1)/K156</f>
        <v>0</v>
      </c>
      <c r="F156" s="437">
        <f>INDEX(decLOB1DOOAdjTime3_R2,1)/L156</f>
        <v>0</v>
      </c>
      <c r="G156" s="433"/>
      <c r="K156" s="591">
        <v>2</v>
      </c>
      <c r="L156" s="591">
        <v>2</v>
      </c>
    </row>
    <row r="157" spans="1:12">
      <c r="B157" s="432"/>
      <c r="C157" s="431" t="s">
        <v>3175</v>
      </c>
      <c r="D157" s="436" t="str">
        <f>VLOOKUP(C157,param!$A$18:$B$220,2,FALSE)</f>
        <v>LOB1 - PT Meetings</v>
      </c>
      <c r="E157" s="437">
        <f>INDEX(decLOB1DOOAdjTime3_R1,1)/K157</f>
        <v>0</v>
      </c>
      <c r="F157" s="437">
        <f>INDEX(decLOB1DOOAdjTime3_R2,1)/L157</f>
        <v>0</v>
      </c>
      <c r="G157" s="433"/>
      <c r="K157" s="591">
        <v>2</v>
      </c>
      <c r="L157" s="591">
        <v>2</v>
      </c>
    </row>
    <row r="158" spans="1:12">
      <c r="B158" s="432"/>
      <c r="C158" s="431" t="s">
        <v>3176</v>
      </c>
      <c r="D158" s="436" t="str">
        <f>VLOOKUP(C158,param!$A$18:$B$220,2,FALSE)</f>
        <v>LOB1 - OT Meetings</v>
      </c>
      <c r="E158" s="437">
        <f>INDEX(decLOB1DOOAdjTime3_R1,1)/K158</f>
        <v>0</v>
      </c>
      <c r="F158" s="437">
        <f>INDEX(decLOB1DOOAdjTime3_R2,1)/L158</f>
        <v>0</v>
      </c>
      <c r="G158" s="433"/>
      <c r="K158" s="591">
        <v>2</v>
      </c>
      <c r="L158" s="591">
        <v>2</v>
      </c>
    </row>
    <row r="159" spans="1:12">
      <c r="B159" s="432"/>
      <c r="C159" s="431"/>
      <c r="D159" s="436"/>
      <c r="E159" s="437"/>
      <c r="F159" s="437"/>
      <c r="G159" s="433"/>
      <c r="K159" s="591"/>
      <c r="L159" s="591"/>
    </row>
    <row r="160" spans="1:12">
      <c r="B160" s="432"/>
      <c r="C160" s="431" t="s">
        <v>3251</v>
      </c>
      <c r="D160" s="436" t="str">
        <f>VLOOKUP(C160,param!$A$18:$B$220,2,FALSE)</f>
        <v>LOB2 - RN Meetings</v>
      </c>
      <c r="E160" s="437">
        <f>INDEX(decLOB2DOOAdjTime3_R1,1)/K160</f>
        <v>0</v>
      </c>
      <c r="F160" s="437">
        <f>INDEX(decLOB2DOOAdjTime3_R2,1)/L160</f>
        <v>0</v>
      </c>
      <c r="G160" s="433"/>
      <c r="K160" s="591">
        <v>2</v>
      </c>
      <c r="L160" s="591">
        <v>2</v>
      </c>
    </row>
    <row r="161" spans="2:12">
      <c r="B161" s="432"/>
      <c r="C161" s="431" t="s">
        <v>3253</v>
      </c>
      <c r="D161" s="436" t="str">
        <f>VLOOKUP(C161,param!$A$18:$B$220,2,FALSE)</f>
        <v>LOB2 - LPN Meetings</v>
      </c>
      <c r="E161" s="437">
        <f>INDEX(decLOB2DOOAdjTime3_R1,1)/K161</f>
        <v>0</v>
      </c>
      <c r="F161" s="437">
        <f>INDEX(decLOB2DOOAdjTime3_R2,1)/L161</f>
        <v>0</v>
      </c>
      <c r="G161" s="433"/>
      <c r="K161" s="591">
        <v>2</v>
      </c>
      <c r="L161" s="591">
        <v>2</v>
      </c>
    </row>
    <row r="162" spans="2:12">
      <c r="B162" s="432"/>
      <c r="C162" s="431" t="s">
        <v>3255</v>
      </c>
      <c r="D162" s="436" t="str">
        <f>VLOOKUP(C162,param!$A$18:$B$220,2,FALSE)</f>
        <v>LOB2 - PT Meetings</v>
      </c>
      <c r="E162" s="437">
        <f>INDEX(decLOB2DOOAdjTime3_R1,1)/K162</f>
        <v>0</v>
      </c>
      <c r="F162" s="437">
        <f>INDEX(decLOB2DOOAdjTime3_R2,1)/L162</f>
        <v>0</v>
      </c>
      <c r="G162" s="433"/>
      <c r="K162" s="591">
        <v>2</v>
      </c>
      <c r="L162" s="591">
        <v>2</v>
      </c>
    </row>
    <row r="163" spans="2:12">
      <c r="B163" s="432"/>
      <c r="C163" s="431" t="s">
        <v>3257</v>
      </c>
      <c r="D163" s="436" t="str">
        <f>VLOOKUP(C163,param!$A$18:$B$220,2,FALSE)</f>
        <v>LOB2 - OT Meetings</v>
      </c>
      <c r="E163" s="437">
        <f>INDEX(decLOB2DOOAdjTime3_R1,1)/K163</f>
        <v>0</v>
      </c>
      <c r="F163" s="437">
        <f>INDEX(decLOB2DOOAdjTime3_R2,1)/L163</f>
        <v>0</v>
      </c>
      <c r="G163" s="433"/>
      <c r="K163" s="591">
        <v>2</v>
      </c>
      <c r="L163" s="591">
        <v>2</v>
      </c>
    </row>
    <row r="164" spans="2:12">
      <c r="B164" s="432"/>
      <c r="C164" s="431"/>
      <c r="D164" s="436"/>
      <c r="E164" s="437"/>
      <c r="F164" s="437"/>
      <c r="G164" s="433"/>
      <c r="K164" s="591"/>
      <c r="L164" s="591"/>
    </row>
    <row r="165" spans="2:12">
      <c r="B165" s="387" t="s">
        <v>564</v>
      </c>
      <c r="C165" s="431"/>
      <c r="D165" s="436"/>
      <c r="E165" s="437"/>
      <c r="F165" s="437"/>
      <c r="G165" s="433"/>
      <c r="K165" s="591"/>
      <c r="L165" s="591"/>
    </row>
    <row r="166" spans="2:12">
      <c r="B166" s="432"/>
      <c r="C166" s="431" t="s">
        <v>4643</v>
      </c>
      <c r="D166" s="436" t="str">
        <f>VLOOKUP(C166,param!$A$18:$B$220,2,FALSE)</f>
        <v>LOB1-Overhead</v>
      </c>
      <c r="E166" s="437">
        <f>-1*(INDEX(cbalLOB1DOOTime4,1)-INDEX(obalLOB1DOOTime4,1))/K166</f>
        <v>0</v>
      </c>
      <c r="F166" s="437">
        <f>-1*(INDEX(cbalR2LOB1DOOTime4,1)-INDEX(obalLOB1DOOTime4,1))/L166</f>
        <v>0</v>
      </c>
      <c r="G166" s="597"/>
      <c r="K166" s="591">
        <v>1</v>
      </c>
      <c r="L166" s="591">
        <v>1</v>
      </c>
    </row>
    <row r="167" spans="2:12">
      <c r="B167" s="432"/>
      <c r="C167" s="431" t="s">
        <v>4646</v>
      </c>
      <c r="D167" s="436" t="str">
        <f>VLOOKUP(C167,param!$A$18:$B$220,2,FALSE)</f>
        <v>LOB2-Overhead</v>
      </c>
      <c r="E167" s="437">
        <f>-1*(INDEX(cbalLOB2DOOTime4,1)-INDEX(obalLOB2DOOTime4,1))/K167</f>
        <v>0</v>
      </c>
      <c r="F167" s="437">
        <f>-1*(INDEX(cbalR2LOB2DOOTime4,1)-INDEX(obalLOB2DOOTime4,1))/L167</f>
        <v>0</v>
      </c>
      <c r="G167" s="597"/>
      <c r="K167" s="591">
        <v>1</v>
      </c>
      <c r="L167" s="591">
        <v>1</v>
      </c>
    </row>
    <row r="168" spans="2:12">
      <c r="B168" s="432"/>
      <c r="C168" s="432"/>
      <c r="D168" s="432"/>
      <c r="E168" s="433"/>
      <c r="F168" s="433"/>
      <c r="G168" s="433"/>
      <c r="K168" s="591"/>
      <c r="L168" s="591"/>
    </row>
    <row r="169" spans="2:12">
      <c r="B169" s="387" t="s">
        <v>565</v>
      </c>
      <c r="C169" s="431"/>
      <c r="D169" s="436"/>
      <c r="E169" s="437"/>
      <c r="F169" s="437"/>
      <c r="G169" s="433"/>
      <c r="K169" s="591"/>
      <c r="L169" s="591"/>
    </row>
    <row r="170" spans="2:12">
      <c r="B170" s="432"/>
      <c r="C170" s="431" t="s">
        <v>3172</v>
      </c>
      <c r="D170" s="436" t="str">
        <f>VLOOKUP(C170,param!$A$18:$B$220,2,FALSE)</f>
        <v>LOB1 - Clinical Quality</v>
      </c>
      <c r="E170" s="437">
        <f>INDEX(decLOB1DOOAdjTime5_R1,1)/K170</f>
        <v>0</v>
      </c>
      <c r="F170" s="437">
        <f>INDEX(decLOB1DOOAdjTime5_R2,1)/L170</f>
        <v>0</v>
      </c>
      <c r="G170" s="433"/>
      <c r="K170" s="591">
        <v>2</v>
      </c>
      <c r="L170" s="591">
        <v>2</v>
      </c>
    </row>
    <row r="171" spans="2:12">
      <c r="B171" s="432"/>
      <c r="C171" s="431" t="s">
        <v>4361</v>
      </c>
      <c r="D171" s="436" t="str">
        <f>VLOOKUP(C171,param!$A$18:$B$220,2,FALSE)</f>
        <v>LOB1 - Skilled Nursing Per Episode</v>
      </c>
      <c r="E171" s="437">
        <f>INDEX(decLOB1DOOAdjTime5_R1,1)/K171</f>
        <v>0</v>
      </c>
      <c r="F171" s="437">
        <f>INDEX(decLOB1DOOAdjTime5_R2,1)/L171</f>
        <v>0</v>
      </c>
      <c r="G171" s="433"/>
      <c r="K171" s="591">
        <v>5</v>
      </c>
      <c r="L171" s="591">
        <v>5</v>
      </c>
    </row>
    <row r="172" spans="2:12">
      <c r="B172" s="432"/>
      <c r="C172" s="431" t="s">
        <v>4362</v>
      </c>
      <c r="D172" s="436" t="str">
        <f>VLOOKUP(C172,param!$A$18:$B$220,2,FALSE)</f>
        <v>LOB1 - Occupational Therapy Per Episode</v>
      </c>
      <c r="E172" s="437">
        <f>INDEX(decLOB1DOOAdjTime5_R1,1)/K172</f>
        <v>0</v>
      </c>
      <c r="F172" s="437">
        <f>INDEX(decLOB1DOOAdjTime5_R2,1)/L172</f>
        <v>0</v>
      </c>
      <c r="G172" s="433"/>
      <c r="K172" s="591">
        <v>5</v>
      </c>
      <c r="L172" s="591">
        <v>5</v>
      </c>
    </row>
    <row r="173" spans="2:12">
      <c r="B173" s="432"/>
      <c r="C173" s="431" t="s">
        <v>4363</v>
      </c>
      <c r="D173" s="436" t="str">
        <f>VLOOKUP(C173,param!$A$18:$B$220,2,FALSE)</f>
        <v>LOB1 - Physical Therapy Per Episode</v>
      </c>
      <c r="E173" s="437">
        <f>INDEX(decLOB1DOOAdjTime5_R1,1)/K173</f>
        <v>0</v>
      </c>
      <c r="F173" s="437">
        <f>INDEX(decLOB1DOOAdjTime5_R2,1)/L173</f>
        <v>0</v>
      </c>
      <c r="G173" s="433"/>
      <c r="K173" s="591">
        <v>5</v>
      </c>
      <c r="L173" s="591">
        <v>5</v>
      </c>
    </row>
    <row r="174" spans="2:12">
      <c r="B174" s="432"/>
      <c r="C174" s="431"/>
      <c r="D174" s="436"/>
      <c r="E174" s="437"/>
      <c r="F174" s="437"/>
      <c r="G174" s="433"/>
      <c r="K174" s="591"/>
      <c r="L174" s="591"/>
    </row>
    <row r="175" spans="2:12">
      <c r="B175" s="432"/>
      <c r="C175" s="431" t="s">
        <v>3249</v>
      </c>
      <c r="D175" s="436" t="str">
        <f>VLOOKUP(C175,param!$A$18:$B$220,2,FALSE)</f>
        <v>LOB2 - Clinical Quality</v>
      </c>
      <c r="E175" s="437">
        <f>INDEX(decLOB2DOOAdjTime5_R1,1)/K175</f>
        <v>0</v>
      </c>
      <c r="F175" s="437">
        <f>INDEX(decLOB2DOOAdjTime5_R2,1)/L175</f>
        <v>0</v>
      </c>
      <c r="G175" s="433"/>
      <c r="K175" s="591">
        <v>2</v>
      </c>
      <c r="L175" s="591">
        <v>2</v>
      </c>
    </row>
    <row r="176" spans="2:12">
      <c r="B176" s="432"/>
      <c r="C176" s="431" t="s">
        <v>4365</v>
      </c>
      <c r="D176" s="436" t="str">
        <f>VLOOKUP(C176,param!$A$18:$B$220,2,FALSE)</f>
        <v>LOB2 - Skilled Nursing Per Episode</v>
      </c>
      <c r="E176" s="437">
        <f>INDEX(decLOB2DOOAdjTime5_R1,1)/K176</f>
        <v>0</v>
      </c>
      <c r="F176" s="437">
        <f>INDEX(decLOB2DOOAdjTime5_R2,1)/L176</f>
        <v>0</v>
      </c>
      <c r="G176" s="433"/>
      <c r="K176" s="591">
        <v>5</v>
      </c>
      <c r="L176" s="591">
        <v>5</v>
      </c>
    </row>
    <row r="177" spans="1:16">
      <c r="B177" s="432"/>
      <c r="C177" s="431" t="s">
        <v>4367</v>
      </c>
      <c r="D177" s="436" t="str">
        <f>VLOOKUP(C177,param!$A$18:$B$220,2,FALSE)</f>
        <v>LOB2 - Occupational Therapy Per Episode</v>
      </c>
      <c r="E177" s="437">
        <f>INDEX(decLOB2DOOAdjTime5_R1,1)/K177</f>
        <v>0</v>
      </c>
      <c r="F177" s="437">
        <f>INDEX(decLOB2DOOAdjTime5_R2,1)/L177</f>
        <v>0</v>
      </c>
      <c r="G177" s="433"/>
      <c r="K177" s="591">
        <v>5</v>
      </c>
      <c r="L177" s="591">
        <v>5</v>
      </c>
    </row>
    <row r="178" spans="1:16">
      <c r="B178" s="432"/>
      <c r="C178" s="431" t="s">
        <v>4369</v>
      </c>
      <c r="D178" s="436" t="str">
        <f>VLOOKUP(C178,param!$A$18:$B$220,2,FALSE)</f>
        <v>LOB2 - Physical Therapy Per Episode</v>
      </c>
      <c r="E178" s="437">
        <f>INDEX(decLOB2DOOAdjTime5_R1,1)/K178</f>
        <v>0</v>
      </c>
      <c r="F178" s="437">
        <f>INDEX(decLOB2DOOAdjTime5_R2,1)/L178</f>
        <v>0</v>
      </c>
      <c r="G178" s="433"/>
      <c r="K178" s="591">
        <v>5</v>
      </c>
      <c r="L178" s="591">
        <v>5</v>
      </c>
    </row>
    <row r="179" spans="1:16">
      <c r="B179" s="432"/>
      <c r="C179" s="432"/>
      <c r="D179" s="432"/>
      <c r="E179" s="433"/>
      <c r="F179" s="433"/>
      <c r="G179" s="433"/>
      <c r="K179" s="592"/>
      <c r="L179" s="592"/>
    </row>
    <row r="180" spans="1:16">
      <c r="B180" s="387" t="s">
        <v>4658</v>
      </c>
      <c r="C180" s="431"/>
      <c r="D180" s="436"/>
      <c r="E180" s="437"/>
      <c r="F180" s="437"/>
      <c r="G180" s="433"/>
      <c r="K180" s="591"/>
      <c r="L180" s="591"/>
    </row>
    <row r="181" spans="1:16">
      <c r="B181" s="432"/>
      <c r="C181" s="431" t="s">
        <v>3156</v>
      </c>
      <c r="D181" s="436" t="str">
        <f>VLOOKUP(C181,param!$A$18:$B$220,2,FALSE)</f>
        <v>LOB1 - Referrals Volume</v>
      </c>
      <c r="E181" s="437">
        <f>INDEX(decLOB1DOOAdjTime6_R1,1)/K181</f>
        <v>0</v>
      </c>
      <c r="F181" s="437">
        <f>INDEX(decLOB1DOOAdjTime6_R2,1)/L181</f>
        <v>0</v>
      </c>
      <c r="G181" s="433"/>
      <c r="K181" s="591">
        <v>4</v>
      </c>
      <c r="L181" s="591">
        <v>4</v>
      </c>
    </row>
    <row r="182" spans="1:16">
      <c r="B182" s="432"/>
      <c r="C182" s="431" t="s">
        <v>3158</v>
      </c>
      <c r="D182" s="436" t="str">
        <f>VLOOKUP(C182,param!$A$18:$B$220,2,FALSE)</f>
        <v>LOB1 - Referrals Satisfaction</v>
      </c>
      <c r="E182" s="437">
        <f>INDEX(decLOB1DOOAdjTime6_R1,1)/K182</f>
        <v>0</v>
      </c>
      <c r="F182" s="437">
        <f>INDEX(decLOB1DOOAdjTime6_R2,1)/L182</f>
        <v>0</v>
      </c>
      <c r="G182" s="433"/>
      <c r="K182" s="591">
        <v>4</v>
      </c>
      <c r="L182" s="591">
        <v>4</v>
      </c>
    </row>
    <row r="183" spans="1:16">
      <c r="B183" s="432"/>
      <c r="C183" s="432"/>
      <c r="D183" s="432"/>
      <c r="E183" s="433"/>
      <c r="F183" s="433"/>
      <c r="G183" s="433"/>
      <c r="K183" s="591"/>
      <c r="L183" s="591"/>
    </row>
    <row r="184" spans="1:16">
      <c r="B184" s="432"/>
      <c r="C184" s="431" t="s">
        <v>3225</v>
      </c>
      <c r="D184" s="436" t="str">
        <f>VLOOKUP(C184,param!$A$18:$B$220,2,FALSE)</f>
        <v>LOB2 - Referrals Volume</v>
      </c>
      <c r="E184" s="437">
        <f>INDEX(decLOB2DOOAdjTime6_R1,1)/K184</f>
        <v>0</v>
      </c>
      <c r="F184" s="437">
        <f>INDEX(decLOB2DOOAdjTime6_R2,1)/L184</f>
        <v>0</v>
      </c>
      <c r="G184" s="433"/>
      <c r="K184" s="591">
        <v>4</v>
      </c>
      <c r="L184" s="591">
        <v>4</v>
      </c>
    </row>
    <row r="185" spans="1:16">
      <c r="B185" s="432"/>
      <c r="C185" s="431" t="s">
        <v>3228</v>
      </c>
      <c r="D185" s="436" t="str">
        <f>VLOOKUP(C185,param!$A$18:$B$220,2,FALSE)</f>
        <v>LOB2 - Referrals Satisfaction</v>
      </c>
      <c r="E185" s="437">
        <f>INDEX(decLOB2DOOAdjTime6_R1,1)/K185</f>
        <v>0</v>
      </c>
      <c r="F185" s="437">
        <f>INDEX(decLOB2DOOAdjTime6_R2,1)/L185</f>
        <v>0</v>
      </c>
      <c r="G185" s="433"/>
      <c r="K185" s="591">
        <v>4</v>
      </c>
      <c r="L185" s="591">
        <v>4</v>
      </c>
    </row>
    <row r="186" spans="1:16">
      <c r="B186" s="432"/>
      <c r="C186" s="432"/>
      <c r="D186" s="432"/>
      <c r="E186" s="433"/>
      <c r="F186" s="433"/>
      <c r="G186" s="433"/>
    </row>
    <row r="187" spans="1:16">
      <c r="B187" s="432"/>
      <c r="C187" s="432"/>
      <c r="D187" s="432"/>
      <c r="E187" s="433"/>
      <c r="F187" s="433"/>
      <c r="G187" s="433"/>
    </row>
    <row r="188" spans="1:16" s="146" customFormat="1">
      <c r="A188" s="147" t="s">
        <v>4640</v>
      </c>
      <c r="B188" s="147"/>
      <c r="E188" s="146" t="s">
        <v>706</v>
      </c>
      <c r="F188" s="146" t="s">
        <v>707</v>
      </c>
      <c r="J188" s="146" t="s">
        <v>168</v>
      </c>
      <c r="K188" s="146" t="s">
        <v>167</v>
      </c>
      <c r="L188" s="146" t="s">
        <v>166</v>
      </c>
    </row>
    <row r="189" spans="1:16">
      <c r="D189" s="432"/>
      <c r="E189" s="433"/>
      <c r="F189" s="433"/>
      <c r="O189" s="8" t="s">
        <v>2930</v>
      </c>
      <c r="P189" s="491">
        <v>0.05</v>
      </c>
    </row>
    <row r="190" spans="1:16">
      <c r="D190" s="432"/>
      <c r="E190" s="433"/>
      <c r="F190" s="433"/>
      <c r="O190" s="8" t="s">
        <v>2925</v>
      </c>
      <c r="P190" s="496">
        <v>0.04</v>
      </c>
    </row>
    <row r="191" spans="1:16">
      <c r="D191" s="432"/>
      <c r="E191" s="433"/>
      <c r="F191" s="433"/>
      <c r="O191" s="8" t="s">
        <v>2926</v>
      </c>
      <c r="P191" s="496">
        <v>0.03</v>
      </c>
    </row>
    <row r="192" spans="1:16">
      <c r="D192" s="432"/>
      <c r="E192" s="433"/>
      <c r="F192" s="433"/>
      <c r="O192" s="8" t="s">
        <v>2927</v>
      </c>
      <c r="P192" s="496">
        <v>0.02</v>
      </c>
    </row>
    <row r="193" spans="1:16">
      <c r="B193" s="149" t="s">
        <v>169</v>
      </c>
      <c r="C193" s="197" t="s">
        <v>2943</v>
      </c>
      <c r="D193" s="229" t="s">
        <v>2944</v>
      </c>
      <c r="E193" s="501" t="s">
        <v>2945</v>
      </c>
      <c r="F193" s="501" t="s">
        <v>2946</v>
      </c>
      <c r="G193" s="149"/>
      <c r="H193" s="153"/>
      <c r="I193" s="153"/>
      <c r="J193" s="153"/>
      <c r="K193" s="153"/>
      <c r="L193" s="153"/>
      <c r="O193" s="8" t="s">
        <v>2929</v>
      </c>
      <c r="P193" s="419">
        <v>0.01</v>
      </c>
    </row>
    <row r="194" spans="1:16" ht="10.5">
      <c r="A194" s="461"/>
      <c r="B194" s="426">
        <v>1</v>
      </c>
      <c r="C194" s="427" t="s">
        <v>701</v>
      </c>
      <c r="D194" s="434"/>
      <c r="E194" s="435"/>
      <c r="F194" s="435"/>
      <c r="G194" s="149"/>
      <c r="M194" s="8" t="s">
        <v>2928</v>
      </c>
    </row>
    <row r="195" spans="1:16">
      <c r="A195" s="461"/>
      <c r="B195" s="426">
        <v>1</v>
      </c>
      <c r="C195" s="431" t="s">
        <v>3154</v>
      </c>
      <c r="D195" s="436" t="str">
        <f>VLOOKUP(C195,param!$A$18:$B$220,2,FALSE)</f>
        <v>LOB1 - Referrals Time</v>
      </c>
      <c r="E195" s="437">
        <f>COUNTIF(LOB1FocusAreas_DecR1,adj!$B195)*K195</f>
        <v>0</v>
      </c>
      <c r="F195" s="437">
        <f>COUNTIF(LOB1FocusAreas_DecR2,adj!$B195)*L195</f>
        <v>0</v>
      </c>
      <c r="G195" s="156"/>
      <c r="H195" s="153"/>
      <c r="I195" s="153"/>
      <c r="J195" s="154">
        <v>0</v>
      </c>
      <c r="K195" s="429">
        <f>VLOOKUP($M195,$O$189:$P$193,2,FALSE)</f>
        <v>0.02</v>
      </c>
      <c r="L195" s="429">
        <f>VLOOKUP($M195,$O$189:$P$193,2,FALSE)</f>
        <v>0.02</v>
      </c>
      <c r="M195" s="8" t="s">
        <v>2927</v>
      </c>
    </row>
    <row r="196" spans="1:16">
      <c r="A196" s="461"/>
      <c r="B196" s="426">
        <v>1</v>
      </c>
      <c r="C196" s="431" t="s">
        <v>3156</v>
      </c>
      <c r="D196" s="436" t="str">
        <f>VLOOKUP(C196,param!$A$18:$B$220,2,FALSE)</f>
        <v>LOB1 - Referrals Volume</v>
      </c>
      <c r="E196" s="437">
        <f>COUNTIF(LOB1FocusAreas_DecR1,adj!$B196)*K196</f>
        <v>0</v>
      </c>
      <c r="F196" s="437">
        <f>COUNTIF(LOB1FocusAreas_DecR2,adj!$B196)*L196</f>
        <v>0</v>
      </c>
      <c r="G196" s="156"/>
      <c r="J196" s="154">
        <v>0</v>
      </c>
      <c r="K196" s="429">
        <f>VLOOKUP($M196,$O$189:$P$193,2,FALSE)</f>
        <v>0.02</v>
      </c>
      <c r="L196" s="429">
        <f>VLOOKUP($M196,$O$189:$P$193,2,FALSE)</f>
        <v>0.02</v>
      </c>
      <c r="M196" s="8" t="s">
        <v>2927</v>
      </c>
    </row>
    <row r="197" spans="1:16">
      <c r="A197" s="461"/>
      <c r="B197" s="426">
        <v>1</v>
      </c>
      <c r="C197" s="431" t="s">
        <v>3158</v>
      </c>
      <c r="D197" s="436" t="str">
        <f>VLOOKUP(C197,param!$A$18:$B$220,2,FALSE)</f>
        <v>LOB1 - Referrals Satisfaction</v>
      </c>
      <c r="E197" s="437">
        <f>COUNTIF(LOB1FocusAreas_DecR1,adj!$B197)*K197</f>
        <v>0</v>
      </c>
      <c r="F197" s="437">
        <f>COUNTIF(LOB1FocusAreas_DecR2,adj!$B197)*L197</f>
        <v>0</v>
      </c>
      <c r="G197" s="156"/>
      <c r="H197" s="153"/>
      <c r="I197" s="153"/>
      <c r="J197" s="154">
        <v>0</v>
      </c>
      <c r="K197" s="429">
        <f t="shared" ref="K197:L197" si="0">VLOOKUP($M197,$O$189:$P$193,2,FALSE)</f>
        <v>0.02</v>
      </c>
      <c r="L197" s="429">
        <f t="shared" si="0"/>
        <v>0.02</v>
      </c>
      <c r="M197" s="8" t="s">
        <v>2927</v>
      </c>
    </row>
    <row r="198" spans="1:16">
      <c r="A198" s="461"/>
      <c r="C198" s="157"/>
      <c r="D198" s="438"/>
      <c r="E198" s="433"/>
      <c r="F198" s="433"/>
    </row>
    <row r="199" spans="1:16" ht="10.5">
      <c r="A199" s="461"/>
      <c r="B199" s="426">
        <v>2</v>
      </c>
      <c r="C199" s="427" t="s">
        <v>3990</v>
      </c>
      <c r="D199" s="436"/>
      <c r="E199" s="435"/>
      <c r="F199" s="435"/>
      <c r="G199" s="149"/>
    </row>
    <row r="200" spans="1:16">
      <c r="A200" s="461"/>
      <c r="B200" s="426">
        <v>2</v>
      </c>
      <c r="C200" s="431" t="s">
        <v>3154</v>
      </c>
      <c r="D200" s="436" t="str">
        <f>VLOOKUP(C200,param!$A$18:$B$220,2,FALSE)</f>
        <v>LOB1 - Referrals Time</v>
      </c>
      <c r="E200" s="437">
        <f>COUNTIF(LOB1FocusAreas_DecR1,adj!$B200)*K200</f>
        <v>0</v>
      </c>
      <c r="F200" s="437">
        <f>COUNTIF(LOB1FocusAreas_DecR2,adj!$B200)*L200</f>
        <v>0</v>
      </c>
      <c r="G200" s="156"/>
      <c r="H200" s="153"/>
      <c r="I200" s="153"/>
      <c r="J200" s="154">
        <v>0</v>
      </c>
      <c r="K200" s="429">
        <f t="shared" ref="K200:L203" si="1">VLOOKUP($M200,$O$189:$P$193,2,FALSE)</f>
        <v>0.03</v>
      </c>
      <c r="L200" s="429">
        <f t="shared" si="1"/>
        <v>0.03</v>
      </c>
      <c r="M200" s="8" t="s">
        <v>2926</v>
      </c>
    </row>
    <row r="201" spans="1:16">
      <c r="A201" s="461"/>
      <c r="B201" s="426">
        <v>2</v>
      </c>
      <c r="C201" s="431" t="s">
        <v>3156</v>
      </c>
      <c r="D201" s="436" t="str">
        <f>VLOOKUP(C201,param!$A$18:$B$220,2,FALSE)</f>
        <v>LOB1 - Referrals Volume</v>
      </c>
      <c r="E201" s="437">
        <f>COUNTIF(LOB1FocusAreas_DecR1,adj!$B201)*K201</f>
        <v>0</v>
      </c>
      <c r="F201" s="437">
        <f>COUNTIF(LOB1FocusAreas_DecR2,adj!$B201)*L201</f>
        <v>0</v>
      </c>
      <c r="G201" s="156"/>
      <c r="J201" s="154">
        <v>0</v>
      </c>
      <c r="K201" s="429">
        <f t="shared" si="1"/>
        <v>0.02</v>
      </c>
      <c r="L201" s="429">
        <f t="shared" si="1"/>
        <v>0.02</v>
      </c>
      <c r="M201" s="8" t="s">
        <v>2927</v>
      </c>
    </row>
    <row r="202" spans="1:16">
      <c r="A202" s="461"/>
      <c r="B202" s="426">
        <v>2</v>
      </c>
      <c r="C202" s="431" t="s">
        <v>3158</v>
      </c>
      <c r="D202" s="436" t="str">
        <f>VLOOKUP(C202,param!$A$18:$B$220,2,FALSE)</f>
        <v>LOB1 - Referrals Satisfaction</v>
      </c>
      <c r="E202" s="437">
        <f>COUNTIF(LOB1FocusAreas_DecR1,adj!$B202)*K202</f>
        <v>0</v>
      </c>
      <c r="F202" s="437">
        <f>COUNTIF(LOB1FocusAreas_DecR2,adj!$B202)*L202</f>
        <v>0</v>
      </c>
      <c r="G202" s="156"/>
      <c r="H202" s="153"/>
      <c r="I202" s="153"/>
      <c r="J202" s="154">
        <v>0</v>
      </c>
      <c r="K202" s="429">
        <f t="shared" si="1"/>
        <v>0.03</v>
      </c>
      <c r="L202" s="429">
        <f t="shared" si="1"/>
        <v>0.03</v>
      </c>
      <c r="M202" s="8" t="s">
        <v>2926</v>
      </c>
    </row>
    <row r="203" spans="1:16">
      <c r="A203" s="461"/>
      <c r="B203" s="426">
        <v>2</v>
      </c>
      <c r="C203" s="431" t="s">
        <v>3172</v>
      </c>
      <c r="D203" s="436" t="str">
        <f>VLOOKUP(C203,param!$A$18:$B$220,2,FALSE)</f>
        <v>LOB1 - Clinical Quality</v>
      </c>
      <c r="E203" s="437">
        <f>COUNTIF(LOB1FocusAreas_DecR1,adj!$B203)*K203</f>
        <v>0</v>
      </c>
      <c r="F203" s="437">
        <f>COUNTIF(LOB1FocusAreas_DecR2,adj!$B203)*L203</f>
        <v>0</v>
      </c>
      <c r="G203" s="156"/>
      <c r="H203" s="153"/>
      <c r="I203" s="153"/>
      <c r="J203" s="154">
        <v>0</v>
      </c>
      <c r="K203" s="429">
        <f t="shared" si="1"/>
        <v>0.02</v>
      </c>
      <c r="L203" s="429">
        <f t="shared" si="1"/>
        <v>0.02</v>
      </c>
      <c r="M203" s="8" t="s">
        <v>2927</v>
      </c>
    </row>
    <row r="204" spans="1:16">
      <c r="A204" s="461"/>
      <c r="C204" s="157"/>
      <c r="D204" s="438"/>
      <c r="E204" s="433"/>
      <c r="F204" s="433"/>
    </row>
    <row r="205" spans="1:16" ht="10.5">
      <c r="A205" s="461"/>
      <c r="B205" s="426">
        <v>3</v>
      </c>
      <c r="C205" s="427" t="s">
        <v>2931</v>
      </c>
      <c r="D205" s="436"/>
      <c r="E205" s="435"/>
      <c r="F205" s="435"/>
      <c r="G205" s="149"/>
    </row>
    <row r="206" spans="1:16">
      <c r="A206" s="461"/>
      <c r="B206" s="426">
        <v>3</v>
      </c>
      <c r="C206" s="431" t="s">
        <v>3154</v>
      </c>
      <c r="D206" s="436" t="str">
        <f>VLOOKUP(C206,param!$A$18:$B$220,2,FALSE)</f>
        <v>LOB1 - Referrals Time</v>
      </c>
      <c r="E206" s="437">
        <f>COUNTIF(LOB1FocusAreas_DecR1,adj!$B206)*K206</f>
        <v>0</v>
      </c>
      <c r="F206" s="437">
        <f>COUNTIF(LOB1FocusAreas_DecR2,adj!$B206)*L206</f>
        <v>0</v>
      </c>
      <c r="G206" s="156"/>
      <c r="H206" s="153"/>
      <c r="I206" s="153"/>
      <c r="J206" s="154">
        <v>0</v>
      </c>
      <c r="K206" s="429">
        <f t="shared" ref="K206:L211" si="2">VLOOKUP($M206,$O$189:$P$193,2,FALSE)</f>
        <v>0.03</v>
      </c>
      <c r="L206" s="429">
        <f t="shared" si="2"/>
        <v>0.03</v>
      </c>
      <c r="M206" s="8" t="s">
        <v>2926</v>
      </c>
    </row>
    <row r="207" spans="1:16">
      <c r="A207" s="461"/>
      <c r="B207" s="426">
        <v>3</v>
      </c>
      <c r="C207" s="431" t="s">
        <v>3156</v>
      </c>
      <c r="D207" s="436" t="str">
        <f>VLOOKUP(C207,param!$A$18:$B$220,2,FALSE)</f>
        <v>LOB1 - Referrals Volume</v>
      </c>
      <c r="E207" s="437">
        <f>COUNTIF(LOB1FocusAreas_DecR1,adj!$B207)*K207</f>
        <v>0</v>
      </c>
      <c r="F207" s="437">
        <f>COUNTIF(LOB1FocusAreas_DecR2,adj!$B207)*L207</f>
        <v>0</v>
      </c>
      <c r="G207" s="156"/>
      <c r="J207" s="154">
        <v>0</v>
      </c>
      <c r="K207" s="429">
        <f t="shared" si="2"/>
        <v>0.03</v>
      </c>
      <c r="L207" s="429">
        <f t="shared" si="2"/>
        <v>0.03</v>
      </c>
      <c r="M207" s="8" t="s">
        <v>2926</v>
      </c>
    </row>
    <row r="208" spans="1:16">
      <c r="A208" s="461"/>
      <c r="B208" s="426">
        <v>3</v>
      </c>
      <c r="C208" s="431" t="s">
        <v>3158</v>
      </c>
      <c r="D208" s="436" t="str">
        <f>VLOOKUP(C208,param!$A$18:$B$220,2,FALSE)</f>
        <v>LOB1 - Referrals Satisfaction</v>
      </c>
      <c r="E208" s="437">
        <f>COUNTIF(LOB1FocusAreas_DecR1,adj!$B208)*K208</f>
        <v>0</v>
      </c>
      <c r="F208" s="437">
        <f>COUNTIF(LOB1FocusAreas_DecR2,adj!$B208)*L208</f>
        <v>0</v>
      </c>
      <c r="G208" s="156"/>
      <c r="H208" s="153"/>
      <c r="I208" s="153"/>
      <c r="J208" s="154">
        <v>0</v>
      </c>
      <c r="K208" s="429">
        <f t="shared" si="2"/>
        <v>0.03</v>
      </c>
      <c r="L208" s="429">
        <f t="shared" si="2"/>
        <v>0.03</v>
      </c>
      <c r="M208" s="8" t="s">
        <v>2926</v>
      </c>
    </row>
    <row r="209" spans="1:14">
      <c r="A209" s="461"/>
      <c r="B209" s="426">
        <v>3</v>
      </c>
      <c r="C209" s="431" t="s">
        <v>3162</v>
      </c>
      <c r="D209" s="436" t="str">
        <f>VLOOKUP(C209,param!$A$18:$B$220,2,FALSE)</f>
        <v>LOB1 - Employee Engagment</v>
      </c>
      <c r="E209" s="437">
        <f>COUNTIF(LOB1FocusAreas_DecR1,adj!$B209)*K209</f>
        <v>0</v>
      </c>
      <c r="F209" s="437">
        <f>COUNTIF(LOB1FocusAreas_DecR2,adj!$B209)*L209</f>
        <v>0</v>
      </c>
      <c r="G209" s="156"/>
      <c r="H209" s="153"/>
      <c r="I209" s="153"/>
      <c r="J209" s="154">
        <v>0</v>
      </c>
      <c r="K209" s="429">
        <f t="shared" si="2"/>
        <v>0.01</v>
      </c>
      <c r="L209" s="429">
        <f t="shared" si="2"/>
        <v>0.01</v>
      </c>
      <c r="M209" s="8" t="s">
        <v>2929</v>
      </c>
    </row>
    <row r="210" spans="1:14">
      <c r="A210" s="461"/>
      <c r="B210" s="426">
        <v>3</v>
      </c>
      <c r="C210" s="431" t="s">
        <v>3168</v>
      </c>
      <c r="D210" s="436" t="str">
        <f>VLOOKUP(C210,param!$A$18:$B$220,2,FALSE)</f>
        <v>LOB1 - Clinician Admin Time</v>
      </c>
      <c r="E210" s="437">
        <f>COUNTIF(LOB1FocusAreas_DecR1,adj!$B210)*K210</f>
        <v>0</v>
      </c>
      <c r="F210" s="437">
        <f>COUNTIF(LOB1FocusAreas_DecR2,adj!$B210)*L210</f>
        <v>0</v>
      </c>
      <c r="G210" s="156"/>
      <c r="H210" s="153"/>
      <c r="I210" s="153"/>
      <c r="J210" s="154">
        <v>0</v>
      </c>
      <c r="K210" s="429">
        <f t="shared" si="2"/>
        <v>0.05</v>
      </c>
      <c r="L210" s="429">
        <f t="shared" si="2"/>
        <v>0.05</v>
      </c>
      <c r="M210" s="8" t="s">
        <v>2930</v>
      </c>
      <c r="N210" s="167" t="s">
        <v>4356</v>
      </c>
    </row>
    <row r="211" spans="1:14">
      <c r="A211" s="461"/>
      <c r="B211" s="426">
        <v>3</v>
      </c>
      <c r="C211" s="431" t="s">
        <v>3168</v>
      </c>
      <c r="D211" s="436" t="str">
        <f>VLOOKUP(C211,param!$A$18:$B$220,2,FALSE)</f>
        <v>LOB1 - Clinician Admin Time</v>
      </c>
      <c r="E211" s="437">
        <f>COUNTIF(LOB1FocusAreas_DecR1,adj!$B211)*K211</f>
        <v>0</v>
      </c>
      <c r="F211" s="437">
        <f>COUNTIF(LOB1FocusAreas_DecR2,adj!$B211)*L211</f>
        <v>0</v>
      </c>
      <c r="G211" s="156"/>
      <c r="H211" s="153"/>
      <c r="I211" s="153"/>
      <c r="J211" s="154">
        <v>0</v>
      </c>
      <c r="K211" s="429">
        <f t="shared" si="2"/>
        <v>0.05</v>
      </c>
      <c r="L211" s="429">
        <f t="shared" si="2"/>
        <v>0.05</v>
      </c>
      <c r="M211" s="8" t="s">
        <v>2930</v>
      </c>
      <c r="N211" s="167" t="s">
        <v>4356</v>
      </c>
    </row>
    <row r="212" spans="1:14">
      <c r="A212" s="461"/>
      <c r="B212" s="426">
        <v>3</v>
      </c>
      <c r="C212" s="431" t="s">
        <v>3170</v>
      </c>
      <c r="D212" s="436" t="str">
        <f>VLOOKUP(C212,param!$A$18:$B$220,2,FALSE)</f>
        <v>LOB1 - Clinician Meetings</v>
      </c>
      <c r="E212" s="437">
        <f>COUNTIF(LOB1FocusAreas_DecR1,adj!$B212)*K212</f>
        <v>0</v>
      </c>
      <c r="F212" s="437">
        <f>COUNTIF(LOB1FocusAreas_DecR2,adj!$B212)*L212</f>
        <v>0</v>
      </c>
      <c r="G212" s="156"/>
      <c r="H212" s="153"/>
      <c r="I212" s="153"/>
      <c r="J212" s="154">
        <v>0</v>
      </c>
      <c r="K212" s="429">
        <f>-1*VLOOKUP($M212,$O$189:$P$193,2,FALSE)</f>
        <v>-0.03</v>
      </c>
      <c r="L212" s="429">
        <f>-1*VLOOKUP($M212,$O$189:$P$193,2,FALSE)</f>
        <v>-0.03</v>
      </c>
      <c r="M212" s="8" t="s">
        <v>2926</v>
      </c>
    </row>
    <row r="213" spans="1:14">
      <c r="A213" s="461"/>
      <c r="C213" s="157"/>
      <c r="D213" s="438"/>
      <c r="E213" s="433"/>
      <c r="F213" s="433"/>
    </row>
    <row r="214" spans="1:14" ht="10.5">
      <c r="A214" s="461"/>
      <c r="B214" s="426">
        <v>4</v>
      </c>
      <c r="C214" s="427" t="s">
        <v>2932</v>
      </c>
      <c r="D214" s="436"/>
      <c r="E214" s="435"/>
      <c r="F214" s="435"/>
      <c r="G214" s="149"/>
    </row>
    <row r="215" spans="1:14">
      <c r="A215" s="461"/>
      <c r="B215" s="426">
        <v>4</v>
      </c>
      <c r="C215" s="431" t="s">
        <v>3154</v>
      </c>
      <c r="D215" s="436" t="str">
        <f>VLOOKUP(C215,param!$A$18:$B$220,2,FALSE)</f>
        <v>LOB1 - Referrals Time</v>
      </c>
      <c r="E215" s="437">
        <f>COUNTIF(LOB1FocusAreas_DecR1,adj!$B215)*K215</f>
        <v>0</v>
      </c>
      <c r="F215" s="437">
        <f>COUNTIF(LOB1FocusAreas_DecR2,adj!$B215)*L215</f>
        <v>0</v>
      </c>
      <c r="G215" s="156"/>
      <c r="H215" s="153"/>
      <c r="I215" s="153"/>
      <c r="J215" s="154">
        <v>0</v>
      </c>
      <c r="K215" s="429">
        <f t="shared" ref="K215:L220" si="3">VLOOKUP($M215,$O$189:$P$193,2,FALSE)</f>
        <v>0.03</v>
      </c>
      <c r="L215" s="429">
        <f t="shared" si="3"/>
        <v>0.03</v>
      </c>
      <c r="M215" s="8" t="s">
        <v>2926</v>
      </c>
    </row>
    <row r="216" spans="1:14">
      <c r="A216" s="461"/>
      <c r="B216" s="426">
        <v>4</v>
      </c>
      <c r="C216" s="431" t="s">
        <v>3156</v>
      </c>
      <c r="D216" s="436" t="str">
        <f>VLOOKUP(C216,param!$A$18:$B$220,2,FALSE)</f>
        <v>LOB1 - Referrals Volume</v>
      </c>
      <c r="E216" s="437">
        <f>COUNTIF(LOB1FocusAreas_DecR1,adj!$B216)*K216</f>
        <v>0</v>
      </c>
      <c r="F216" s="437">
        <f>COUNTIF(LOB1FocusAreas_DecR2,adj!$B216)*L216</f>
        <v>0</v>
      </c>
      <c r="G216" s="156"/>
      <c r="J216" s="154">
        <v>0</v>
      </c>
      <c r="K216" s="429">
        <f t="shared" si="3"/>
        <v>0.03</v>
      </c>
      <c r="L216" s="429">
        <f t="shared" si="3"/>
        <v>0.03</v>
      </c>
      <c r="M216" s="8" t="s">
        <v>2926</v>
      </c>
    </row>
    <row r="217" spans="1:14">
      <c r="A217" s="461"/>
      <c r="B217" s="426">
        <v>4</v>
      </c>
      <c r="C217" s="431" t="s">
        <v>3158</v>
      </c>
      <c r="D217" s="436" t="str">
        <f>VLOOKUP(C217,param!$A$18:$B$220,2,FALSE)</f>
        <v>LOB1 - Referrals Satisfaction</v>
      </c>
      <c r="E217" s="437">
        <f>COUNTIF(LOB1FocusAreas_DecR1,adj!$B217)*K217</f>
        <v>0</v>
      </c>
      <c r="F217" s="437">
        <f>COUNTIF(LOB1FocusAreas_DecR2,adj!$B217)*L217</f>
        <v>0</v>
      </c>
      <c r="G217" s="156"/>
      <c r="H217" s="153"/>
      <c r="I217" s="153"/>
      <c r="J217" s="154">
        <v>0</v>
      </c>
      <c r="K217" s="429">
        <f t="shared" si="3"/>
        <v>0.02</v>
      </c>
      <c r="L217" s="429">
        <f t="shared" si="3"/>
        <v>0.02</v>
      </c>
      <c r="M217" s="8" t="s">
        <v>2927</v>
      </c>
    </row>
    <row r="218" spans="1:14">
      <c r="A218" s="461"/>
      <c r="B218" s="426">
        <v>4</v>
      </c>
      <c r="C218" s="431" t="s">
        <v>3162</v>
      </c>
      <c r="D218" s="436" t="str">
        <f>VLOOKUP(C218,param!$A$18:$B$220,2,FALSE)</f>
        <v>LOB1 - Employee Engagment</v>
      </c>
      <c r="E218" s="437">
        <f>COUNTIF(LOB1FocusAreas_DecR1,adj!$B218)*K218</f>
        <v>0</v>
      </c>
      <c r="F218" s="437">
        <f>COUNTIF(LOB1FocusAreas_DecR2,adj!$B218)*L218</f>
        <v>0</v>
      </c>
      <c r="G218" s="156"/>
      <c r="H218" s="153"/>
      <c r="I218" s="153"/>
      <c r="J218" s="154">
        <v>0</v>
      </c>
      <c r="K218" s="429">
        <f t="shared" si="3"/>
        <v>0.01</v>
      </c>
      <c r="L218" s="429">
        <f t="shared" si="3"/>
        <v>0.01</v>
      </c>
      <c r="M218" s="8" t="s">
        <v>4357</v>
      </c>
    </row>
    <row r="219" spans="1:14">
      <c r="A219" s="461"/>
      <c r="B219" s="426">
        <v>4</v>
      </c>
      <c r="C219" s="431" t="s">
        <v>3168</v>
      </c>
      <c r="D219" s="436" t="str">
        <f>VLOOKUP(C219,param!$A$18:$B$220,2,FALSE)</f>
        <v>LOB1 - Clinician Admin Time</v>
      </c>
      <c r="E219" s="437">
        <f>COUNTIF(LOB1FocusAreas_DecR1,adj!$B219)*K219</f>
        <v>0</v>
      </c>
      <c r="F219" s="437">
        <f>COUNTIF(LOB1FocusAreas_DecR2,adj!$B219)*L219</f>
        <v>0</v>
      </c>
      <c r="G219" s="156"/>
      <c r="H219" s="153"/>
      <c r="I219" s="153"/>
      <c r="J219" s="154">
        <v>0</v>
      </c>
      <c r="K219" s="429">
        <f t="shared" si="3"/>
        <v>0.05</v>
      </c>
      <c r="L219" s="429">
        <f t="shared" si="3"/>
        <v>0.05</v>
      </c>
      <c r="M219" s="8" t="s">
        <v>2930</v>
      </c>
      <c r="N219" s="167" t="s">
        <v>4356</v>
      </c>
    </row>
    <row r="220" spans="1:14">
      <c r="A220" s="461"/>
      <c r="B220" s="426">
        <v>4</v>
      </c>
      <c r="C220" s="431" t="s">
        <v>3168</v>
      </c>
      <c r="D220" s="436" t="str">
        <f>VLOOKUP(C220,param!$A$18:$B$220,2,FALSE)</f>
        <v>LOB1 - Clinician Admin Time</v>
      </c>
      <c r="E220" s="437">
        <f>COUNTIF(LOB1FocusAreas_DecR1,adj!$B220)*K220</f>
        <v>0</v>
      </c>
      <c r="F220" s="437">
        <f>COUNTIF(LOB1FocusAreas_DecR2,adj!$B220)*L220</f>
        <v>0</v>
      </c>
      <c r="G220" s="156"/>
      <c r="H220" s="153"/>
      <c r="I220" s="153"/>
      <c r="J220" s="154">
        <v>0</v>
      </c>
      <c r="K220" s="429">
        <f t="shared" si="3"/>
        <v>0.05</v>
      </c>
      <c r="L220" s="429">
        <f t="shared" si="3"/>
        <v>0.05</v>
      </c>
      <c r="M220" s="8" t="s">
        <v>2930</v>
      </c>
      <c r="N220" s="167" t="s">
        <v>4356</v>
      </c>
    </row>
    <row r="221" spans="1:14">
      <c r="A221" s="461"/>
      <c r="B221" s="426">
        <v>4</v>
      </c>
      <c r="C221" s="431" t="s">
        <v>3170</v>
      </c>
      <c r="D221" s="436" t="str">
        <f>VLOOKUP(C221,param!$A$18:$B$220,2,FALSE)</f>
        <v>LOB1 - Clinician Meetings</v>
      </c>
      <c r="E221" s="437">
        <f>COUNTIF(LOB1FocusAreas_DecR1,adj!$B221)*K221</f>
        <v>0</v>
      </c>
      <c r="F221" s="437">
        <f>COUNTIF(LOB1FocusAreas_DecR2,adj!$B221)*L221</f>
        <v>0</v>
      </c>
      <c r="G221" s="156"/>
      <c r="H221" s="153"/>
      <c r="I221" s="153"/>
      <c r="J221" s="154">
        <v>0</v>
      </c>
      <c r="K221" s="429">
        <f>-1*VLOOKUP($M221,$O$189:$P$193,2,FALSE)</f>
        <v>-0.03</v>
      </c>
      <c r="L221" s="429">
        <f>-1*VLOOKUP($M221,$O$189:$P$193,2,FALSE)</f>
        <v>-0.03</v>
      </c>
      <c r="M221" s="8" t="s">
        <v>2926</v>
      </c>
    </row>
    <row r="222" spans="1:14">
      <c r="A222" s="461"/>
      <c r="C222" s="157"/>
      <c r="D222" s="438"/>
      <c r="E222" s="433"/>
      <c r="F222" s="433"/>
    </row>
    <row r="223" spans="1:14" ht="10.5">
      <c r="A223" s="461"/>
      <c r="B223" s="426">
        <v>5</v>
      </c>
      <c r="C223" s="427" t="s">
        <v>2933</v>
      </c>
      <c r="D223" s="436"/>
      <c r="E223" s="435"/>
      <c r="F223" s="435"/>
      <c r="G223" s="149"/>
    </row>
    <row r="224" spans="1:14">
      <c r="A224" s="461"/>
      <c r="B224" s="426">
        <v>5</v>
      </c>
      <c r="C224" s="431" t="s">
        <v>3154</v>
      </c>
      <c r="D224" s="436" t="str">
        <f>VLOOKUP(C224,param!$A$18:$B$220,2,FALSE)</f>
        <v>LOB1 - Referrals Time</v>
      </c>
      <c r="E224" s="437">
        <f>COUNTIF(LOB1FocusAreas_DecR1,adj!$B224)*K224</f>
        <v>0</v>
      </c>
      <c r="F224" s="437">
        <f>COUNTIF(LOB1FocusAreas_DecR2,adj!$B224)*L224</f>
        <v>0</v>
      </c>
      <c r="G224" s="156"/>
      <c r="H224" s="153"/>
      <c r="I224" s="153"/>
      <c r="J224" s="154">
        <v>0</v>
      </c>
      <c r="K224" s="429">
        <f t="shared" ref="K224:L226" si="4">VLOOKUP($M224,$O$189:$P$193,2,FALSE)</f>
        <v>0.03</v>
      </c>
      <c r="L224" s="429">
        <f t="shared" si="4"/>
        <v>0.03</v>
      </c>
      <c r="M224" s="8" t="s">
        <v>2926</v>
      </c>
    </row>
    <row r="225" spans="1:13">
      <c r="A225" s="461"/>
      <c r="B225" s="426">
        <v>5</v>
      </c>
      <c r="C225" s="431" t="s">
        <v>3156</v>
      </c>
      <c r="D225" s="436" t="str">
        <f>VLOOKUP(C225,param!$A$18:$B$220,2,FALSE)</f>
        <v>LOB1 - Referrals Volume</v>
      </c>
      <c r="E225" s="437">
        <f>COUNTIF(LOB1FocusAreas_DecR1,adj!$B225)*K225</f>
        <v>0</v>
      </c>
      <c r="F225" s="437">
        <f>COUNTIF(LOB1FocusAreas_DecR2,adj!$B225)*L225</f>
        <v>0</v>
      </c>
      <c r="G225" s="156"/>
      <c r="J225" s="154">
        <v>0</v>
      </c>
      <c r="K225" s="429">
        <f t="shared" si="4"/>
        <v>0.02</v>
      </c>
      <c r="L225" s="429">
        <f t="shared" si="4"/>
        <v>0.02</v>
      </c>
      <c r="M225" s="8" t="s">
        <v>2927</v>
      </c>
    </row>
    <row r="226" spans="1:13">
      <c r="A226" s="461"/>
      <c r="B226" s="426">
        <v>5</v>
      </c>
      <c r="C226" s="431" t="s">
        <v>3158</v>
      </c>
      <c r="D226" s="436" t="str">
        <f>VLOOKUP(C226,param!$A$18:$B$220,2,FALSE)</f>
        <v>LOB1 - Referrals Satisfaction</v>
      </c>
      <c r="E226" s="437">
        <f>COUNTIF(LOB1FocusAreas_DecR1,adj!$B226)*K226</f>
        <v>0</v>
      </c>
      <c r="F226" s="437">
        <f>COUNTIF(LOB1FocusAreas_DecR2,adj!$B226)*L226</f>
        <v>0</v>
      </c>
      <c r="G226" s="156"/>
      <c r="H226" s="153"/>
      <c r="I226" s="153"/>
      <c r="J226" s="154">
        <v>0</v>
      </c>
      <c r="K226" s="429">
        <f t="shared" si="4"/>
        <v>0.01</v>
      </c>
      <c r="L226" s="429">
        <f t="shared" si="4"/>
        <v>0.01</v>
      </c>
      <c r="M226" s="8" t="s">
        <v>2929</v>
      </c>
    </row>
    <row r="227" spans="1:13">
      <c r="A227" s="461"/>
      <c r="C227" s="157"/>
      <c r="D227" s="438"/>
      <c r="E227" s="433"/>
      <c r="F227" s="433"/>
    </row>
    <row r="228" spans="1:13" ht="10.5">
      <c r="A228" s="461"/>
      <c r="B228" s="426">
        <v>6</v>
      </c>
      <c r="C228" s="427" t="s">
        <v>2934</v>
      </c>
      <c r="D228" s="436"/>
      <c r="E228" s="435"/>
      <c r="F228" s="435"/>
      <c r="G228" s="149"/>
    </row>
    <row r="229" spans="1:13">
      <c r="A229" s="461"/>
      <c r="B229" s="426">
        <v>6</v>
      </c>
      <c r="C229" s="431" t="s">
        <v>3154</v>
      </c>
      <c r="D229" s="436" t="str">
        <f>VLOOKUP(C229,param!$A$18:$B$220,2,FALSE)</f>
        <v>LOB1 - Referrals Time</v>
      </c>
      <c r="E229" s="437">
        <f>COUNTIF(LOB1FocusAreas_DecR1,adj!$B229)*K229</f>
        <v>0</v>
      </c>
      <c r="F229" s="437">
        <f>COUNTIF(LOB1FocusAreas_DecR2,adj!$B229)*L229</f>
        <v>0</v>
      </c>
      <c r="G229" s="156"/>
      <c r="H229" s="153"/>
      <c r="I229" s="153"/>
      <c r="J229" s="154">
        <v>0</v>
      </c>
      <c r="K229" s="429">
        <f t="shared" ref="K229:L231" si="5">VLOOKUP($M229,$O$189:$P$193,2,FALSE)</f>
        <v>0.03</v>
      </c>
      <c r="L229" s="429">
        <f t="shared" si="5"/>
        <v>0.03</v>
      </c>
      <c r="M229" s="8" t="s">
        <v>2926</v>
      </c>
    </row>
    <row r="230" spans="1:13">
      <c r="A230" s="461"/>
      <c r="B230" s="426">
        <v>6</v>
      </c>
      <c r="C230" s="431" t="s">
        <v>3156</v>
      </c>
      <c r="D230" s="436" t="str">
        <f>VLOOKUP(C230,param!$A$18:$B$220,2,FALSE)</f>
        <v>LOB1 - Referrals Volume</v>
      </c>
      <c r="E230" s="437">
        <f>COUNTIF(LOB1FocusAreas_DecR1,adj!$B230)*K230</f>
        <v>0</v>
      </c>
      <c r="F230" s="437">
        <f>COUNTIF(LOB1FocusAreas_DecR2,adj!$B230)*L230</f>
        <v>0</v>
      </c>
      <c r="G230" s="156"/>
      <c r="J230" s="154">
        <v>0</v>
      </c>
      <c r="K230" s="429">
        <f t="shared" si="5"/>
        <v>0.03</v>
      </c>
      <c r="L230" s="429">
        <f t="shared" si="5"/>
        <v>0.03</v>
      </c>
      <c r="M230" s="8" t="s">
        <v>2926</v>
      </c>
    </row>
    <row r="231" spans="1:13">
      <c r="A231" s="461"/>
      <c r="B231" s="426">
        <v>6</v>
      </c>
      <c r="C231" s="431" t="s">
        <v>3158</v>
      </c>
      <c r="D231" s="436" t="str">
        <f>VLOOKUP(C231,param!$A$18:$B$220,2,FALSE)</f>
        <v>LOB1 - Referrals Satisfaction</v>
      </c>
      <c r="E231" s="437">
        <f>COUNTIF(LOB1FocusAreas_DecR1,adj!$B231)*K231</f>
        <v>0</v>
      </c>
      <c r="F231" s="437">
        <f>COUNTIF(LOB1FocusAreas_DecR2,adj!$B231)*L231</f>
        <v>0</v>
      </c>
      <c r="G231" s="156"/>
      <c r="H231" s="153"/>
      <c r="I231" s="153"/>
      <c r="J231" s="154">
        <v>0</v>
      </c>
      <c r="K231" s="429">
        <f t="shared" si="5"/>
        <v>0.03</v>
      </c>
      <c r="L231" s="429">
        <f t="shared" si="5"/>
        <v>0.03</v>
      </c>
      <c r="M231" s="8" t="s">
        <v>2926</v>
      </c>
    </row>
    <row r="232" spans="1:13">
      <c r="A232" s="461"/>
      <c r="C232" s="157"/>
      <c r="D232" s="438"/>
      <c r="E232" s="433"/>
      <c r="F232" s="433"/>
    </row>
    <row r="233" spans="1:13" ht="10.5">
      <c r="A233" s="461"/>
      <c r="B233" s="426">
        <v>7</v>
      </c>
      <c r="C233" s="427" t="s">
        <v>3991</v>
      </c>
      <c r="D233" s="436"/>
      <c r="E233" s="435"/>
      <c r="F233" s="435"/>
      <c r="G233" s="149"/>
    </row>
    <row r="234" spans="1:13">
      <c r="A234" s="461"/>
      <c r="B234" s="426">
        <v>7</v>
      </c>
      <c r="C234" s="431" t="s">
        <v>3146</v>
      </c>
      <c r="D234" s="436" t="str">
        <f>VLOOKUP(C234,param!$A$18:$B$220,2,FALSE)</f>
        <v>LOB1 - Recruitment Time</v>
      </c>
      <c r="E234" s="437">
        <f>COUNTIF(LOB1FocusAreas_DecR1,adj!$B234)*K234</f>
        <v>0</v>
      </c>
      <c r="F234" s="437">
        <f>COUNTIF(LOB1FocusAreas_DecR2,adj!$B234)*L234</f>
        <v>0</v>
      </c>
      <c r="G234" s="156"/>
      <c r="H234" s="153"/>
      <c r="I234" s="153"/>
      <c r="J234" s="154">
        <v>0</v>
      </c>
      <c r="K234" s="429">
        <f t="shared" ref="K234:L234" si="6">VLOOKUP($M234,$O$189:$P$193,2,FALSE)</f>
        <v>0.03</v>
      </c>
      <c r="L234" s="429">
        <f t="shared" si="6"/>
        <v>0.03</v>
      </c>
      <c r="M234" s="8" t="s">
        <v>2926</v>
      </c>
    </row>
    <row r="235" spans="1:13">
      <c r="A235" s="461"/>
      <c r="B235" s="426">
        <v>7</v>
      </c>
      <c r="C235" s="431" t="s">
        <v>4161</v>
      </c>
      <c r="D235" s="436" t="str">
        <f>VLOOKUP(C235,param!$A$18:$B$220,2,FALSE)</f>
        <v>LOB1-Clinician Recruitment</v>
      </c>
      <c r="E235" s="437">
        <f>COUNTIF(LOB1FocusAreas_DecR1,adj!$B235)*K235</f>
        <v>0</v>
      </c>
      <c r="F235" s="437">
        <f>COUNTIF(LOB1FocusAreas_DecR2,adj!$B235)*L235</f>
        <v>0</v>
      </c>
      <c r="G235" s="156"/>
      <c r="J235" s="154">
        <v>0</v>
      </c>
      <c r="K235" s="429">
        <v>0.25</v>
      </c>
      <c r="L235" s="429">
        <v>0.25</v>
      </c>
      <c r="M235" s="8"/>
    </row>
    <row r="236" spans="1:13">
      <c r="A236" s="461"/>
      <c r="C236" s="157"/>
      <c r="D236" s="438"/>
      <c r="E236" s="433"/>
      <c r="F236" s="433"/>
    </row>
    <row r="237" spans="1:13" ht="10.5">
      <c r="A237" s="461"/>
      <c r="B237" s="426">
        <v>8</v>
      </c>
      <c r="C237" s="427" t="s">
        <v>702</v>
      </c>
      <c r="D237" s="436"/>
      <c r="E237" s="435"/>
      <c r="F237" s="435"/>
      <c r="G237" s="149"/>
    </row>
    <row r="238" spans="1:13">
      <c r="A238" s="461"/>
      <c r="B238" s="426">
        <v>8</v>
      </c>
      <c r="C238" s="431" t="s">
        <v>3148</v>
      </c>
      <c r="D238" s="436" t="str">
        <f>VLOOKUP(C238,param!$A$18:$B$220,2,FALSE)</f>
        <v>LOB1 - People Development Time</v>
      </c>
      <c r="E238" s="437">
        <f>COUNTIF(LOB1FocusAreas_DecR1,adj!$B238)*K238</f>
        <v>0</v>
      </c>
      <c r="F238" s="437">
        <f>COUNTIF(LOB1FocusAreas_DecR2,adj!$B238)*L238</f>
        <v>0</v>
      </c>
      <c r="G238" s="156"/>
      <c r="H238" s="153"/>
      <c r="I238" s="153"/>
      <c r="J238" s="154">
        <v>0</v>
      </c>
      <c r="K238" s="429">
        <f t="shared" ref="K238:L244" si="7">VLOOKUP($M238,$O$189:$P$193,2,FALSE)</f>
        <v>0.03</v>
      </c>
      <c r="L238" s="429">
        <f t="shared" si="7"/>
        <v>0.03</v>
      </c>
      <c r="M238" s="8" t="s">
        <v>2926</v>
      </c>
    </row>
    <row r="239" spans="1:13">
      <c r="A239" s="461"/>
      <c r="B239" s="426">
        <v>8</v>
      </c>
      <c r="C239" s="431" t="s">
        <v>3150</v>
      </c>
      <c r="D239" s="436" t="str">
        <f>VLOOKUP(C239,param!$A$18:$B$220,2,FALSE)</f>
        <v>LOB1 - Operations Time</v>
      </c>
      <c r="E239" s="437">
        <f>COUNTIF(LOB1FocusAreas_DecR1,adj!$B239)*K239</f>
        <v>0</v>
      </c>
      <c r="F239" s="437">
        <f>COUNTIF(LOB1FocusAreas_DecR2,adj!$B239)*L239</f>
        <v>0</v>
      </c>
      <c r="G239" s="156"/>
      <c r="J239" s="154">
        <v>0</v>
      </c>
      <c r="K239" s="429">
        <f t="shared" si="7"/>
        <v>0.02</v>
      </c>
      <c r="L239" s="429">
        <f t="shared" si="7"/>
        <v>0.02</v>
      </c>
      <c r="M239" s="8" t="s">
        <v>2927</v>
      </c>
    </row>
    <row r="240" spans="1:13">
      <c r="A240" s="461"/>
      <c r="B240" s="426">
        <v>8</v>
      </c>
      <c r="C240" s="431" t="s">
        <v>3162</v>
      </c>
      <c r="D240" s="436" t="str">
        <f>VLOOKUP(C240,param!$A$18:$B$220,2,FALSE)</f>
        <v>LOB1 - Employee Engagment</v>
      </c>
      <c r="E240" s="437">
        <f>COUNTIF(LOB1FocusAreas_DecR1,adj!$B240)*K240</f>
        <v>0</v>
      </c>
      <c r="F240" s="437">
        <f>COUNTIF(LOB1FocusAreas_DecR2,adj!$B240)*L240</f>
        <v>0</v>
      </c>
      <c r="G240" s="156"/>
      <c r="H240" s="153"/>
      <c r="I240" s="153"/>
      <c r="J240" s="154">
        <v>0</v>
      </c>
      <c r="K240" s="429">
        <f t="shared" si="7"/>
        <v>0.03</v>
      </c>
      <c r="L240" s="429">
        <f t="shared" si="7"/>
        <v>0.03</v>
      </c>
      <c r="M240" s="8" t="s">
        <v>2926</v>
      </c>
    </row>
    <row r="241" spans="1:13">
      <c r="A241" s="461"/>
      <c r="B241" s="426">
        <v>8</v>
      </c>
      <c r="C241" s="431" t="s">
        <v>3166</v>
      </c>
      <c r="D241" s="436" t="str">
        <f>VLOOKUP(C241,param!$A$18:$B$220,2,FALSE)</f>
        <v>LOB1 - Employee Productivity</v>
      </c>
      <c r="E241" s="437">
        <f>COUNTIF(LOB1FocusAreas_DecR1,adj!$B241)*K241</f>
        <v>0</v>
      </c>
      <c r="F241" s="437">
        <f>COUNTIF(LOB1FocusAreas_DecR2,adj!$B241)*L241</f>
        <v>0</v>
      </c>
      <c r="G241" s="156"/>
      <c r="J241" s="154">
        <v>0</v>
      </c>
      <c r="K241" s="429">
        <f t="shared" si="7"/>
        <v>0.03</v>
      </c>
      <c r="L241" s="429">
        <f t="shared" si="7"/>
        <v>0.03</v>
      </c>
      <c r="M241" s="8" t="s">
        <v>2926</v>
      </c>
    </row>
    <row r="242" spans="1:13">
      <c r="A242" s="461"/>
      <c r="B242" s="426">
        <v>8</v>
      </c>
      <c r="C242" s="431" t="s">
        <v>3168</v>
      </c>
      <c r="D242" s="436" t="str">
        <f>VLOOKUP(C242,param!$A$18:$B$220,2,FALSE)</f>
        <v>LOB1 - Clinician Admin Time</v>
      </c>
      <c r="E242" s="437">
        <f>COUNTIF(LOB1FocusAreas_DecR1,adj!$B242)*K242</f>
        <v>0</v>
      </c>
      <c r="F242" s="437">
        <f>COUNTIF(LOB1FocusAreas_DecR2,adj!$B242)*L242</f>
        <v>0</v>
      </c>
      <c r="G242" s="156"/>
      <c r="H242" s="153"/>
      <c r="I242" s="153"/>
      <c r="J242" s="154">
        <v>0</v>
      </c>
      <c r="K242" s="429">
        <f>-1*VLOOKUP($M242,$O$189:$P$193,2,FALSE)</f>
        <v>-0.03</v>
      </c>
      <c r="L242" s="429">
        <f>-1*VLOOKUP($M242,$O$189:$P$193,2,FALSE)</f>
        <v>-0.03</v>
      </c>
      <c r="M242" s="8" t="s">
        <v>2926</v>
      </c>
    </row>
    <row r="243" spans="1:13">
      <c r="A243" s="461"/>
      <c r="B243" s="426">
        <v>8</v>
      </c>
      <c r="C243" s="431" t="s">
        <v>3170</v>
      </c>
      <c r="D243" s="436" t="str">
        <f>VLOOKUP(C243,param!$A$18:$B$220,2,FALSE)</f>
        <v>LOB1 - Clinician Meetings</v>
      </c>
      <c r="E243" s="437">
        <f>COUNTIF(LOB1FocusAreas_DecR1,adj!$B243)*K243</f>
        <v>0</v>
      </c>
      <c r="F243" s="437">
        <f>COUNTIF(LOB1FocusAreas_DecR2,adj!$B243)*L243</f>
        <v>0</v>
      </c>
      <c r="G243" s="156"/>
      <c r="H243" s="153"/>
      <c r="I243" s="153"/>
      <c r="J243" s="154">
        <v>0</v>
      </c>
      <c r="K243" s="429">
        <f t="shared" si="7"/>
        <v>0.02</v>
      </c>
      <c r="L243" s="429">
        <f t="shared" si="7"/>
        <v>0.02</v>
      </c>
      <c r="M243" s="8" t="s">
        <v>2927</v>
      </c>
    </row>
    <row r="244" spans="1:13">
      <c r="A244" s="461"/>
      <c r="B244" s="426">
        <v>8</v>
      </c>
      <c r="C244" s="431" t="s">
        <v>3172</v>
      </c>
      <c r="D244" s="436" t="str">
        <f>VLOOKUP(C244,param!$A$18:$B$220,2,FALSE)</f>
        <v>LOB1 - Clinical Quality</v>
      </c>
      <c r="E244" s="437">
        <f>COUNTIF(LOB1FocusAreas_DecR1,adj!$B244)*K244</f>
        <v>0</v>
      </c>
      <c r="F244" s="437">
        <f>COUNTIF(LOB1FocusAreas_DecR2,adj!$B244)*L244</f>
        <v>0</v>
      </c>
      <c r="G244" s="156"/>
      <c r="H244" s="153"/>
      <c r="I244" s="153"/>
      <c r="J244" s="154">
        <v>0</v>
      </c>
      <c r="K244" s="429">
        <f t="shared" si="7"/>
        <v>0.02</v>
      </c>
      <c r="L244" s="429">
        <f t="shared" si="7"/>
        <v>0.02</v>
      </c>
      <c r="M244" s="8" t="s">
        <v>2927</v>
      </c>
    </row>
    <row r="245" spans="1:13">
      <c r="A245" s="461"/>
      <c r="C245" s="157"/>
      <c r="D245" s="438"/>
      <c r="E245" s="433"/>
      <c r="F245" s="433"/>
    </row>
    <row r="246" spans="1:13" ht="10.5">
      <c r="A246" s="461"/>
      <c r="B246" s="426">
        <v>9</v>
      </c>
      <c r="C246" s="427" t="s">
        <v>4585</v>
      </c>
      <c r="D246" s="436"/>
      <c r="E246" s="435"/>
      <c r="F246" s="435"/>
      <c r="G246" s="149"/>
    </row>
    <row r="247" spans="1:13">
      <c r="A247" s="461"/>
      <c r="B247" s="426">
        <v>9</v>
      </c>
      <c r="C247" s="431" t="s">
        <v>3148</v>
      </c>
      <c r="D247" s="436" t="str">
        <f>VLOOKUP(C247,param!$A$18:$B$220,2,FALSE)</f>
        <v>LOB1 - People Development Time</v>
      </c>
      <c r="E247" s="588">
        <f>COUNTIF(LOB1FocusAreas_DecR1,adj!$B247)*K247*(1+COUNTIF(LOB1FocusAreas_DecR1,adj!$B238)*0.5)</f>
        <v>0</v>
      </c>
      <c r="F247" s="588">
        <f>COUNTIF(LOB1FocusAreas_DecR2,adj!$B247)*L247*(1+COUNTIF(LOB1FocusAreas_DecR2,adj!$B238)*0.5)</f>
        <v>0</v>
      </c>
      <c r="G247" s="156"/>
      <c r="H247" s="153"/>
      <c r="I247" s="153"/>
      <c r="J247" s="154">
        <v>0</v>
      </c>
      <c r="K247" s="429">
        <f t="shared" ref="K247:L253" si="8">VLOOKUP($M247,$O$189:$P$193,2,FALSE)</f>
        <v>0.04</v>
      </c>
      <c r="L247" s="429">
        <f t="shared" si="8"/>
        <v>0.04</v>
      </c>
      <c r="M247" s="8" t="s">
        <v>2925</v>
      </c>
    </row>
    <row r="248" spans="1:13">
      <c r="A248" s="461"/>
      <c r="B248" s="426">
        <v>9</v>
      </c>
      <c r="C248" s="431" t="s">
        <v>3150</v>
      </c>
      <c r="D248" s="436" t="str">
        <f>VLOOKUP(C248,param!$A$18:$B$220,2,FALSE)</f>
        <v>LOB1 - Operations Time</v>
      </c>
      <c r="E248" s="588">
        <f>COUNTIF(LOB1FocusAreas_DecR1,adj!$B248)*K248*(1+COUNTIF(LOB1FocusAreas_DecR1,adj!$B239)*0.5)</f>
        <v>0</v>
      </c>
      <c r="F248" s="588">
        <f>COUNTIF(LOB1FocusAreas_DecR2,adj!$B248)*L248*(1+COUNTIF(LOB1FocusAreas_DecR2,adj!$B239)*0.5)</f>
        <v>0</v>
      </c>
      <c r="G248" s="156"/>
      <c r="J248" s="154">
        <v>0</v>
      </c>
      <c r="K248" s="429">
        <f t="shared" si="8"/>
        <v>0.02</v>
      </c>
      <c r="L248" s="429">
        <f t="shared" si="8"/>
        <v>0.02</v>
      </c>
      <c r="M248" s="8" t="s">
        <v>2927</v>
      </c>
    </row>
    <row r="249" spans="1:13">
      <c r="A249" s="461"/>
      <c r="B249" s="426">
        <v>9</v>
      </c>
      <c r="C249" s="431" t="s">
        <v>3162</v>
      </c>
      <c r="D249" s="436" t="str">
        <f>VLOOKUP(C249,param!$A$18:$B$220,2,FALSE)</f>
        <v>LOB1 - Employee Engagment</v>
      </c>
      <c r="E249" s="588">
        <f>COUNTIF(LOB1FocusAreas_DecR1,adj!$B249)*K249*(1+COUNTIF(LOB1FocusAreas_DecR1,adj!$B240)*0.5)</f>
        <v>0</v>
      </c>
      <c r="F249" s="588">
        <f>COUNTIF(LOB1FocusAreas_DecR2,adj!$B249)*L249*(1+COUNTIF(LOB1FocusAreas_DecR2,adj!$B240)*0.5)</f>
        <v>0</v>
      </c>
      <c r="G249" s="156"/>
      <c r="H249" s="153"/>
      <c r="I249" s="153"/>
      <c r="J249" s="154">
        <v>0</v>
      </c>
      <c r="K249" s="429">
        <f t="shared" si="8"/>
        <v>0.02</v>
      </c>
      <c r="L249" s="429">
        <f t="shared" si="8"/>
        <v>0.02</v>
      </c>
      <c r="M249" s="8" t="s">
        <v>2927</v>
      </c>
    </row>
    <row r="250" spans="1:13">
      <c r="A250" s="461"/>
      <c r="B250" s="426">
        <v>9</v>
      </c>
      <c r="C250" s="431" t="s">
        <v>3166</v>
      </c>
      <c r="D250" s="436" t="str">
        <f>VLOOKUP(C250,param!$A$18:$B$220,2,FALSE)</f>
        <v>LOB1 - Employee Productivity</v>
      </c>
      <c r="E250" s="588">
        <f>COUNTIF(LOB1FocusAreas_DecR1,adj!$B250)*K250*(1+COUNTIF(LOB1FocusAreas_DecR1,adj!$B241)*0.5)</f>
        <v>0</v>
      </c>
      <c r="F250" s="588">
        <f>COUNTIF(LOB1FocusAreas_DecR2,adj!$B250)*L250*(1+COUNTIF(LOB1FocusAreas_DecR2,adj!$B241)*0.5)</f>
        <v>0</v>
      </c>
      <c r="G250" s="156"/>
      <c r="J250" s="154">
        <v>0</v>
      </c>
      <c r="K250" s="429">
        <f t="shared" si="8"/>
        <v>0.03</v>
      </c>
      <c r="L250" s="429">
        <f t="shared" si="8"/>
        <v>0.03</v>
      </c>
      <c r="M250" s="8" t="s">
        <v>2926</v>
      </c>
    </row>
    <row r="251" spans="1:13">
      <c r="A251" s="461"/>
      <c r="B251" s="426">
        <v>9</v>
      </c>
      <c r="C251" s="431" t="s">
        <v>3168</v>
      </c>
      <c r="D251" s="436" t="str">
        <f>VLOOKUP(C251,param!$A$18:$B$220,2,FALSE)</f>
        <v>LOB1 - Clinician Admin Time</v>
      </c>
      <c r="E251" s="588">
        <f>COUNTIF(LOB1FocusAreas_DecR1,adj!$B251)*K251*(1+COUNTIF(LOB1FocusAreas_DecR1,adj!$B242)*0.5)</f>
        <v>0</v>
      </c>
      <c r="F251" s="588">
        <f>COUNTIF(LOB1FocusAreas_DecR2,adj!$B251)*L251*(1+COUNTIF(LOB1FocusAreas_DecR2,adj!$B242)*0.5)</f>
        <v>0</v>
      </c>
      <c r="G251" s="156"/>
      <c r="H251" s="153"/>
      <c r="I251" s="153"/>
      <c r="J251" s="154">
        <v>0</v>
      </c>
      <c r="K251" s="429">
        <f>-1*VLOOKUP($M251,$O$189:$P$193,2,FALSE)</f>
        <v>-0.03</v>
      </c>
      <c r="L251" s="429">
        <f>-1*VLOOKUP($M251,$O$189:$P$193,2,FALSE)</f>
        <v>-0.03</v>
      </c>
      <c r="M251" s="8" t="s">
        <v>2926</v>
      </c>
    </row>
    <row r="252" spans="1:13">
      <c r="A252" s="461"/>
      <c r="B252" s="426">
        <v>9</v>
      </c>
      <c r="C252" s="431" t="s">
        <v>3170</v>
      </c>
      <c r="D252" s="436" t="str">
        <f>VLOOKUP(C252,param!$A$18:$B$220,2,FALSE)</f>
        <v>LOB1 - Clinician Meetings</v>
      </c>
      <c r="E252" s="588">
        <f>COUNTIF(LOB1FocusAreas_DecR1,adj!$B252)*K252*(1+COUNTIF(LOB1FocusAreas_DecR1,adj!$B243)*0.5)</f>
        <v>0</v>
      </c>
      <c r="F252" s="588">
        <f>COUNTIF(LOB1FocusAreas_DecR2,adj!$B252)*L252*(1+COUNTIF(LOB1FocusAreas_DecR2,adj!$B243)*0.5)</f>
        <v>0</v>
      </c>
      <c r="G252" s="156"/>
      <c r="H252" s="153"/>
      <c r="I252" s="153"/>
      <c r="J252" s="154">
        <v>0</v>
      </c>
      <c r="K252" s="429">
        <f t="shared" si="8"/>
        <v>0.03</v>
      </c>
      <c r="L252" s="429">
        <f t="shared" si="8"/>
        <v>0.03</v>
      </c>
      <c r="M252" s="8" t="s">
        <v>2926</v>
      </c>
    </row>
    <row r="253" spans="1:13">
      <c r="A253" s="461"/>
      <c r="B253" s="426">
        <v>9</v>
      </c>
      <c r="C253" s="431" t="s">
        <v>3172</v>
      </c>
      <c r="D253" s="436" t="str">
        <f>VLOOKUP(C253,param!$A$18:$B$220,2,FALSE)</f>
        <v>LOB1 - Clinical Quality</v>
      </c>
      <c r="E253" s="588">
        <f>COUNTIF(LOB1FocusAreas_DecR1,adj!$B253)*K253*(1+COUNTIF(LOB1FocusAreas_DecR1,adj!$B244)*0.5)</f>
        <v>0</v>
      </c>
      <c r="F253" s="588">
        <f>COUNTIF(LOB1FocusAreas_DecR2,adj!$B253)*L253*(1+COUNTIF(LOB1FocusAreas_DecR2,adj!$B244)*0.5)</f>
        <v>0</v>
      </c>
      <c r="G253" s="156"/>
      <c r="H253" s="153"/>
      <c r="I253" s="153"/>
      <c r="J253" s="154">
        <v>0</v>
      </c>
      <c r="K253" s="429">
        <f t="shared" si="8"/>
        <v>0.03</v>
      </c>
      <c r="L253" s="429">
        <f t="shared" si="8"/>
        <v>0.03</v>
      </c>
      <c r="M253" s="8" t="s">
        <v>2926</v>
      </c>
    </row>
    <row r="254" spans="1:13">
      <c r="A254" s="461"/>
      <c r="C254" s="157"/>
      <c r="D254" s="438"/>
      <c r="E254" s="433"/>
      <c r="F254" s="433"/>
    </row>
    <row r="255" spans="1:13" ht="10.5">
      <c r="A255" s="461"/>
      <c r="B255" s="426">
        <v>10</v>
      </c>
      <c r="C255" s="427" t="s">
        <v>703</v>
      </c>
      <c r="D255" s="436"/>
      <c r="E255" s="435"/>
      <c r="F255" s="435"/>
      <c r="G255" s="149"/>
    </row>
    <row r="256" spans="1:13">
      <c r="A256" s="461"/>
      <c r="B256" s="426">
        <v>10</v>
      </c>
      <c r="C256" s="431" t="s">
        <v>3150</v>
      </c>
      <c r="D256" s="436" t="str">
        <f>VLOOKUP(C256,param!$A$18:$B$220,2,FALSE)</f>
        <v>LOB1 - Operations Time</v>
      </c>
      <c r="E256" s="437">
        <f>COUNTIF(LOB1FocusAreas_DecR1,adj!$B256)*K256</f>
        <v>0</v>
      </c>
      <c r="F256" s="437">
        <f>COUNTIF(LOB1FocusAreas_DecR2,adj!$B256)*L256</f>
        <v>0</v>
      </c>
      <c r="G256" s="156"/>
      <c r="J256" s="154">
        <v>0</v>
      </c>
      <c r="K256" s="429">
        <f t="shared" ref="K256:L261" si="9">VLOOKUP($M256,$O$189:$P$193,2,FALSE)</f>
        <v>0.03</v>
      </c>
      <c r="L256" s="429">
        <f t="shared" si="9"/>
        <v>0.03</v>
      </c>
      <c r="M256" s="8" t="s">
        <v>2926</v>
      </c>
    </row>
    <row r="257" spans="1:13">
      <c r="A257" s="461"/>
      <c r="B257" s="426">
        <v>10</v>
      </c>
      <c r="C257" s="431" t="s">
        <v>3162</v>
      </c>
      <c r="D257" s="436" t="str">
        <f>VLOOKUP(C257,param!$A$18:$B$220,2,FALSE)</f>
        <v>LOB1 - Employee Engagment</v>
      </c>
      <c r="E257" s="437">
        <f>COUNTIF(LOB1FocusAreas_DecR1,adj!$B257)*K257</f>
        <v>0</v>
      </c>
      <c r="F257" s="437">
        <f>COUNTIF(LOB1FocusAreas_DecR2,adj!$B257)*L257</f>
        <v>0</v>
      </c>
      <c r="G257" s="156"/>
      <c r="H257" s="153"/>
      <c r="I257" s="153"/>
      <c r="J257" s="154">
        <v>0</v>
      </c>
      <c r="K257" s="429">
        <f t="shared" si="9"/>
        <v>0.02</v>
      </c>
      <c r="L257" s="429">
        <f t="shared" si="9"/>
        <v>0.02</v>
      </c>
      <c r="M257" s="8" t="s">
        <v>2927</v>
      </c>
    </row>
    <row r="258" spans="1:13">
      <c r="A258" s="461"/>
      <c r="B258" s="426">
        <v>10</v>
      </c>
      <c r="C258" s="431" t="s">
        <v>3166</v>
      </c>
      <c r="D258" s="436" t="str">
        <f>VLOOKUP(C258,param!$A$18:$B$220,2,FALSE)</f>
        <v>LOB1 - Employee Productivity</v>
      </c>
      <c r="E258" s="437">
        <f>COUNTIF(LOB1FocusAreas_DecR1,adj!$B258)*K258</f>
        <v>0</v>
      </c>
      <c r="F258" s="437">
        <f>COUNTIF(LOB1FocusAreas_DecR2,adj!$B258)*L258</f>
        <v>0</v>
      </c>
      <c r="G258" s="156"/>
      <c r="J258" s="154">
        <v>0</v>
      </c>
      <c r="K258" s="429">
        <f t="shared" si="9"/>
        <v>0.04</v>
      </c>
      <c r="L258" s="429">
        <f t="shared" si="9"/>
        <v>0.04</v>
      </c>
      <c r="M258" s="8" t="s">
        <v>2925</v>
      </c>
    </row>
    <row r="259" spans="1:13">
      <c r="A259" s="461"/>
      <c r="B259" s="426">
        <v>10</v>
      </c>
      <c r="C259" s="431" t="s">
        <v>3173</v>
      </c>
      <c r="D259" s="436" t="str">
        <f>VLOOKUP(C259,param!$A$18:$B$220,2,FALSE)</f>
        <v>LOB1 - RN Meetings</v>
      </c>
      <c r="E259" s="437">
        <f>COUNTIF(LOB1FocusAreas_DecR1,adj!$B259)*K259</f>
        <v>0</v>
      </c>
      <c r="F259" s="437">
        <f>COUNTIF(LOB1FocusAreas_DecR2,adj!$B259)*L259</f>
        <v>0</v>
      </c>
      <c r="G259" s="156"/>
      <c r="H259" s="153"/>
      <c r="I259" s="153"/>
      <c r="J259" s="154">
        <v>0</v>
      </c>
      <c r="K259" s="429">
        <f t="shared" si="9"/>
        <v>0.02</v>
      </c>
      <c r="L259" s="429">
        <f t="shared" si="9"/>
        <v>0.02</v>
      </c>
      <c r="M259" s="8" t="s">
        <v>2927</v>
      </c>
    </row>
    <row r="260" spans="1:13">
      <c r="A260" s="461"/>
      <c r="B260" s="426">
        <v>10</v>
      </c>
      <c r="C260" s="431" t="s">
        <v>3174</v>
      </c>
      <c r="D260" s="436" t="str">
        <f>VLOOKUP(C260,param!$A$18:$B$220,2,FALSE)</f>
        <v>LOB1 - LPN Meetings</v>
      </c>
      <c r="E260" s="437">
        <f>COUNTIF(LOB1FocusAreas_DecR1,adj!$B260)*K260</f>
        <v>0</v>
      </c>
      <c r="F260" s="437">
        <f>COUNTIF(LOB1FocusAreas_DecR2,adj!$B260)*L260</f>
        <v>0</v>
      </c>
      <c r="G260" s="156"/>
      <c r="H260" s="153"/>
      <c r="I260" s="153"/>
      <c r="J260" s="154">
        <v>0</v>
      </c>
      <c r="K260" s="429">
        <f t="shared" si="9"/>
        <v>0.04</v>
      </c>
      <c r="L260" s="429">
        <f t="shared" si="9"/>
        <v>0.04</v>
      </c>
      <c r="M260" s="8" t="s">
        <v>2925</v>
      </c>
    </row>
    <row r="261" spans="1:13">
      <c r="A261" s="461"/>
      <c r="B261" s="426">
        <v>10</v>
      </c>
      <c r="C261" s="431" t="s">
        <v>3172</v>
      </c>
      <c r="D261" s="436" t="str">
        <f>VLOOKUP(C261,param!$A$18:$B$220,2,FALSE)</f>
        <v>LOB1 - Clinical Quality</v>
      </c>
      <c r="E261" s="437">
        <f>COUNTIF(LOB1FocusAreas_DecR1,adj!$B261)*K261</f>
        <v>0</v>
      </c>
      <c r="F261" s="437">
        <f>COUNTIF(LOB1FocusAreas_DecR2,adj!$B261)*L261</f>
        <v>0</v>
      </c>
      <c r="G261" s="156"/>
      <c r="H261" s="153"/>
      <c r="I261" s="153"/>
      <c r="J261" s="154">
        <v>0</v>
      </c>
      <c r="K261" s="429">
        <f t="shared" si="9"/>
        <v>0.03</v>
      </c>
      <c r="L261" s="429">
        <f t="shared" si="9"/>
        <v>0.03</v>
      </c>
      <c r="M261" s="8" t="s">
        <v>2926</v>
      </c>
    </row>
    <row r="262" spans="1:13">
      <c r="A262" s="461"/>
      <c r="B262" s="426">
        <v>10</v>
      </c>
      <c r="C262" s="431" t="s">
        <v>4361</v>
      </c>
      <c r="D262" s="436" t="str">
        <f>VLOOKUP(C262,param!$A$18:$B$220,2,FALSE)</f>
        <v>LOB1 - Skilled Nursing Per Episode</v>
      </c>
      <c r="E262" s="437">
        <f>COUNTIF(LOB1FocusAreas_DecR1,adj!$B262)*K262</f>
        <v>0</v>
      </c>
      <c r="F262" s="437">
        <f>COUNTIF(LOB1FocusAreas_DecR2,adj!$B262)*L262</f>
        <v>0</v>
      </c>
      <c r="G262" s="156"/>
      <c r="H262" s="153"/>
      <c r="I262" s="153"/>
      <c r="J262" s="154">
        <v>0</v>
      </c>
      <c r="K262" s="429">
        <f t="shared" ref="K262:L264" si="10">-1*VLOOKUP($M262,$O$189:$P$193,2,FALSE)</f>
        <v>-0.02</v>
      </c>
      <c r="L262" s="429">
        <f t="shared" si="10"/>
        <v>-0.02</v>
      </c>
      <c r="M262" s="8" t="s">
        <v>2927</v>
      </c>
    </row>
    <row r="263" spans="1:13">
      <c r="A263" s="461"/>
      <c r="B263" s="426">
        <v>10</v>
      </c>
      <c r="C263" s="431" t="s">
        <v>4362</v>
      </c>
      <c r="D263" s="436" t="str">
        <f>VLOOKUP(C263,param!$A$18:$B$220,2,FALSE)</f>
        <v>LOB1 - Occupational Therapy Per Episode</v>
      </c>
      <c r="E263" s="437">
        <f>COUNTIF(LOB1FocusAreas_DecR1,adj!$B263)*K263</f>
        <v>0</v>
      </c>
      <c r="F263" s="437">
        <f>COUNTIF(LOB1FocusAreas_DecR2,adj!$B263)*L263</f>
        <v>0</v>
      </c>
      <c r="G263" s="156"/>
      <c r="H263" s="153"/>
      <c r="I263" s="153"/>
      <c r="J263" s="154">
        <v>0</v>
      </c>
      <c r="K263" s="429">
        <f t="shared" si="10"/>
        <v>-0.02</v>
      </c>
      <c r="L263" s="429">
        <f t="shared" si="10"/>
        <v>-0.02</v>
      </c>
      <c r="M263" s="8" t="s">
        <v>2927</v>
      </c>
    </row>
    <row r="264" spans="1:13">
      <c r="A264" s="461"/>
      <c r="B264" s="426">
        <v>10</v>
      </c>
      <c r="C264" s="431" t="s">
        <v>4363</v>
      </c>
      <c r="D264" s="436" t="str">
        <f>VLOOKUP(C264,param!$A$18:$B$220,2,FALSE)</f>
        <v>LOB1 - Physical Therapy Per Episode</v>
      </c>
      <c r="E264" s="437">
        <f>COUNTIF(LOB1FocusAreas_DecR1,adj!$B264)*K264</f>
        <v>0</v>
      </c>
      <c r="F264" s="437">
        <f>COUNTIF(LOB1FocusAreas_DecR2,adj!$B264)*L264</f>
        <v>0</v>
      </c>
      <c r="G264" s="156"/>
      <c r="H264" s="153"/>
      <c r="I264" s="153"/>
      <c r="J264" s="154">
        <v>0</v>
      </c>
      <c r="K264" s="429">
        <f t="shared" si="10"/>
        <v>-0.02</v>
      </c>
      <c r="L264" s="429">
        <f t="shared" si="10"/>
        <v>-0.02</v>
      </c>
      <c r="M264" s="8" t="s">
        <v>2927</v>
      </c>
    </row>
    <row r="265" spans="1:13">
      <c r="A265" s="461"/>
      <c r="C265" s="157"/>
      <c r="D265" s="438"/>
      <c r="E265" s="433"/>
      <c r="F265" s="433"/>
    </row>
    <row r="266" spans="1:13" ht="10.5">
      <c r="A266" s="461"/>
      <c r="B266" s="426">
        <v>11</v>
      </c>
      <c r="C266" s="427" t="s">
        <v>2935</v>
      </c>
      <c r="D266" s="436"/>
      <c r="E266" s="435"/>
      <c r="F266" s="435"/>
      <c r="G266" s="149"/>
    </row>
    <row r="267" spans="1:13">
      <c r="A267" s="461"/>
      <c r="B267" s="426">
        <v>11</v>
      </c>
      <c r="C267" s="431" t="s">
        <v>3150</v>
      </c>
      <c r="D267" s="436" t="str">
        <f>VLOOKUP(C267,param!$A$18:$B$220,2,FALSE)</f>
        <v>LOB1 - Operations Time</v>
      </c>
      <c r="E267" s="437">
        <f>COUNTIF(LOB1FocusAreas_DecR1,adj!$B267)*K267</f>
        <v>0</v>
      </c>
      <c r="F267" s="437">
        <f>COUNTIF(LOB1FocusAreas_DecR2,adj!$B267)*L267</f>
        <v>0</v>
      </c>
      <c r="G267" s="156"/>
      <c r="J267" s="154">
        <v>0</v>
      </c>
      <c r="K267" s="429">
        <f t="shared" ref="K267:L274" si="11">VLOOKUP($M267,$O$189:$P$193,2,FALSE)</f>
        <v>0.03</v>
      </c>
      <c r="L267" s="429">
        <f t="shared" si="11"/>
        <v>0.03</v>
      </c>
      <c r="M267" s="8" t="s">
        <v>2926</v>
      </c>
    </row>
    <row r="268" spans="1:13">
      <c r="A268" s="461"/>
      <c r="B268" s="426">
        <v>11</v>
      </c>
      <c r="C268" s="431" t="s">
        <v>3162</v>
      </c>
      <c r="D268" s="436" t="str">
        <f>VLOOKUP(C268,param!$A$18:$B$220,2,FALSE)</f>
        <v>LOB1 - Employee Engagment</v>
      </c>
      <c r="E268" s="437">
        <f>COUNTIF(LOB1FocusAreas_DecR1,adj!$B268)*K268</f>
        <v>0</v>
      </c>
      <c r="F268" s="437">
        <f>COUNTIF(LOB1FocusAreas_DecR2,adj!$B268)*L268</f>
        <v>0</v>
      </c>
      <c r="G268" s="156"/>
      <c r="H268" s="153"/>
      <c r="I268" s="153"/>
      <c r="J268" s="154">
        <v>0</v>
      </c>
      <c r="K268" s="429">
        <f t="shared" si="11"/>
        <v>0.02</v>
      </c>
      <c r="L268" s="429">
        <f t="shared" si="11"/>
        <v>0.02</v>
      </c>
      <c r="M268" s="8" t="s">
        <v>2927</v>
      </c>
    </row>
    <row r="269" spans="1:13">
      <c r="A269" s="461"/>
      <c r="B269" s="426">
        <v>11</v>
      </c>
      <c r="C269" s="431" t="s">
        <v>3166</v>
      </c>
      <c r="D269" s="436" t="str">
        <f>VLOOKUP(C269,param!$A$18:$B$220,2,FALSE)</f>
        <v>LOB1 - Employee Productivity</v>
      </c>
      <c r="E269" s="437">
        <f>COUNTIF(LOB1FocusAreas_DecR1,adj!$B269)*K269</f>
        <v>0</v>
      </c>
      <c r="F269" s="437">
        <f>COUNTIF(LOB1FocusAreas_DecR2,adj!$B269)*L269</f>
        <v>0</v>
      </c>
      <c r="G269" s="156"/>
      <c r="J269" s="154">
        <v>0</v>
      </c>
      <c r="K269" s="429">
        <f t="shared" si="11"/>
        <v>0.03</v>
      </c>
      <c r="L269" s="429">
        <f t="shared" si="11"/>
        <v>0.03</v>
      </c>
      <c r="M269" s="8" t="s">
        <v>2926</v>
      </c>
    </row>
    <row r="270" spans="1:13">
      <c r="A270" s="461"/>
      <c r="B270" s="426">
        <v>11</v>
      </c>
      <c r="C270" s="431" t="s">
        <v>3177</v>
      </c>
      <c r="D270" s="436" t="str">
        <f>VLOOKUP(C270,param!$A$18:$B$220,2,FALSE)</f>
        <v>LOB1 - RN Missed</v>
      </c>
      <c r="E270" s="437">
        <f>COUNTIF(LOB1FocusAreas_DecR1,adj!$B270)*K270</f>
        <v>0</v>
      </c>
      <c r="F270" s="437">
        <f>COUNTIF(LOB1FocusAreas_DecR2,adj!$B270)*L270</f>
        <v>0</v>
      </c>
      <c r="G270" s="156"/>
      <c r="H270" s="153"/>
      <c r="I270" s="153"/>
      <c r="J270" s="154">
        <v>0</v>
      </c>
      <c r="K270" s="429">
        <f t="shared" ref="K270:L273" si="12">-1*VLOOKUP($M270,$O$189:$P$193,2,FALSE)</f>
        <v>-0.03</v>
      </c>
      <c r="L270" s="429">
        <f t="shared" si="12"/>
        <v>-0.03</v>
      </c>
      <c r="M270" s="8" t="s">
        <v>2926</v>
      </c>
    </row>
    <row r="271" spans="1:13">
      <c r="A271" s="461"/>
      <c r="B271" s="426">
        <v>11</v>
      </c>
      <c r="C271" s="431" t="s">
        <v>3178</v>
      </c>
      <c r="D271" s="436" t="str">
        <f>VLOOKUP(C271,param!$A$18:$B$220,2,FALSE)</f>
        <v>LOB1 - LPN Missed</v>
      </c>
      <c r="E271" s="437">
        <f>COUNTIF(LOB1FocusAreas_DecR1,adj!$B271)*K271</f>
        <v>0</v>
      </c>
      <c r="F271" s="437">
        <f>COUNTIF(LOB1FocusAreas_DecR2,adj!$B271)*L271</f>
        <v>0</v>
      </c>
      <c r="G271" s="156"/>
      <c r="H271" s="153"/>
      <c r="I271" s="153"/>
      <c r="J271" s="154">
        <v>0</v>
      </c>
      <c r="K271" s="429">
        <f t="shared" si="12"/>
        <v>-0.03</v>
      </c>
      <c r="L271" s="429">
        <f t="shared" si="12"/>
        <v>-0.03</v>
      </c>
      <c r="M271" s="8" t="s">
        <v>2926</v>
      </c>
    </row>
    <row r="272" spans="1:13">
      <c r="A272" s="461"/>
      <c r="B272" s="426">
        <v>11</v>
      </c>
      <c r="C272" s="431" t="s">
        <v>3179</v>
      </c>
      <c r="D272" s="436" t="str">
        <f>VLOOKUP(C272,param!$A$18:$B$220,2,FALSE)</f>
        <v>LOB1 - PT Missed</v>
      </c>
      <c r="E272" s="437">
        <f>COUNTIF(LOB1FocusAreas_DecR1,adj!$B272)*K272</f>
        <v>0</v>
      </c>
      <c r="F272" s="437">
        <f>COUNTIF(LOB1FocusAreas_DecR2,adj!$B272)*L272</f>
        <v>0</v>
      </c>
      <c r="G272" s="156"/>
      <c r="H272" s="153"/>
      <c r="I272" s="153"/>
      <c r="J272" s="154">
        <v>0</v>
      </c>
      <c r="K272" s="429">
        <f t="shared" si="12"/>
        <v>-0.03</v>
      </c>
      <c r="L272" s="429">
        <f t="shared" si="12"/>
        <v>-0.03</v>
      </c>
      <c r="M272" s="8" t="s">
        <v>2926</v>
      </c>
    </row>
    <row r="273" spans="1:13">
      <c r="A273" s="461"/>
      <c r="B273" s="426">
        <v>11</v>
      </c>
      <c r="C273" s="431" t="s">
        <v>3180</v>
      </c>
      <c r="D273" s="436" t="str">
        <f>VLOOKUP(C273,param!$A$18:$B$220,2,FALSE)</f>
        <v>LOB1 - OT Missed</v>
      </c>
      <c r="E273" s="437">
        <f>COUNTIF(LOB1FocusAreas_DecR1,adj!$B273)*K273</f>
        <v>0</v>
      </c>
      <c r="F273" s="437">
        <f>COUNTIF(LOB1FocusAreas_DecR2,adj!$B273)*L273</f>
        <v>0</v>
      </c>
      <c r="G273" s="156"/>
      <c r="H273" s="153"/>
      <c r="I273" s="153"/>
      <c r="J273" s="154">
        <v>0</v>
      </c>
      <c r="K273" s="429">
        <f t="shared" si="12"/>
        <v>-0.03</v>
      </c>
      <c r="L273" s="429">
        <f t="shared" si="12"/>
        <v>-0.03</v>
      </c>
      <c r="M273" s="8" t="s">
        <v>2926</v>
      </c>
    </row>
    <row r="274" spans="1:13">
      <c r="A274" s="461"/>
      <c r="B274" s="426">
        <v>11</v>
      </c>
      <c r="C274" s="431" t="s">
        <v>3172</v>
      </c>
      <c r="D274" s="436" t="str">
        <f>VLOOKUP(C274,param!$A$18:$B$220,2,FALSE)</f>
        <v>LOB1 - Clinical Quality</v>
      </c>
      <c r="E274" s="437">
        <f>COUNTIF(LOB1FocusAreas_DecR1,adj!$B274)*K274</f>
        <v>0</v>
      </c>
      <c r="F274" s="437">
        <f>COUNTIF(LOB1FocusAreas_DecR2,adj!$B274)*L274</f>
        <v>0</v>
      </c>
      <c r="G274" s="156"/>
      <c r="H274" s="153"/>
      <c r="I274" s="153"/>
      <c r="J274" s="154">
        <v>0</v>
      </c>
      <c r="K274" s="429">
        <f t="shared" si="11"/>
        <v>0.03</v>
      </c>
      <c r="L274" s="429">
        <f t="shared" si="11"/>
        <v>0.03</v>
      </c>
      <c r="M274" s="8" t="s">
        <v>2926</v>
      </c>
    </row>
    <row r="275" spans="1:13">
      <c r="A275" s="461"/>
      <c r="C275" s="157"/>
      <c r="D275" s="438"/>
      <c r="E275" s="433"/>
      <c r="F275" s="433"/>
    </row>
    <row r="276" spans="1:13" ht="10.5">
      <c r="A276" s="461"/>
      <c r="B276" s="426">
        <v>12</v>
      </c>
      <c r="C276" s="427" t="s">
        <v>2936</v>
      </c>
      <c r="D276" s="436"/>
      <c r="E276" s="435"/>
      <c r="F276" s="435"/>
      <c r="G276" s="149"/>
    </row>
    <row r="277" spans="1:13">
      <c r="A277" s="461"/>
      <c r="B277" s="426">
        <v>12</v>
      </c>
      <c r="C277" s="431" t="s">
        <v>3148</v>
      </c>
      <c r="D277" s="436" t="str">
        <f>VLOOKUP(C277,param!$A$18:$B$220,2,FALSE)</f>
        <v>LOB1 - People Development Time</v>
      </c>
      <c r="E277" s="437">
        <f>COUNTIF(LOB1FocusAreas_DecR1,adj!$B277)*K277</f>
        <v>0</v>
      </c>
      <c r="F277" s="437">
        <f>COUNTIF(LOB1FocusAreas_DecR2,adj!$B277)*L277</f>
        <v>0</v>
      </c>
      <c r="G277" s="156"/>
      <c r="J277" s="154">
        <v>0</v>
      </c>
      <c r="K277" s="429">
        <f t="shared" ref="K277:L278" si="13">VLOOKUP($M277,$O$189:$P$193,2,FALSE)</f>
        <v>0.01</v>
      </c>
      <c r="L277" s="429">
        <f t="shared" si="13"/>
        <v>0.01</v>
      </c>
      <c r="M277" s="8" t="s">
        <v>2929</v>
      </c>
    </row>
    <row r="278" spans="1:13">
      <c r="A278" s="461"/>
      <c r="B278" s="426">
        <v>12</v>
      </c>
      <c r="C278" s="431" t="s">
        <v>3162</v>
      </c>
      <c r="D278" s="436" t="str">
        <f>VLOOKUP(C278,param!$A$18:$B$220,2,FALSE)</f>
        <v>LOB1 - Employee Engagment</v>
      </c>
      <c r="E278" s="437">
        <f>COUNTIF(LOB1FocusAreas_DecR1,adj!$B278)*K278</f>
        <v>0</v>
      </c>
      <c r="F278" s="437">
        <f>COUNTIF(LOB1FocusAreas_DecR2,adj!$B278)*L278</f>
        <v>0</v>
      </c>
      <c r="G278" s="156"/>
      <c r="H278" s="153"/>
      <c r="I278" s="153"/>
      <c r="J278" s="154">
        <v>0</v>
      </c>
      <c r="K278" s="429">
        <f t="shared" si="13"/>
        <v>0.02</v>
      </c>
      <c r="L278" s="429">
        <f t="shared" si="13"/>
        <v>0.02</v>
      </c>
      <c r="M278" s="8" t="s">
        <v>2927</v>
      </c>
    </row>
    <row r="279" spans="1:13">
      <c r="A279" s="461"/>
      <c r="C279" s="157"/>
      <c r="D279" s="438"/>
      <c r="E279" s="433"/>
      <c r="F279" s="433"/>
    </row>
    <row r="280" spans="1:13" ht="10.5">
      <c r="A280" s="461"/>
      <c r="B280" s="426">
        <v>13</v>
      </c>
      <c r="C280" s="427" t="s">
        <v>2937</v>
      </c>
      <c r="D280" s="436"/>
      <c r="E280" s="435"/>
      <c r="F280" s="435"/>
      <c r="G280" s="149"/>
    </row>
    <row r="281" spans="1:13">
      <c r="A281" s="461"/>
      <c r="B281" s="426">
        <v>13</v>
      </c>
      <c r="C281" s="431" t="s">
        <v>3148</v>
      </c>
      <c r="D281" s="436" t="str">
        <f>VLOOKUP(C281,param!$A$18:$B$220,2,FALSE)</f>
        <v>LOB1 - People Development Time</v>
      </c>
      <c r="E281" s="437">
        <f>COUNTIF(LOB1FocusAreas_DecR1,adj!$B281)*K281</f>
        <v>0</v>
      </c>
      <c r="F281" s="437">
        <f>COUNTIF(LOB1FocusAreas_DecR2,adj!$B281)*L281</f>
        <v>0</v>
      </c>
      <c r="G281" s="156"/>
      <c r="J281" s="154">
        <v>0</v>
      </c>
      <c r="K281" s="429">
        <f t="shared" ref="K281:L282" si="14">VLOOKUP($M281,$O$189:$P$193,2,FALSE)</f>
        <v>0.02</v>
      </c>
      <c r="L281" s="429">
        <f t="shared" si="14"/>
        <v>0.02</v>
      </c>
      <c r="M281" s="8" t="s">
        <v>2927</v>
      </c>
    </row>
    <row r="282" spans="1:13">
      <c r="A282" s="461"/>
      <c r="B282" s="426">
        <v>13</v>
      </c>
      <c r="C282" s="431" t="s">
        <v>3162</v>
      </c>
      <c r="D282" s="436" t="str">
        <f>VLOOKUP(C282,param!$A$18:$B$220,2,FALSE)</f>
        <v>LOB1 - Employee Engagment</v>
      </c>
      <c r="E282" s="437">
        <f>COUNTIF(LOB1FocusAreas_DecR1,adj!$B282)*K282</f>
        <v>0</v>
      </c>
      <c r="F282" s="437">
        <f>COUNTIF(LOB1FocusAreas_DecR2,adj!$B282)*L282</f>
        <v>0</v>
      </c>
      <c r="G282" s="156"/>
      <c r="H282" s="153"/>
      <c r="I282" s="153"/>
      <c r="J282" s="154">
        <v>0</v>
      </c>
      <c r="K282" s="429">
        <f t="shared" si="14"/>
        <v>0.02</v>
      </c>
      <c r="L282" s="429">
        <f t="shared" si="14"/>
        <v>0.02</v>
      </c>
      <c r="M282" s="8" t="s">
        <v>2927</v>
      </c>
    </row>
    <row r="283" spans="1:13">
      <c r="A283" s="461"/>
      <c r="C283" s="157"/>
      <c r="D283" s="438"/>
      <c r="E283" s="433"/>
      <c r="F283" s="433"/>
    </row>
    <row r="284" spans="1:13" ht="10.5">
      <c r="A284" s="461"/>
      <c r="B284" s="426">
        <v>14</v>
      </c>
      <c r="C284" s="427" t="s">
        <v>2938</v>
      </c>
      <c r="D284" s="436"/>
      <c r="E284" s="435"/>
      <c r="F284" s="435"/>
      <c r="G284" s="149"/>
    </row>
    <row r="285" spans="1:13">
      <c r="A285" s="461"/>
      <c r="B285" s="426">
        <v>14</v>
      </c>
      <c r="C285" s="431" t="s">
        <v>3148</v>
      </c>
      <c r="D285" s="436" t="str">
        <f>VLOOKUP(C285,param!$A$18:$B$220,2,FALSE)</f>
        <v>LOB1 - People Development Time</v>
      </c>
      <c r="E285" s="437">
        <f>COUNTIF(LOB1FocusAreas_DecR1,adj!$B285)*K285</f>
        <v>0</v>
      </c>
      <c r="F285" s="437">
        <f>COUNTIF(LOB1FocusAreas_DecR2,adj!$B285)*L285</f>
        <v>0</v>
      </c>
      <c r="G285" s="156"/>
      <c r="J285" s="154">
        <v>0</v>
      </c>
      <c r="K285" s="429">
        <f t="shared" ref="K285:L286" si="15">VLOOKUP($M285,$O$189:$P$193,2,FALSE)</f>
        <v>0.01</v>
      </c>
      <c r="L285" s="429">
        <f t="shared" si="15"/>
        <v>0.01</v>
      </c>
      <c r="M285" s="8" t="s">
        <v>2929</v>
      </c>
    </row>
    <row r="286" spans="1:13">
      <c r="A286" s="461"/>
      <c r="B286" s="426">
        <v>14</v>
      </c>
      <c r="C286" s="431" t="s">
        <v>3162</v>
      </c>
      <c r="D286" s="436" t="str">
        <f>VLOOKUP(C286,param!$A$18:$B$220,2,FALSE)</f>
        <v>LOB1 - Employee Engagment</v>
      </c>
      <c r="E286" s="437">
        <f>COUNTIF(LOB1FocusAreas_DecR1,adj!$B286)*K286</f>
        <v>0</v>
      </c>
      <c r="F286" s="437">
        <f>COUNTIF(LOB1FocusAreas_DecR2,adj!$B286)*L286</f>
        <v>0</v>
      </c>
      <c r="G286" s="156"/>
      <c r="H286" s="153"/>
      <c r="I286" s="153"/>
      <c r="J286" s="154">
        <v>0</v>
      </c>
      <c r="K286" s="429">
        <f t="shared" si="15"/>
        <v>0.02</v>
      </c>
      <c r="L286" s="429">
        <f t="shared" si="15"/>
        <v>0.02</v>
      </c>
      <c r="M286" s="8" t="s">
        <v>2927</v>
      </c>
    </row>
    <row r="287" spans="1:13">
      <c r="A287" s="461"/>
      <c r="C287" s="157"/>
      <c r="D287" s="438"/>
      <c r="E287" s="433"/>
      <c r="F287" s="433"/>
    </row>
    <row r="288" spans="1:13" ht="10.5">
      <c r="A288" s="461"/>
      <c r="B288" s="426">
        <v>15</v>
      </c>
      <c r="C288" s="427" t="s">
        <v>2939</v>
      </c>
      <c r="D288" s="436"/>
      <c r="E288" s="435"/>
      <c r="F288" s="435"/>
      <c r="G288" s="149"/>
    </row>
    <row r="289" spans="1:13">
      <c r="A289" s="461"/>
      <c r="B289" s="426">
        <v>15</v>
      </c>
      <c r="C289" s="431" t="s">
        <v>3148</v>
      </c>
      <c r="D289" s="436" t="str">
        <f>VLOOKUP(C289,param!$A$18:$B$220,2,FALSE)</f>
        <v>LOB1 - People Development Time</v>
      </c>
      <c r="E289" s="437">
        <f>COUNTIF(LOB1FocusAreas_DecR1,adj!$B289)*K289</f>
        <v>0</v>
      </c>
      <c r="F289" s="437">
        <f>COUNTIF(LOB1FocusAreas_DecR2,adj!$B289)*L289</f>
        <v>0</v>
      </c>
      <c r="G289" s="156"/>
      <c r="J289" s="154">
        <v>0</v>
      </c>
      <c r="K289" s="429">
        <f t="shared" ref="K289:L290" si="16">VLOOKUP($M289,$O$189:$P$193,2,FALSE)</f>
        <v>0.03</v>
      </c>
      <c r="L289" s="429">
        <f t="shared" si="16"/>
        <v>0.03</v>
      </c>
      <c r="M289" s="8" t="s">
        <v>2926</v>
      </c>
    </row>
    <row r="290" spans="1:13">
      <c r="A290" s="461"/>
      <c r="B290" s="426">
        <v>15</v>
      </c>
      <c r="C290" s="431" t="s">
        <v>3162</v>
      </c>
      <c r="D290" s="436" t="str">
        <f>VLOOKUP(C290,param!$A$18:$B$220,2,FALSE)</f>
        <v>LOB1 - Employee Engagment</v>
      </c>
      <c r="E290" s="437">
        <f>COUNTIF(LOB1FocusAreas_DecR1,adj!$B290)*K290</f>
        <v>0</v>
      </c>
      <c r="F290" s="437">
        <f>COUNTIF(LOB1FocusAreas_DecR2,adj!$B290)*L290</f>
        <v>0</v>
      </c>
      <c r="G290" s="156"/>
      <c r="H290" s="153"/>
      <c r="I290" s="153"/>
      <c r="J290" s="154">
        <v>0</v>
      </c>
      <c r="K290" s="429">
        <f t="shared" si="16"/>
        <v>0.03</v>
      </c>
      <c r="L290" s="429">
        <f t="shared" si="16"/>
        <v>0.03</v>
      </c>
      <c r="M290" s="8" t="s">
        <v>2926</v>
      </c>
    </row>
    <row r="291" spans="1:13">
      <c r="A291" s="461"/>
      <c r="C291" s="157"/>
      <c r="D291" s="438"/>
      <c r="E291" s="433"/>
      <c r="F291" s="433"/>
    </row>
    <row r="292" spans="1:13" ht="10.5">
      <c r="A292" s="461"/>
      <c r="B292" s="426">
        <v>16</v>
      </c>
      <c r="C292" s="427" t="s">
        <v>708</v>
      </c>
      <c r="D292" s="436"/>
      <c r="E292" s="435"/>
      <c r="F292" s="435"/>
      <c r="G292" s="149"/>
    </row>
    <row r="293" spans="1:13">
      <c r="A293" s="461"/>
      <c r="B293" s="426">
        <v>16</v>
      </c>
      <c r="C293" s="431" t="s">
        <v>3152</v>
      </c>
      <c r="D293" s="436" t="str">
        <f>VLOOKUP(C293,param!$A$18:$B$220,2,FALSE)</f>
        <v>LOB1 - Clinical Time</v>
      </c>
      <c r="E293" s="437">
        <f>COUNTIF(LOB1FocusAreas_DecR1,adj!$B293)*K293</f>
        <v>0</v>
      </c>
      <c r="F293" s="437">
        <f>COUNTIF(LOB1FocusAreas_DecR2,adj!$B293)*L293</f>
        <v>0</v>
      </c>
      <c r="G293" s="156"/>
      <c r="J293" s="154">
        <v>0</v>
      </c>
      <c r="K293" s="429">
        <f t="shared" ref="K293:L300" si="17">VLOOKUP($M293,$O$189:$P$193,2,FALSE)</f>
        <v>0.03</v>
      </c>
      <c r="L293" s="429">
        <f t="shared" si="17"/>
        <v>0.03</v>
      </c>
      <c r="M293" s="8" t="s">
        <v>2926</v>
      </c>
    </row>
    <row r="294" spans="1:13">
      <c r="A294" s="461"/>
      <c r="B294" s="426">
        <v>16</v>
      </c>
      <c r="C294" s="431" t="s">
        <v>3162</v>
      </c>
      <c r="D294" s="436" t="str">
        <f>VLOOKUP(C294,param!$A$18:$B$220,2,FALSE)</f>
        <v>LOB1 - Employee Engagment</v>
      </c>
      <c r="E294" s="437">
        <f>COUNTIF(LOB1FocusAreas_DecR1,adj!$B294)*K294</f>
        <v>0</v>
      </c>
      <c r="F294" s="437">
        <f>COUNTIF(LOB1FocusAreas_DecR2,adj!$B294)*L294</f>
        <v>0</v>
      </c>
      <c r="G294" s="156"/>
      <c r="H294" s="153"/>
      <c r="I294" s="153"/>
      <c r="J294" s="154">
        <v>0</v>
      </c>
      <c r="K294" s="429">
        <f t="shared" si="17"/>
        <v>0.02</v>
      </c>
      <c r="L294" s="429">
        <f t="shared" si="17"/>
        <v>0.02</v>
      </c>
      <c r="M294" s="8" t="s">
        <v>2927</v>
      </c>
    </row>
    <row r="295" spans="1:13">
      <c r="A295" s="461"/>
      <c r="B295" s="426">
        <v>16</v>
      </c>
      <c r="C295" s="431" t="s">
        <v>3166</v>
      </c>
      <c r="D295" s="436" t="str">
        <f>VLOOKUP(C295,param!$A$18:$B$220,2,FALSE)</f>
        <v>LOB1 - Employee Productivity</v>
      </c>
      <c r="E295" s="437">
        <f>COUNTIF(LOB1FocusAreas_DecR1,adj!$B295)*K295</f>
        <v>0</v>
      </c>
      <c r="F295" s="437">
        <f>COUNTIF(LOB1FocusAreas_DecR2,adj!$B295)*L295</f>
        <v>0</v>
      </c>
      <c r="G295" s="156"/>
      <c r="J295" s="154">
        <v>0</v>
      </c>
      <c r="K295" s="429">
        <f t="shared" si="17"/>
        <v>0.03</v>
      </c>
      <c r="L295" s="429">
        <f t="shared" si="17"/>
        <v>0.03</v>
      </c>
      <c r="M295" s="8" t="s">
        <v>2926</v>
      </c>
    </row>
    <row r="296" spans="1:13">
      <c r="A296" s="461"/>
      <c r="B296" s="426">
        <v>16</v>
      </c>
      <c r="C296" s="431" t="s">
        <v>3173</v>
      </c>
      <c r="D296" s="436" t="str">
        <f>VLOOKUP(C296,param!$A$18:$B$220,2,FALSE)</f>
        <v>LOB1 - RN Meetings</v>
      </c>
      <c r="E296" s="437">
        <f>COUNTIF(LOB1FocusAreas_DecR1,adj!$B296)*K296</f>
        <v>0</v>
      </c>
      <c r="F296" s="437">
        <f>COUNTIF(LOB1FocusAreas_DecR2,adj!$B296)*L296</f>
        <v>0</v>
      </c>
      <c r="G296" s="156"/>
      <c r="H296" s="153"/>
      <c r="I296" s="153"/>
      <c r="J296" s="154">
        <v>0</v>
      </c>
      <c r="K296" s="429">
        <f t="shared" si="17"/>
        <v>0.03</v>
      </c>
      <c r="L296" s="429">
        <f t="shared" si="17"/>
        <v>0.03</v>
      </c>
      <c r="M296" s="8" t="s">
        <v>2926</v>
      </c>
    </row>
    <row r="297" spans="1:13">
      <c r="A297" s="461"/>
      <c r="B297" s="426">
        <v>16</v>
      </c>
      <c r="C297" s="431" t="s">
        <v>3174</v>
      </c>
      <c r="D297" s="436" t="str">
        <f>VLOOKUP(C297,param!$A$18:$B$220,2,FALSE)</f>
        <v>LOB1 - LPN Meetings</v>
      </c>
      <c r="E297" s="437">
        <f>COUNTIF(LOB1FocusAreas_DecR1,adj!$B297)*K297</f>
        <v>0</v>
      </c>
      <c r="F297" s="437">
        <f>COUNTIF(LOB1FocusAreas_DecR2,adj!$B297)*L297</f>
        <v>0</v>
      </c>
      <c r="G297" s="156"/>
      <c r="H297" s="153"/>
      <c r="I297" s="153"/>
      <c r="J297" s="154">
        <v>0</v>
      </c>
      <c r="K297" s="429">
        <f t="shared" si="17"/>
        <v>0.03</v>
      </c>
      <c r="L297" s="429">
        <f t="shared" si="17"/>
        <v>0.03</v>
      </c>
      <c r="M297" s="8" t="s">
        <v>2926</v>
      </c>
    </row>
    <row r="298" spans="1:13">
      <c r="A298" s="461"/>
      <c r="B298" s="426">
        <v>16</v>
      </c>
      <c r="C298" s="431" t="s">
        <v>3175</v>
      </c>
      <c r="D298" s="436" t="str">
        <f>VLOOKUP(C298,param!$A$18:$B$220,2,FALSE)</f>
        <v>LOB1 - PT Meetings</v>
      </c>
      <c r="E298" s="437">
        <f>COUNTIF(LOB1FocusAreas_DecR1,adj!$B298)*K298</f>
        <v>0</v>
      </c>
      <c r="F298" s="437">
        <f>COUNTIF(LOB1FocusAreas_DecR2,adj!$B298)*L298</f>
        <v>0</v>
      </c>
      <c r="G298" s="156"/>
      <c r="H298" s="153"/>
      <c r="I298" s="153"/>
      <c r="J298" s="154">
        <v>0</v>
      </c>
      <c r="K298" s="429">
        <f t="shared" si="17"/>
        <v>0.03</v>
      </c>
      <c r="L298" s="429">
        <f t="shared" si="17"/>
        <v>0.03</v>
      </c>
      <c r="M298" s="8" t="s">
        <v>2926</v>
      </c>
    </row>
    <row r="299" spans="1:13">
      <c r="A299" s="461"/>
      <c r="B299" s="426">
        <v>16</v>
      </c>
      <c r="C299" s="431" t="s">
        <v>3176</v>
      </c>
      <c r="D299" s="436" t="str">
        <f>VLOOKUP(C299,param!$A$18:$B$220,2,FALSE)</f>
        <v>LOB1 - OT Meetings</v>
      </c>
      <c r="E299" s="437">
        <f>COUNTIF(LOB1FocusAreas_DecR1,adj!$B299)*K299</f>
        <v>0</v>
      </c>
      <c r="F299" s="437">
        <f>COUNTIF(LOB1FocusAreas_DecR2,adj!$B299)*L299</f>
        <v>0</v>
      </c>
      <c r="G299" s="156"/>
      <c r="H299" s="153"/>
      <c r="I299" s="153"/>
      <c r="J299" s="154">
        <v>0</v>
      </c>
      <c r="K299" s="429">
        <f t="shared" si="17"/>
        <v>0.03</v>
      </c>
      <c r="L299" s="429">
        <f t="shared" si="17"/>
        <v>0.03</v>
      </c>
      <c r="M299" s="8" t="s">
        <v>2926</v>
      </c>
    </row>
    <row r="300" spans="1:13">
      <c r="A300" s="461"/>
      <c r="B300" s="426">
        <v>16</v>
      </c>
      <c r="C300" s="431" t="s">
        <v>3172</v>
      </c>
      <c r="D300" s="436" t="str">
        <f>VLOOKUP(C300,param!$A$18:$B$220,2,FALSE)</f>
        <v>LOB1 - Clinical Quality</v>
      </c>
      <c r="E300" s="437">
        <f>COUNTIF(LOB1FocusAreas_DecR1,adj!$B300)*K300</f>
        <v>0</v>
      </c>
      <c r="F300" s="437">
        <f>COUNTIF(LOB1FocusAreas_DecR2,adj!$B300)*L300</f>
        <v>0</v>
      </c>
      <c r="G300" s="156"/>
      <c r="H300" s="153"/>
      <c r="I300" s="153"/>
      <c r="J300" s="154">
        <v>0</v>
      </c>
      <c r="K300" s="429">
        <f t="shared" si="17"/>
        <v>0.04</v>
      </c>
      <c r="L300" s="429">
        <f t="shared" si="17"/>
        <v>0.04</v>
      </c>
      <c r="M300" s="8" t="s">
        <v>2925</v>
      </c>
    </row>
    <row r="301" spans="1:13">
      <c r="A301" s="461"/>
      <c r="B301" s="426">
        <v>16</v>
      </c>
      <c r="C301" s="431" t="s">
        <v>4361</v>
      </c>
      <c r="D301" s="436" t="str">
        <f>VLOOKUP(C301,param!$A$18:$B$220,2,FALSE)</f>
        <v>LOB1 - Skilled Nursing Per Episode</v>
      </c>
      <c r="E301" s="437">
        <f>COUNTIF(LOB1FocusAreas_DecR1,adj!$B301)*K301</f>
        <v>0</v>
      </c>
      <c r="F301" s="437">
        <f>COUNTIF(LOB1FocusAreas_DecR2,adj!$B301)*L301</f>
        <v>0</v>
      </c>
      <c r="G301" s="156"/>
      <c r="H301" s="153"/>
      <c r="I301" s="153"/>
      <c r="J301" s="154">
        <v>0</v>
      </c>
      <c r="K301" s="429">
        <f t="shared" ref="K301:L303" si="18">-1*VLOOKUP($M301,$O$189:$P$193,2,FALSE)</f>
        <v>-0.02</v>
      </c>
      <c r="L301" s="429">
        <f t="shared" si="18"/>
        <v>-0.02</v>
      </c>
      <c r="M301" s="8" t="s">
        <v>2927</v>
      </c>
    </row>
    <row r="302" spans="1:13">
      <c r="A302" s="461"/>
      <c r="B302" s="426">
        <v>16</v>
      </c>
      <c r="C302" s="431" t="s">
        <v>4362</v>
      </c>
      <c r="D302" s="436" t="str">
        <f>VLOOKUP(C302,param!$A$18:$B$220,2,FALSE)</f>
        <v>LOB1 - Occupational Therapy Per Episode</v>
      </c>
      <c r="E302" s="437">
        <f>COUNTIF(LOB1FocusAreas_DecR1,adj!$B302)*K302</f>
        <v>0</v>
      </c>
      <c r="F302" s="437">
        <f>COUNTIF(LOB1FocusAreas_DecR2,adj!$B302)*L302</f>
        <v>0</v>
      </c>
      <c r="G302" s="156"/>
      <c r="H302" s="153"/>
      <c r="I302" s="153"/>
      <c r="J302" s="154">
        <v>0</v>
      </c>
      <c r="K302" s="429">
        <f t="shared" si="18"/>
        <v>-0.02</v>
      </c>
      <c r="L302" s="429">
        <f t="shared" si="18"/>
        <v>-0.02</v>
      </c>
      <c r="M302" s="8" t="s">
        <v>2927</v>
      </c>
    </row>
    <row r="303" spans="1:13">
      <c r="A303" s="461"/>
      <c r="B303" s="426">
        <v>16</v>
      </c>
      <c r="C303" s="431" t="s">
        <v>4363</v>
      </c>
      <c r="D303" s="436" t="str">
        <f>VLOOKUP(C303,param!$A$18:$B$220,2,FALSE)</f>
        <v>LOB1 - Physical Therapy Per Episode</v>
      </c>
      <c r="E303" s="437">
        <f>COUNTIF(LOB1FocusAreas_DecR1,adj!$B303)*K303</f>
        <v>0</v>
      </c>
      <c r="F303" s="437">
        <f>COUNTIF(LOB1FocusAreas_DecR2,adj!$B303)*L303</f>
        <v>0</v>
      </c>
      <c r="G303" s="156"/>
      <c r="H303" s="153"/>
      <c r="I303" s="153"/>
      <c r="J303" s="154">
        <v>0</v>
      </c>
      <c r="K303" s="429">
        <f t="shared" si="18"/>
        <v>-0.02</v>
      </c>
      <c r="L303" s="429">
        <f t="shared" si="18"/>
        <v>-0.02</v>
      </c>
      <c r="M303" s="8" t="s">
        <v>2927</v>
      </c>
    </row>
    <row r="304" spans="1:13">
      <c r="A304" s="461"/>
      <c r="C304" s="157"/>
      <c r="D304" s="438"/>
      <c r="E304" s="433"/>
      <c r="F304" s="433"/>
    </row>
    <row r="305" spans="1:13" ht="10.5">
      <c r="A305" s="461"/>
      <c r="B305" s="426">
        <v>17</v>
      </c>
      <c r="C305" s="427" t="s">
        <v>2940</v>
      </c>
      <c r="D305" s="436"/>
      <c r="E305" s="435"/>
      <c r="F305" s="435"/>
      <c r="G305" s="149"/>
    </row>
    <row r="306" spans="1:13">
      <c r="A306" s="461"/>
      <c r="B306" s="426">
        <v>17</v>
      </c>
      <c r="C306" s="431" t="s">
        <v>3152</v>
      </c>
      <c r="D306" s="436" t="str">
        <f>VLOOKUP(C306,param!$A$18:$B$220,2,FALSE)</f>
        <v>LOB1 - Clinical Time</v>
      </c>
      <c r="E306" s="437">
        <f>COUNTIF(LOB1FocusAreas_DecR1,adj!$B306)*K306</f>
        <v>0</v>
      </c>
      <c r="F306" s="437">
        <f>COUNTIF(LOB1FocusAreas_DecR2,adj!$B306)*L306</f>
        <v>0</v>
      </c>
      <c r="G306" s="156"/>
      <c r="J306" s="154">
        <v>0</v>
      </c>
      <c r="K306" s="429">
        <f t="shared" ref="K306:L316" si="19">VLOOKUP($M306,$O$189:$P$193,2,FALSE)</f>
        <v>0.04</v>
      </c>
      <c r="L306" s="429">
        <f t="shared" si="19"/>
        <v>0.04</v>
      </c>
      <c r="M306" s="8" t="s">
        <v>2925</v>
      </c>
    </row>
    <row r="307" spans="1:13">
      <c r="A307" s="461"/>
      <c r="B307" s="426">
        <v>17</v>
      </c>
      <c r="C307" s="431" t="s">
        <v>3166</v>
      </c>
      <c r="D307" s="436" t="str">
        <f>VLOOKUP(C307,param!$A$18:$B$220,2,FALSE)</f>
        <v>LOB1 - Employee Productivity</v>
      </c>
      <c r="E307" s="437">
        <f>COUNTIF(LOB1FocusAreas_DecR1,adj!$B307)*K307</f>
        <v>0</v>
      </c>
      <c r="F307" s="437">
        <f>COUNTIF(LOB1FocusAreas_DecR2,adj!$B307)*L307</f>
        <v>0</v>
      </c>
      <c r="G307" s="156"/>
      <c r="J307" s="154">
        <v>0</v>
      </c>
      <c r="K307" s="429">
        <f t="shared" si="19"/>
        <v>0.03</v>
      </c>
      <c r="L307" s="429">
        <f t="shared" si="19"/>
        <v>0.03</v>
      </c>
      <c r="M307" s="8" t="s">
        <v>2926</v>
      </c>
    </row>
    <row r="308" spans="1:13">
      <c r="A308" s="461"/>
      <c r="B308" s="426">
        <v>17</v>
      </c>
      <c r="C308" s="431" t="s">
        <v>3177</v>
      </c>
      <c r="D308" s="436" t="str">
        <f>VLOOKUP(C308,param!$A$18:$B$220,2,FALSE)</f>
        <v>LOB1 - RN Missed</v>
      </c>
      <c r="E308" s="437">
        <f>COUNTIF(LOB1FocusAreas_DecR1,adj!$B308)*K308</f>
        <v>0</v>
      </c>
      <c r="F308" s="437">
        <f>COUNTIF(LOB1FocusAreas_DecR2,adj!$B308)*L308</f>
        <v>0</v>
      </c>
      <c r="G308" s="156"/>
      <c r="H308" s="153"/>
      <c r="I308" s="153"/>
      <c r="J308" s="154">
        <v>0</v>
      </c>
      <c r="K308" s="429">
        <f t="shared" ref="K308:L311" si="20">-1*VLOOKUP($M308,$O$189:$P$193,2,FALSE)</f>
        <v>-0.03</v>
      </c>
      <c r="L308" s="429">
        <f t="shared" si="20"/>
        <v>-0.03</v>
      </c>
      <c r="M308" s="8" t="s">
        <v>2926</v>
      </c>
    </row>
    <row r="309" spans="1:13">
      <c r="A309" s="461"/>
      <c r="B309" s="426">
        <v>17</v>
      </c>
      <c r="C309" s="431" t="s">
        <v>3178</v>
      </c>
      <c r="D309" s="436" t="str">
        <f>VLOOKUP(C309,param!$A$18:$B$220,2,FALSE)</f>
        <v>LOB1 - LPN Missed</v>
      </c>
      <c r="E309" s="437">
        <f>COUNTIF(LOB1FocusAreas_DecR1,adj!$B309)*K309</f>
        <v>0</v>
      </c>
      <c r="F309" s="437">
        <f>COUNTIF(LOB1FocusAreas_DecR2,adj!$B309)*L309</f>
        <v>0</v>
      </c>
      <c r="G309" s="156"/>
      <c r="H309" s="153"/>
      <c r="I309" s="153"/>
      <c r="J309" s="154">
        <v>0</v>
      </c>
      <c r="K309" s="429">
        <f t="shared" si="20"/>
        <v>-0.03</v>
      </c>
      <c r="L309" s="429">
        <f t="shared" si="20"/>
        <v>-0.03</v>
      </c>
      <c r="M309" s="8" t="s">
        <v>2926</v>
      </c>
    </row>
    <row r="310" spans="1:13">
      <c r="A310" s="461"/>
      <c r="B310" s="426">
        <v>17</v>
      </c>
      <c r="C310" s="431" t="s">
        <v>3179</v>
      </c>
      <c r="D310" s="436" t="str">
        <f>VLOOKUP(C310,param!$A$18:$B$220,2,FALSE)</f>
        <v>LOB1 - PT Missed</v>
      </c>
      <c r="E310" s="437">
        <f>COUNTIF(LOB1FocusAreas_DecR1,adj!$B310)*K310</f>
        <v>0</v>
      </c>
      <c r="F310" s="437">
        <f>COUNTIF(LOB1FocusAreas_DecR2,adj!$B310)*L310</f>
        <v>0</v>
      </c>
      <c r="G310" s="156"/>
      <c r="H310" s="153"/>
      <c r="I310" s="153"/>
      <c r="J310" s="154">
        <v>0</v>
      </c>
      <c r="K310" s="429">
        <f t="shared" si="20"/>
        <v>-0.03</v>
      </c>
      <c r="L310" s="429">
        <f t="shared" si="20"/>
        <v>-0.03</v>
      </c>
      <c r="M310" s="8" t="s">
        <v>2926</v>
      </c>
    </row>
    <row r="311" spans="1:13">
      <c r="A311" s="461"/>
      <c r="B311" s="426">
        <v>17</v>
      </c>
      <c r="C311" s="431" t="s">
        <v>3180</v>
      </c>
      <c r="D311" s="436" t="str">
        <f>VLOOKUP(C311,param!$A$18:$B$220,2,FALSE)</f>
        <v>LOB1 - OT Missed</v>
      </c>
      <c r="E311" s="437">
        <f>COUNTIF(LOB1FocusAreas_DecR1,adj!$B311)*K311</f>
        <v>0</v>
      </c>
      <c r="F311" s="437">
        <f>COUNTIF(LOB1FocusAreas_DecR2,adj!$B311)*L311</f>
        <v>0</v>
      </c>
      <c r="G311" s="156"/>
      <c r="H311" s="153"/>
      <c r="I311" s="153"/>
      <c r="J311" s="154">
        <v>0</v>
      </c>
      <c r="K311" s="429">
        <f t="shared" si="20"/>
        <v>-0.03</v>
      </c>
      <c r="L311" s="429">
        <f t="shared" si="20"/>
        <v>-0.03</v>
      </c>
      <c r="M311" s="8" t="s">
        <v>2926</v>
      </c>
    </row>
    <row r="312" spans="1:13">
      <c r="A312" s="461"/>
      <c r="B312" s="426">
        <v>17</v>
      </c>
      <c r="C312" s="431" t="s">
        <v>3173</v>
      </c>
      <c r="D312" s="436" t="str">
        <f>VLOOKUP(C312,param!$A$18:$B$220,2,FALSE)</f>
        <v>LOB1 - RN Meetings</v>
      </c>
      <c r="E312" s="437">
        <f>COUNTIF(LOB1FocusAreas_DecR1,adj!$B312)*K312</f>
        <v>0</v>
      </c>
      <c r="F312" s="437">
        <f>COUNTIF(LOB1FocusAreas_DecR2,adj!$B312)*L312</f>
        <v>0</v>
      </c>
      <c r="G312" s="156"/>
      <c r="H312" s="153"/>
      <c r="I312" s="153"/>
      <c r="J312" s="154">
        <v>0</v>
      </c>
      <c r="K312" s="429">
        <f t="shared" si="19"/>
        <v>0.03</v>
      </c>
      <c r="L312" s="429">
        <f t="shared" si="19"/>
        <v>0.03</v>
      </c>
      <c r="M312" s="8" t="s">
        <v>2926</v>
      </c>
    </row>
    <row r="313" spans="1:13">
      <c r="A313" s="461"/>
      <c r="B313" s="426">
        <v>17</v>
      </c>
      <c r="C313" s="431" t="s">
        <v>3174</v>
      </c>
      <c r="D313" s="436" t="str">
        <f>VLOOKUP(C313,param!$A$18:$B$220,2,FALSE)</f>
        <v>LOB1 - LPN Meetings</v>
      </c>
      <c r="E313" s="437">
        <f>COUNTIF(LOB1FocusAreas_DecR1,adj!$B313)*K313</f>
        <v>0</v>
      </c>
      <c r="F313" s="437">
        <f>COUNTIF(LOB1FocusAreas_DecR2,adj!$B313)*L313</f>
        <v>0</v>
      </c>
      <c r="G313" s="156"/>
      <c r="H313" s="153"/>
      <c r="I313" s="153"/>
      <c r="J313" s="154">
        <v>0</v>
      </c>
      <c r="K313" s="429">
        <f t="shared" si="19"/>
        <v>0.03</v>
      </c>
      <c r="L313" s="429">
        <f t="shared" si="19"/>
        <v>0.03</v>
      </c>
      <c r="M313" s="8" t="s">
        <v>2926</v>
      </c>
    </row>
    <row r="314" spans="1:13">
      <c r="A314" s="461"/>
      <c r="B314" s="426">
        <v>17</v>
      </c>
      <c r="C314" s="431" t="s">
        <v>3175</v>
      </c>
      <c r="D314" s="436" t="str">
        <f>VLOOKUP(C314,param!$A$18:$B$220,2,FALSE)</f>
        <v>LOB1 - PT Meetings</v>
      </c>
      <c r="E314" s="437">
        <f>COUNTIF(LOB1FocusAreas_DecR1,adj!$B314)*K314</f>
        <v>0</v>
      </c>
      <c r="F314" s="437">
        <f>COUNTIF(LOB1FocusAreas_DecR2,adj!$B314)*L314</f>
        <v>0</v>
      </c>
      <c r="G314" s="156"/>
      <c r="H314" s="153"/>
      <c r="I314" s="153"/>
      <c r="J314" s="154">
        <v>0</v>
      </c>
      <c r="K314" s="429">
        <f t="shared" si="19"/>
        <v>0.03</v>
      </c>
      <c r="L314" s="429">
        <f t="shared" si="19"/>
        <v>0.03</v>
      </c>
      <c r="M314" s="8" t="s">
        <v>2926</v>
      </c>
    </row>
    <row r="315" spans="1:13">
      <c r="A315" s="461"/>
      <c r="B315" s="426">
        <v>17</v>
      </c>
      <c r="C315" s="431" t="s">
        <v>3176</v>
      </c>
      <c r="D315" s="436" t="str">
        <f>VLOOKUP(C315,param!$A$18:$B$220,2,FALSE)</f>
        <v>LOB1 - OT Meetings</v>
      </c>
      <c r="E315" s="437">
        <f>COUNTIF(LOB1FocusAreas_DecR1,adj!$B315)*K315</f>
        <v>0</v>
      </c>
      <c r="F315" s="437">
        <f>COUNTIF(LOB1FocusAreas_DecR2,adj!$B315)*L315</f>
        <v>0</v>
      </c>
      <c r="G315" s="156"/>
      <c r="H315" s="153"/>
      <c r="I315" s="153"/>
      <c r="J315" s="154">
        <v>0</v>
      </c>
      <c r="K315" s="429">
        <f t="shared" si="19"/>
        <v>0.03</v>
      </c>
      <c r="L315" s="429">
        <f t="shared" si="19"/>
        <v>0.03</v>
      </c>
      <c r="M315" s="8" t="s">
        <v>2926</v>
      </c>
    </row>
    <row r="316" spans="1:13">
      <c r="A316" s="461"/>
      <c r="B316" s="426">
        <v>17</v>
      </c>
      <c r="C316" s="431" t="s">
        <v>3172</v>
      </c>
      <c r="D316" s="436" t="str">
        <f>VLOOKUP(C316,param!$A$18:$B$220,2,FALSE)</f>
        <v>LOB1 - Clinical Quality</v>
      </c>
      <c r="E316" s="437">
        <f>COUNTIF(LOB1FocusAreas_DecR1,adj!$B316)*K316</f>
        <v>0</v>
      </c>
      <c r="F316" s="437">
        <f>COUNTIF(LOB1FocusAreas_DecR2,adj!$B316)*L316</f>
        <v>0</v>
      </c>
      <c r="G316" s="156"/>
      <c r="H316" s="153"/>
      <c r="I316" s="153"/>
      <c r="J316" s="154">
        <v>0</v>
      </c>
      <c r="K316" s="429">
        <f t="shared" si="19"/>
        <v>0.04</v>
      </c>
      <c r="L316" s="429">
        <f t="shared" si="19"/>
        <v>0.04</v>
      </c>
      <c r="M316" s="8" t="s">
        <v>2925</v>
      </c>
    </row>
    <row r="317" spans="1:13">
      <c r="A317" s="461"/>
      <c r="B317" s="426">
        <v>17</v>
      </c>
      <c r="C317" s="431" t="s">
        <v>4361</v>
      </c>
      <c r="D317" s="436" t="str">
        <f>VLOOKUP(C317,param!$A$18:$B$220,2,FALSE)</f>
        <v>LOB1 - Skilled Nursing Per Episode</v>
      </c>
      <c r="E317" s="437">
        <f>COUNTIF(LOB1FocusAreas_DecR1,adj!$B317)*K317</f>
        <v>0</v>
      </c>
      <c r="F317" s="437">
        <f>COUNTIF(LOB1FocusAreas_DecR2,adj!$B317)*L317</f>
        <v>0</v>
      </c>
      <c r="G317" s="156"/>
      <c r="H317" s="153"/>
      <c r="I317" s="153"/>
      <c r="J317" s="154">
        <v>0</v>
      </c>
      <c r="K317" s="429">
        <f t="shared" ref="K317:L319" si="21">-1*VLOOKUP($M317,$O$189:$P$193,2,FALSE)</f>
        <v>-0.02</v>
      </c>
      <c r="L317" s="429">
        <f t="shared" si="21"/>
        <v>-0.02</v>
      </c>
      <c r="M317" s="8" t="s">
        <v>2927</v>
      </c>
    </row>
    <row r="318" spans="1:13">
      <c r="A318" s="461"/>
      <c r="B318" s="426">
        <v>17</v>
      </c>
      <c r="C318" s="431" t="s">
        <v>4362</v>
      </c>
      <c r="D318" s="436" t="str">
        <f>VLOOKUP(C318,param!$A$18:$B$220,2,FALSE)</f>
        <v>LOB1 - Occupational Therapy Per Episode</v>
      </c>
      <c r="E318" s="437">
        <f>COUNTIF(LOB1FocusAreas_DecR1,adj!$B318)*K318</f>
        <v>0</v>
      </c>
      <c r="F318" s="437">
        <f>COUNTIF(LOB1FocusAreas_DecR2,adj!$B318)*L318</f>
        <v>0</v>
      </c>
      <c r="G318" s="156"/>
      <c r="H318" s="153"/>
      <c r="I318" s="153"/>
      <c r="J318" s="154">
        <v>0</v>
      </c>
      <c r="K318" s="429">
        <f t="shared" si="21"/>
        <v>-0.02</v>
      </c>
      <c r="L318" s="429">
        <f t="shared" si="21"/>
        <v>-0.02</v>
      </c>
      <c r="M318" s="8" t="s">
        <v>2927</v>
      </c>
    </row>
    <row r="319" spans="1:13">
      <c r="A319" s="461"/>
      <c r="B319" s="426">
        <v>17</v>
      </c>
      <c r="C319" s="431" t="s">
        <v>4363</v>
      </c>
      <c r="D319" s="436" t="str">
        <f>VLOOKUP(C319,param!$A$18:$B$220,2,FALSE)</f>
        <v>LOB1 - Physical Therapy Per Episode</v>
      </c>
      <c r="E319" s="437">
        <f>COUNTIF(LOB1FocusAreas_DecR1,adj!$B319)*K319</f>
        <v>0</v>
      </c>
      <c r="F319" s="437">
        <f>COUNTIF(LOB1FocusAreas_DecR2,adj!$B319)*L319</f>
        <v>0</v>
      </c>
      <c r="G319" s="156"/>
      <c r="H319" s="153"/>
      <c r="I319" s="153"/>
      <c r="J319" s="154">
        <v>0</v>
      </c>
      <c r="K319" s="429">
        <f t="shared" si="21"/>
        <v>-0.02</v>
      </c>
      <c r="L319" s="429">
        <f t="shared" si="21"/>
        <v>-0.02</v>
      </c>
      <c r="M319" s="8" t="s">
        <v>2927</v>
      </c>
    </row>
    <row r="320" spans="1:13">
      <c r="A320" s="461"/>
      <c r="C320" s="157"/>
      <c r="D320" s="438"/>
      <c r="E320" s="433"/>
      <c r="F320" s="433"/>
    </row>
    <row r="321" spans="1:13" ht="10.5">
      <c r="A321" s="461"/>
      <c r="B321" s="426">
        <v>18</v>
      </c>
      <c r="C321" s="427" t="s">
        <v>2941</v>
      </c>
      <c r="D321" s="436"/>
      <c r="E321" s="435"/>
      <c r="F321" s="435"/>
      <c r="G321" s="149"/>
    </row>
    <row r="322" spans="1:13">
      <c r="A322" s="461"/>
      <c r="B322" s="426">
        <v>18</v>
      </c>
      <c r="C322" s="431" t="s">
        <v>3152</v>
      </c>
      <c r="D322" s="436" t="str">
        <f>VLOOKUP(C322,param!$A$18:$B$220,2,FALSE)</f>
        <v>LOB1 - Clinical Time</v>
      </c>
      <c r="E322" s="437">
        <f>COUNTIF(LOB1FocusAreas_DecR1,adj!$B322)*K322</f>
        <v>0</v>
      </c>
      <c r="F322" s="437">
        <f>COUNTIF(LOB1FocusAreas_DecR2,adj!$B322)*L322</f>
        <v>0</v>
      </c>
      <c r="G322" s="156"/>
      <c r="J322" s="154">
        <v>0</v>
      </c>
      <c r="K322" s="429">
        <f t="shared" ref="K322:L328" si="22">VLOOKUP($M322,$O$189:$P$193,2,FALSE)</f>
        <v>0.05</v>
      </c>
      <c r="L322" s="429">
        <f t="shared" si="22"/>
        <v>0.05</v>
      </c>
      <c r="M322" s="8" t="s">
        <v>2930</v>
      </c>
    </row>
    <row r="323" spans="1:13">
      <c r="A323" s="461"/>
      <c r="B323" s="426">
        <v>18</v>
      </c>
      <c r="C323" s="431" t="s">
        <v>3166</v>
      </c>
      <c r="D323" s="436" t="str">
        <f>VLOOKUP(C323,param!$A$18:$B$220,2,FALSE)</f>
        <v>LOB1 - Employee Productivity</v>
      </c>
      <c r="E323" s="437">
        <f>COUNTIF(LOB1FocusAreas_DecR1,adj!$B323)*K323</f>
        <v>0</v>
      </c>
      <c r="F323" s="437">
        <f>COUNTIF(LOB1FocusAreas_DecR2,adj!$B323)*L323</f>
        <v>0</v>
      </c>
      <c r="G323" s="156"/>
      <c r="J323" s="154">
        <v>0</v>
      </c>
      <c r="K323" s="429">
        <f t="shared" si="22"/>
        <v>0.03</v>
      </c>
      <c r="L323" s="429">
        <f t="shared" si="22"/>
        <v>0.03</v>
      </c>
      <c r="M323" s="8" t="s">
        <v>2926</v>
      </c>
    </row>
    <row r="324" spans="1:13">
      <c r="A324" s="461"/>
      <c r="B324" s="426">
        <v>18</v>
      </c>
      <c r="C324" s="431" t="s">
        <v>3177</v>
      </c>
      <c r="D324" s="436" t="str">
        <f>VLOOKUP(C324,param!$A$18:$B$220,2,FALSE)</f>
        <v>LOB1 - RN Missed</v>
      </c>
      <c r="E324" s="437">
        <f>COUNTIF(LOB1FocusAreas_DecR1,adj!$B324)*K324</f>
        <v>0</v>
      </c>
      <c r="F324" s="437">
        <f>COUNTIF(LOB1FocusAreas_DecR2,adj!$B324)*L324</f>
        <v>0</v>
      </c>
      <c r="G324" s="156"/>
      <c r="H324" s="153"/>
      <c r="I324" s="153"/>
      <c r="J324" s="154">
        <v>0</v>
      </c>
      <c r="K324" s="429">
        <f t="shared" ref="K324:L327" si="23">-1*VLOOKUP($M324,$O$189:$P$193,2,FALSE)</f>
        <v>-0.02</v>
      </c>
      <c r="L324" s="429">
        <f t="shared" si="23"/>
        <v>-0.02</v>
      </c>
      <c r="M324" s="8" t="s">
        <v>2927</v>
      </c>
    </row>
    <row r="325" spans="1:13">
      <c r="A325" s="461"/>
      <c r="B325" s="426">
        <v>18</v>
      </c>
      <c r="C325" s="431" t="s">
        <v>3178</v>
      </c>
      <c r="D325" s="436" t="str">
        <f>VLOOKUP(C325,param!$A$18:$B$220,2,FALSE)</f>
        <v>LOB1 - LPN Missed</v>
      </c>
      <c r="E325" s="437">
        <f>COUNTIF(LOB1FocusAreas_DecR1,adj!$B325)*K325</f>
        <v>0</v>
      </c>
      <c r="F325" s="437">
        <f>COUNTIF(LOB1FocusAreas_DecR2,adj!$B325)*L325</f>
        <v>0</v>
      </c>
      <c r="G325" s="156"/>
      <c r="H325" s="153"/>
      <c r="I325" s="153"/>
      <c r="J325" s="154">
        <v>0</v>
      </c>
      <c r="K325" s="429">
        <f t="shared" si="23"/>
        <v>-0.02</v>
      </c>
      <c r="L325" s="429">
        <f t="shared" si="23"/>
        <v>-0.02</v>
      </c>
      <c r="M325" s="8" t="s">
        <v>2927</v>
      </c>
    </row>
    <row r="326" spans="1:13">
      <c r="A326" s="461"/>
      <c r="B326" s="426">
        <v>18</v>
      </c>
      <c r="C326" s="431" t="s">
        <v>3179</v>
      </c>
      <c r="D326" s="436" t="str">
        <f>VLOOKUP(C326,param!$A$18:$B$220,2,FALSE)</f>
        <v>LOB1 - PT Missed</v>
      </c>
      <c r="E326" s="437">
        <f>COUNTIF(LOB1FocusAreas_DecR1,adj!$B326)*K326</f>
        <v>0</v>
      </c>
      <c r="F326" s="437">
        <f>COUNTIF(LOB1FocusAreas_DecR2,adj!$B326)*L326</f>
        <v>0</v>
      </c>
      <c r="G326" s="156"/>
      <c r="H326" s="153"/>
      <c r="I326" s="153"/>
      <c r="J326" s="154">
        <v>0</v>
      </c>
      <c r="K326" s="429">
        <f t="shared" si="23"/>
        <v>-0.02</v>
      </c>
      <c r="L326" s="429">
        <f t="shared" si="23"/>
        <v>-0.02</v>
      </c>
      <c r="M326" s="8" t="s">
        <v>2927</v>
      </c>
    </row>
    <row r="327" spans="1:13">
      <c r="A327" s="461"/>
      <c r="B327" s="426">
        <v>18</v>
      </c>
      <c r="C327" s="431" t="s">
        <v>3180</v>
      </c>
      <c r="D327" s="436" t="str">
        <f>VLOOKUP(C327,param!$A$18:$B$220,2,FALSE)</f>
        <v>LOB1 - OT Missed</v>
      </c>
      <c r="E327" s="437">
        <f>COUNTIF(LOB1FocusAreas_DecR1,adj!$B327)*K327</f>
        <v>0</v>
      </c>
      <c r="F327" s="437">
        <f>COUNTIF(LOB1FocusAreas_DecR2,adj!$B327)*L327</f>
        <v>0</v>
      </c>
      <c r="G327" s="156"/>
      <c r="H327" s="153"/>
      <c r="I327" s="153"/>
      <c r="J327" s="154">
        <v>0</v>
      </c>
      <c r="K327" s="429">
        <f t="shared" si="23"/>
        <v>-0.02</v>
      </c>
      <c r="L327" s="429">
        <f t="shared" si="23"/>
        <v>-0.02</v>
      </c>
      <c r="M327" s="8" t="s">
        <v>2927</v>
      </c>
    </row>
    <row r="328" spans="1:13">
      <c r="A328" s="461"/>
      <c r="B328" s="426">
        <v>18</v>
      </c>
      <c r="C328" s="431" t="s">
        <v>3172</v>
      </c>
      <c r="D328" s="436" t="str">
        <f>VLOOKUP(C328,param!$A$18:$B$220,2,FALSE)</f>
        <v>LOB1 - Clinical Quality</v>
      </c>
      <c r="E328" s="437">
        <f>COUNTIF(LOB1FocusAreas_DecR1,adj!$B328)*K328</f>
        <v>0</v>
      </c>
      <c r="F328" s="437">
        <f>COUNTIF(LOB1FocusAreas_DecR2,adj!$B328)*L328</f>
        <v>0</v>
      </c>
      <c r="G328" s="156"/>
      <c r="H328" s="153"/>
      <c r="I328" s="153"/>
      <c r="J328" s="154">
        <v>0</v>
      </c>
      <c r="K328" s="429">
        <f t="shared" si="22"/>
        <v>0.01</v>
      </c>
      <c r="L328" s="429">
        <f t="shared" si="22"/>
        <v>0.01</v>
      </c>
      <c r="M328" s="8" t="s">
        <v>4371</v>
      </c>
    </row>
    <row r="329" spans="1:13">
      <c r="A329" s="461"/>
    </row>
    <row r="330" spans="1:13" ht="10.5">
      <c r="A330" s="461"/>
      <c r="B330" s="426">
        <v>19</v>
      </c>
      <c r="C330" s="427" t="s">
        <v>2942</v>
      </c>
      <c r="D330" s="436"/>
      <c r="E330" s="435"/>
      <c r="F330" s="435"/>
      <c r="G330" s="149"/>
    </row>
    <row r="331" spans="1:13">
      <c r="A331" s="461"/>
      <c r="B331" s="426">
        <v>19</v>
      </c>
      <c r="C331" s="431" t="s">
        <v>3152</v>
      </c>
      <c r="D331" s="436" t="str">
        <f>VLOOKUP(C331,param!$A$18:$B$220,2,FALSE)</f>
        <v>LOB1 - Clinical Time</v>
      </c>
      <c r="E331" s="437">
        <f>COUNTIF(LOB1FocusAreas_DecR1,adj!$B331)*K331</f>
        <v>0</v>
      </c>
      <c r="F331" s="437">
        <f>COUNTIF(LOB1FocusAreas_DecR2,adj!$B331)*L331</f>
        <v>0</v>
      </c>
      <c r="G331" s="156"/>
      <c r="J331" s="154">
        <v>0</v>
      </c>
      <c r="K331" s="429">
        <f t="shared" ref="K331:L341" si="24">VLOOKUP($M331,$O$189:$P$193,2,FALSE)</f>
        <v>0.03</v>
      </c>
      <c r="L331" s="429">
        <f t="shared" si="24"/>
        <v>0.03</v>
      </c>
      <c r="M331" s="8" t="s">
        <v>2926</v>
      </c>
    </row>
    <row r="332" spans="1:13">
      <c r="A332" s="461"/>
      <c r="B332" s="426">
        <v>19</v>
      </c>
      <c r="C332" s="431" t="s">
        <v>3166</v>
      </c>
      <c r="D332" s="436" t="str">
        <f>VLOOKUP(C332,param!$A$18:$B$220,2,FALSE)</f>
        <v>LOB1 - Employee Productivity</v>
      </c>
      <c r="E332" s="437">
        <f>COUNTIF(LOB1FocusAreas_DecR1,adj!$B332)*K332</f>
        <v>0</v>
      </c>
      <c r="F332" s="437">
        <f>COUNTIF(LOB1FocusAreas_DecR2,adj!$B332)*L332</f>
        <v>0</v>
      </c>
      <c r="G332" s="156"/>
      <c r="J332" s="154">
        <v>0</v>
      </c>
      <c r="K332" s="429">
        <f t="shared" si="24"/>
        <v>0.03</v>
      </c>
      <c r="L332" s="429">
        <f t="shared" si="24"/>
        <v>0.03</v>
      </c>
      <c r="M332" s="8" t="s">
        <v>2926</v>
      </c>
    </row>
    <row r="333" spans="1:13">
      <c r="A333" s="461"/>
      <c r="B333" s="426">
        <v>19</v>
      </c>
      <c r="C333" s="431" t="s">
        <v>3177</v>
      </c>
      <c r="D333" s="436" t="str">
        <f>VLOOKUP(C333,param!$A$18:$B$220,2,FALSE)</f>
        <v>LOB1 - RN Missed</v>
      </c>
      <c r="E333" s="437">
        <f>COUNTIF(LOB1FocusAreas_DecR1,adj!$B333)*K333</f>
        <v>0</v>
      </c>
      <c r="F333" s="437">
        <f>COUNTIF(LOB1FocusAreas_DecR2,adj!$B333)*L333</f>
        <v>0</v>
      </c>
      <c r="G333" s="156"/>
      <c r="H333" s="153"/>
      <c r="I333" s="153"/>
      <c r="J333" s="154">
        <v>0</v>
      </c>
      <c r="K333" s="429">
        <f t="shared" ref="K333:L336" si="25">-1*VLOOKUP($M333,$O$189:$P$193,2,FALSE)</f>
        <v>-0.03</v>
      </c>
      <c r="L333" s="429">
        <f t="shared" si="25"/>
        <v>-0.03</v>
      </c>
      <c r="M333" s="8" t="s">
        <v>2926</v>
      </c>
    </row>
    <row r="334" spans="1:13">
      <c r="A334" s="461"/>
      <c r="B334" s="426">
        <v>19</v>
      </c>
      <c r="C334" s="431" t="s">
        <v>3178</v>
      </c>
      <c r="D334" s="436" t="str">
        <f>VLOOKUP(C334,param!$A$18:$B$220,2,FALSE)</f>
        <v>LOB1 - LPN Missed</v>
      </c>
      <c r="E334" s="437">
        <f>COUNTIF(LOB1FocusAreas_DecR1,adj!$B334)*K334</f>
        <v>0</v>
      </c>
      <c r="F334" s="437">
        <f>COUNTIF(LOB1FocusAreas_DecR2,adj!$B334)*L334</f>
        <v>0</v>
      </c>
      <c r="G334" s="156"/>
      <c r="H334" s="153"/>
      <c r="I334" s="153"/>
      <c r="J334" s="154">
        <v>0</v>
      </c>
      <c r="K334" s="429">
        <f t="shared" si="25"/>
        <v>-0.03</v>
      </c>
      <c r="L334" s="429">
        <f t="shared" si="25"/>
        <v>-0.03</v>
      </c>
      <c r="M334" s="8" t="s">
        <v>2926</v>
      </c>
    </row>
    <row r="335" spans="1:13">
      <c r="A335" s="461"/>
      <c r="B335" s="426">
        <v>19</v>
      </c>
      <c r="C335" s="431" t="s">
        <v>3179</v>
      </c>
      <c r="D335" s="436" t="str">
        <f>VLOOKUP(C335,param!$A$18:$B$220,2,FALSE)</f>
        <v>LOB1 - PT Missed</v>
      </c>
      <c r="E335" s="437">
        <f>COUNTIF(LOB1FocusAreas_DecR1,adj!$B335)*K335</f>
        <v>0</v>
      </c>
      <c r="F335" s="437">
        <f>COUNTIF(LOB1FocusAreas_DecR2,adj!$B335)*L335</f>
        <v>0</v>
      </c>
      <c r="G335" s="156"/>
      <c r="H335" s="153"/>
      <c r="I335" s="153"/>
      <c r="J335" s="154">
        <v>0</v>
      </c>
      <c r="K335" s="429">
        <f t="shared" si="25"/>
        <v>-0.03</v>
      </c>
      <c r="L335" s="429">
        <f t="shared" si="25"/>
        <v>-0.03</v>
      </c>
      <c r="M335" s="8" t="s">
        <v>2926</v>
      </c>
    </row>
    <row r="336" spans="1:13">
      <c r="A336" s="461"/>
      <c r="B336" s="426">
        <v>19</v>
      </c>
      <c r="C336" s="431" t="s">
        <v>3180</v>
      </c>
      <c r="D336" s="436" t="str">
        <f>VLOOKUP(C336,param!$A$18:$B$220,2,FALSE)</f>
        <v>LOB1 - OT Missed</v>
      </c>
      <c r="E336" s="437">
        <f>COUNTIF(LOB1FocusAreas_DecR1,adj!$B336)*K336</f>
        <v>0</v>
      </c>
      <c r="F336" s="437">
        <f>COUNTIF(LOB1FocusAreas_DecR2,adj!$B336)*L336</f>
        <v>0</v>
      </c>
      <c r="G336" s="156"/>
      <c r="H336" s="153"/>
      <c r="I336" s="153"/>
      <c r="J336" s="154">
        <v>0</v>
      </c>
      <c r="K336" s="429">
        <f t="shared" si="25"/>
        <v>-0.03</v>
      </c>
      <c r="L336" s="429">
        <f t="shared" si="25"/>
        <v>-0.03</v>
      </c>
      <c r="M336" s="8" t="s">
        <v>2926</v>
      </c>
    </row>
    <row r="337" spans="1:13">
      <c r="A337" s="461"/>
      <c r="B337" s="426">
        <v>19</v>
      </c>
      <c r="C337" s="431" t="s">
        <v>3173</v>
      </c>
      <c r="D337" s="436" t="str">
        <f>VLOOKUP(C337,param!$A$18:$B$220,2,FALSE)</f>
        <v>LOB1 - RN Meetings</v>
      </c>
      <c r="E337" s="437">
        <f>COUNTIF(LOB1FocusAreas_DecR1,adj!$B337)*K337</f>
        <v>0</v>
      </c>
      <c r="F337" s="437">
        <f>COUNTIF(LOB1FocusAreas_DecR2,adj!$B337)*L337</f>
        <v>0</v>
      </c>
      <c r="G337" s="156"/>
      <c r="H337" s="153"/>
      <c r="I337" s="153"/>
      <c r="J337" s="154">
        <v>0</v>
      </c>
      <c r="K337" s="429">
        <f t="shared" si="24"/>
        <v>0.03</v>
      </c>
      <c r="L337" s="429">
        <f t="shared" si="24"/>
        <v>0.03</v>
      </c>
      <c r="M337" s="8" t="s">
        <v>2926</v>
      </c>
    </row>
    <row r="338" spans="1:13">
      <c r="A338" s="461"/>
      <c r="B338" s="426">
        <v>19</v>
      </c>
      <c r="C338" s="431" t="s">
        <v>3174</v>
      </c>
      <c r="D338" s="436" t="str">
        <f>VLOOKUP(C338,param!$A$18:$B$220,2,FALSE)</f>
        <v>LOB1 - LPN Meetings</v>
      </c>
      <c r="E338" s="437">
        <f>COUNTIF(LOB1FocusAreas_DecR1,adj!$B338)*K338</f>
        <v>0</v>
      </c>
      <c r="F338" s="437">
        <f>COUNTIF(LOB1FocusAreas_DecR2,adj!$B338)*L338</f>
        <v>0</v>
      </c>
      <c r="G338" s="156"/>
      <c r="H338" s="153"/>
      <c r="I338" s="153"/>
      <c r="J338" s="154">
        <v>0</v>
      </c>
      <c r="K338" s="429">
        <f t="shared" si="24"/>
        <v>0.03</v>
      </c>
      <c r="L338" s="429">
        <f t="shared" si="24"/>
        <v>0.03</v>
      </c>
      <c r="M338" s="8" t="s">
        <v>2926</v>
      </c>
    </row>
    <row r="339" spans="1:13">
      <c r="A339" s="461"/>
      <c r="B339" s="426">
        <v>19</v>
      </c>
      <c r="C339" s="431" t="s">
        <v>3175</v>
      </c>
      <c r="D339" s="436" t="str">
        <f>VLOOKUP(C339,param!$A$18:$B$220,2,FALSE)</f>
        <v>LOB1 - PT Meetings</v>
      </c>
      <c r="E339" s="437">
        <f>COUNTIF(LOB1FocusAreas_DecR1,adj!$B339)*K339</f>
        <v>0</v>
      </c>
      <c r="F339" s="437">
        <f>COUNTIF(LOB1FocusAreas_DecR2,adj!$B339)*L339</f>
        <v>0</v>
      </c>
      <c r="G339" s="156"/>
      <c r="H339" s="153"/>
      <c r="I339" s="153"/>
      <c r="J339" s="154">
        <v>0</v>
      </c>
      <c r="K339" s="429">
        <f t="shared" si="24"/>
        <v>0.03</v>
      </c>
      <c r="L339" s="429">
        <f t="shared" si="24"/>
        <v>0.03</v>
      </c>
      <c r="M339" s="8" t="s">
        <v>2926</v>
      </c>
    </row>
    <row r="340" spans="1:13">
      <c r="A340" s="461"/>
      <c r="B340" s="426">
        <v>19</v>
      </c>
      <c r="C340" s="431" t="s">
        <v>3176</v>
      </c>
      <c r="D340" s="436" t="str">
        <f>VLOOKUP(C340,param!$A$18:$B$220,2,FALSE)</f>
        <v>LOB1 - OT Meetings</v>
      </c>
      <c r="E340" s="437">
        <f>COUNTIF(LOB1FocusAreas_DecR1,adj!$B340)*K340</f>
        <v>0</v>
      </c>
      <c r="F340" s="437">
        <f>COUNTIF(LOB1FocusAreas_DecR2,adj!$B340)*L340</f>
        <v>0</v>
      </c>
      <c r="G340" s="156"/>
      <c r="H340" s="153"/>
      <c r="I340" s="153"/>
      <c r="J340" s="154">
        <v>0</v>
      </c>
      <c r="K340" s="429">
        <f t="shared" si="24"/>
        <v>0.03</v>
      </c>
      <c r="L340" s="429">
        <f t="shared" si="24"/>
        <v>0.03</v>
      </c>
      <c r="M340" s="8" t="s">
        <v>2926</v>
      </c>
    </row>
    <row r="341" spans="1:13">
      <c r="A341" s="461"/>
      <c r="B341" s="426">
        <v>19</v>
      </c>
      <c r="C341" s="431" t="s">
        <v>3172</v>
      </c>
      <c r="D341" s="436" t="str">
        <f>VLOOKUP(C341,param!$A$18:$B$220,2,FALSE)</f>
        <v>LOB1 - Clinical Quality</v>
      </c>
      <c r="E341" s="437">
        <f>COUNTIF(LOB1FocusAreas_DecR1,adj!$B341)*K341</f>
        <v>0</v>
      </c>
      <c r="F341" s="437">
        <f>COUNTIF(LOB1FocusAreas_DecR2,adj!$B341)*L341</f>
        <v>0</v>
      </c>
      <c r="G341" s="156"/>
      <c r="H341" s="153"/>
      <c r="I341" s="153"/>
      <c r="J341" s="154">
        <v>0</v>
      </c>
      <c r="K341" s="429">
        <f t="shared" si="24"/>
        <v>0.05</v>
      </c>
      <c r="L341" s="429">
        <f t="shared" si="24"/>
        <v>0.05</v>
      </c>
      <c r="M341" s="8" t="s">
        <v>2930</v>
      </c>
    </row>
    <row r="342" spans="1:13">
      <c r="A342" s="461"/>
    </row>
    <row r="343" spans="1:13" ht="10.5">
      <c r="A343" s="461"/>
      <c r="B343" s="426">
        <v>20</v>
      </c>
      <c r="C343" s="427" t="s">
        <v>4372</v>
      </c>
      <c r="D343" s="436"/>
      <c r="E343" s="435"/>
      <c r="F343" s="435"/>
      <c r="G343" s="149"/>
    </row>
    <row r="344" spans="1:13">
      <c r="A344" s="461"/>
      <c r="B344" s="426">
        <v>20</v>
      </c>
      <c r="C344" s="431" t="s">
        <v>3152</v>
      </c>
      <c r="D344" s="436" t="str">
        <f>VLOOKUP(C344,param!$A$18:$B$220,2,FALSE)</f>
        <v>LOB1 - Clinical Time</v>
      </c>
      <c r="E344" s="437">
        <f>COUNTIF(LOB1FocusAreas_DecR1,adj!$B344)*K344</f>
        <v>0</v>
      </c>
      <c r="F344" s="437">
        <f>COUNTIF(LOB1FocusAreas_DecR2,adj!$B344)*L344</f>
        <v>0</v>
      </c>
      <c r="G344" s="156"/>
      <c r="J344" s="154">
        <v>0</v>
      </c>
      <c r="K344" s="429">
        <f t="shared" ref="K344:L352" si="26">VLOOKUP($M344,$O$189:$P$193,2,FALSE)</f>
        <v>0.03</v>
      </c>
      <c r="L344" s="429">
        <f t="shared" si="26"/>
        <v>0.03</v>
      </c>
      <c r="M344" s="8" t="s">
        <v>2926</v>
      </c>
    </row>
    <row r="345" spans="1:13">
      <c r="A345" s="461"/>
      <c r="B345" s="426">
        <v>20</v>
      </c>
      <c r="C345" s="431" t="s">
        <v>3162</v>
      </c>
      <c r="D345" s="436" t="str">
        <f>VLOOKUP(C345,param!$A$18:$B$220,2,FALSE)</f>
        <v>LOB1 - Employee Engagment</v>
      </c>
      <c r="E345" s="437">
        <f>COUNTIF(LOB1FocusAreas_DecR1,adj!$B345)*K345</f>
        <v>0</v>
      </c>
      <c r="F345" s="437">
        <f>COUNTIF(LOB1FocusAreas_DecR2,adj!$B345)*L345</f>
        <v>0</v>
      </c>
      <c r="G345" s="156"/>
      <c r="H345" s="153"/>
      <c r="I345" s="153"/>
      <c r="J345" s="154">
        <v>0</v>
      </c>
      <c r="K345" s="429">
        <f t="shared" si="26"/>
        <v>0.03</v>
      </c>
      <c r="L345" s="429">
        <f t="shared" si="26"/>
        <v>0.03</v>
      </c>
      <c r="M345" s="8" t="s">
        <v>2926</v>
      </c>
    </row>
    <row r="346" spans="1:13">
      <c r="A346" s="461"/>
      <c r="B346" s="426">
        <v>20</v>
      </c>
      <c r="C346" s="431" t="s">
        <v>3166</v>
      </c>
      <c r="D346" s="436" t="str">
        <f>VLOOKUP(C346,param!$A$18:$B$220,2,FALSE)</f>
        <v>LOB1 - Employee Productivity</v>
      </c>
      <c r="E346" s="437">
        <f>COUNTIF(LOB1FocusAreas_DecR1,adj!$B346)*K346</f>
        <v>0</v>
      </c>
      <c r="F346" s="437">
        <f>COUNTIF(LOB1FocusAreas_DecR2,adj!$B346)*L346</f>
        <v>0</v>
      </c>
      <c r="G346" s="156"/>
      <c r="J346" s="154">
        <v>0</v>
      </c>
      <c r="K346" s="429">
        <f t="shared" si="26"/>
        <v>0.02</v>
      </c>
      <c r="L346" s="429">
        <f t="shared" si="26"/>
        <v>0.02</v>
      </c>
      <c r="M346" s="8" t="s">
        <v>2927</v>
      </c>
    </row>
    <row r="347" spans="1:13">
      <c r="A347" s="461"/>
      <c r="B347" s="426">
        <v>20</v>
      </c>
      <c r="C347" s="431" t="s">
        <v>3173</v>
      </c>
      <c r="D347" s="436" t="str">
        <f>VLOOKUP(C347,param!$A$18:$B$220,2,FALSE)</f>
        <v>LOB1 - RN Meetings</v>
      </c>
      <c r="E347" s="437">
        <f>COUNTIF(LOB1FocusAreas_DecR1,adj!$B347)*K347</f>
        <v>0</v>
      </c>
      <c r="F347" s="437">
        <f>COUNTIF(LOB1FocusAreas_DecR2,adj!$B347)*L347</f>
        <v>0</v>
      </c>
      <c r="G347" s="156"/>
      <c r="H347" s="153"/>
      <c r="I347" s="153"/>
      <c r="J347" s="154">
        <v>0</v>
      </c>
      <c r="K347" s="429">
        <f t="shared" si="26"/>
        <v>0.01</v>
      </c>
      <c r="L347" s="429">
        <f t="shared" si="26"/>
        <v>0.01</v>
      </c>
      <c r="M347" s="8" t="s">
        <v>2929</v>
      </c>
    </row>
    <row r="348" spans="1:13">
      <c r="A348" s="461"/>
      <c r="B348" s="426">
        <v>20</v>
      </c>
      <c r="C348" s="431" t="s">
        <v>3174</v>
      </c>
      <c r="D348" s="436" t="str">
        <f>VLOOKUP(C348,param!$A$18:$B$220,2,FALSE)</f>
        <v>LOB1 - LPN Meetings</v>
      </c>
      <c r="E348" s="437">
        <f>COUNTIF(LOB1FocusAreas_DecR1,adj!$B348)*K348</f>
        <v>0</v>
      </c>
      <c r="F348" s="437">
        <f>COUNTIF(LOB1FocusAreas_DecR2,adj!$B348)*L348</f>
        <v>0</v>
      </c>
      <c r="G348" s="156"/>
      <c r="H348" s="153"/>
      <c r="I348" s="153"/>
      <c r="J348" s="154">
        <v>0</v>
      </c>
      <c r="K348" s="429">
        <f t="shared" si="26"/>
        <v>0.01</v>
      </c>
      <c r="L348" s="429">
        <f t="shared" si="26"/>
        <v>0.01</v>
      </c>
      <c r="M348" s="8" t="s">
        <v>2929</v>
      </c>
    </row>
    <row r="349" spans="1:13">
      <c r="A349" s="461"/>
      <c r="B349" s="426">
        <v>20</v>
      </c>
      <c r="C349" s="431" t="s">
        <v>3175</v>
      </c>
      <c r="D349" s="436" t="str">
        <f>VLOOKUP(C349,param!$A$18:$B$220,2,FALSE)</f>
        <v>LOB1 - PT Meetings</v>
      </c>
      <c r="E349" s="437">
        <f>COUNTIF(LOB1FocusAreas_DecR1,adj!$B349)*K349</f>
        <v>0</v>
      </c>
      <c r="F349" s="437">
        <f>COUNTIF(LOB1FocusAreas_DecR2,adj!$B349)*L349</f>
        <v>0</v>
      </c>
      <c r="G349" s="156"/>
      <c r="H349" s="153"/>
      <c r="I349" s="153"/>
      <c r="J349" s="154">
        <v>0</v>
      </c>
      <c r="K349" s="429">
        <f t="shared" si="26"/>
        <v>0.01</v>
      </c>
      <c r="L349" s="429">
        <f t="shared" si="26"/>
        <v>0.01</v>
      </c>
      <c r="M349" s="8" t="s">
        <v>2929</v>
      </c>
    </row>
    <row r="350" spans="1:13">
      <c r="A350" s="461"/>
      <c r="B350" s="426">
        <v>20</v>
      </c>
      <c r="C350" s="431" t="s">
        <v>3176</v>
      </c>
      <c r="D350" s="436" t="str">
        <f>VLOOKUP(C350,param!$A$18:$B$220,2,FALSE)</f>
        <v>LOB1 - OT Meetings</v>
      </c>
      <c r="E350" s="437">
        <f>COUNTIF(LOB1FocusAreas_DecR1,adj!$B350)*K350</f>
        <v>0</v>
      </c>
      <c r="F350" s="437">
        <f>COUNTIF(LOB1FocusAreas_DecR2,adj!$B350)*L350</f>
        <v>0</v>
      </c>
      <c r="G350" s="156"/>
      <c r="H350" s="153"/>
      <c r="I350" s="153"/>
      <c r="J350" s="154">
        <v>0</v>
      </c>
      <c r="K350" s="429">
        <f t="shared" si="26"/>
        <v>0.01</v>
      </c>
      <c r="L350" s="429">
        <f t="shared" si="26"/>
        <v>0.01</v>
      </c>
      <c r="M350" s="8" t="s">
        <v>2929</v>
      </c>
    </row>
    <row r="351" spans="1:13">
      <c r="A351" s="461"/>
      <c r="B351" s="426">
        <v>20</v>
      </c>
      <c r="C351" s="431" t="s">
        <v>3172</v>
      </c>
      <c r="D351" s="436" t="str">
        <f>VLOOKUP(C351,param!$A$18:$B$220,2,FALSE)</f>
        <v>LOB1 - Clinical Quality</v>
      </c>
      <c r="E351" s="437">
        <f>COUNTIF(LOB1FocusAreas_DecR1,adj!$B351)*K351</f>
        <v>0</v>
      </c>
      <c r="F351" s="437">
        <f>COUNTIF(LOB1FocusAreas_DecR2,adj!$B351)*L351</f>
        <v>0</v>
      </c>
      <c r="G351" s="156"/>
      <c r="H351" s="153"/>
      <c r="I351" s="153"/>
      <c r="J351" s="154">
        <v>0</v>
      </c>
      <c r="K351" s="429">
        <f t="shared" si="26"/>
        <v>0.01</v>
      </c>
      <c r="L351" s="429">
        <f t="shared" si="26"/>
        <v>0.01</v>
      </c>
      <c r="M351" s="8" t="s">
        <v>2929</v>
      </c>
    </row>
    <row r="352" spans="1:13">
      <c r="A352" s="461"/>
      <c r="B352" s="426">
        <v>20</v>
      </c>
      <c r="C352" s="431" t="s">
        <v>4161</v>
      </c>
      <c r="D352" s="436" t="str">
        <f>VLOOKUP(C352,param!$A$18:$B$220,2,FALSE)</f>
        <v>LOB1-Clinician Recruitment</v>
      </c>
      <c r="E352" s="437">
        <f>COUNTIF(LOB1FocusAreas_DecR1,adj!$B352)*K352</f>
        <v>0</v>
      </c>
      <c r="F352" s="437">
        <f>COUNTIF(LOB1FocusAreas_DecR2,adj!$B352)*L352</f>
        <v>0</v>
      </c>
      <c r="G352" s="156"/>
      <c r="J352" s="154">
        <v>0</v>
      </c>
      <c r="K352" s="429">
        <f t="shared" si="26"/>
        <v>0.03</v>
      </c>
      <c r="L352" s="429">
        <f t="shared" si="26"/>
        <v>0.03</v>
      </c>
      <c r="M352" s="8" t="s">
        <v>2926</v>
      </c>
    </row>
    <row r="354" spans="1:13" ht="10.5">
      <c r="A354" s="478"/>
      <c r="B354" s="426">
        <v>1</v>
      </c>
      <c r="C354" s="427" t="s">
        <v>701</v>
      </c>
      <c r="D354" s="434"/>
      <c r="E354" s="435"/>
      <c r="F354" s="435"/>
      <c r="G354" s="149"/>
      <c r="M354" s="8" t="s">
        <v>2928</v>
      </c>
    </row>
    <row r="355" spans="1:13">
      <c r="A355" s="478"/>
      <c r="B355" s="426">
        <v>1</v>
      </c>
      <c r="C355" s="431" t="s">
        <v>3222</v>
      </c>
      <c r="D355" s="436" t="str">
        <f>VLOOKUP(C355,param!$A$18:$B$220,2,FALSE)</f>
        <v>LOB2 - Referrals Time</v>
      </c>
      <c r="E355" s="437">
        <f>COUNTIF(LOB2FocusAreas_DecR1,adj!$B355)*K355</f>
        <v>0</v>
      </c>
      <c r="F355" s="437">
        <f>COUNTIF(LOB2FocusAreas_DecR2,adj!$B355)*L355</f>
        <v>0</v>
      </c>
      <c r="G355" s="156"/>
      <c r="H355" s="153"/>
      <c r="I355" s="153"/>
      <c r="J355" s="154">
        <v>0</v>
      </c>
      <c r="K355" s="429">
        <f>VLOOKUP($M355,$O$189:$P$193,2,FALSE)</f>
        <v>0.02</v>
      </c>
      <c r="L355" s="429">
        <f>VLOOKUP($M355,$O$189:$P$193,2,FALSE)</f>
        <v>0.02</v>
      </c>
      <c r="M355" s="8" t="s">
        <v>2927</v>
      </c>
    </row>
    <row r="356" spans="1:13">
      <c r="A356" s="478"/>
      <c r="B356" s="426">
        <v>1</v>
      </c>
      <c r="C356" s="431" t="s">
        <v>3225</v>
      </c>
      <c r="D356" s="436" t="str">
        <f>VLOOKUP(C356,param!$A$18:$B$220,2,FALSE)</f>
        <v>LOB2 - Referrals Volume</v>
      </c>
      <c r="E356" s="437">
        <f>COUNTIF(LOB2FocusAreas_DecR1,adj!$B356)*K356</f>
        <v>0</v>
      </c>
      <c r="F356" s="437">
        <f>COUNTIF(LOB2FocusAreas_DecR2,adj!$B356)*L356</f>
        <v>0</v>
      </c>
      <c r="G356" s="156"/>
      <c r="J356" s="154">
        <v>0</v>
      </c>
      <c r="K356" s="429">
        <f>VLOOKUP($M356,$O$189:$P$193,2,FALSE)</f>
        <v>0.02</v>
      </c>
      <c r="L356" s="429">
        <f>VLOOKUP($M356,$O$189:$P$193,2,FALSE)</f>
        <v>0.02</v>
      </c>
      <c r="M356" s="8" t="s">
        <v>2927</v>
      </c>
    </row>
    <row r="357" spans="1:13">
      <c r="A357" s="478"/>
      <c r="B357" s="426">
        <v>1</v>
      </c>
      <c r="C357" s="431" t="s">
        <v>3228</v>
      </c>
      <c r="D357" s="436" t="str">
        <f>VLOOKUP(C357,param!$A$18:$B$220,2,FALSE)</f>
        <v>LOB2 - Referrals Satisfaction</v>
      </c>
      <c r="E357" s="437">
        <f>COUNTIF(LOB2FocusAreas_DecR1,adj!$B357)*K357</f>
        <v>0</v>
      </c>
      <c r="F357" s="437">
        <f>COUNTIF(LOB2FocusAreas_DecR2,adj!$B357)*L357</f>
        <v>0</v>
      </c>
      <c r="G357" s="156"/>
      <c r="H357" s="153"/>
      <c r="I357" s="153"/>
      <c r="J357" s="154">
        <v>0</v>
      </c>
      <c r="K357" s="429">
        <f t="shared" ref="K357:L357" si="27">VLOOKUP($M357,$O$189:$P$193,2,FALSE)</f>
        <v>0.02</v>
      </c>
      <c r="L357" s="429">
        <f t="shared" si="27"/>
        <v>0.02</v>
      </c>
      <c r="M357" s="8" t="s">
        <v>2927</v>
      </c>
    </row>
    <row r="358" spans="1:13">
      <c r="A358" s="478"/>
      <c r="C358" s="157"/>
      <c r="D358" s="438"/>
      <c r="E358" s="433"/>
      <c r="F358" s="433"/>
    </row>
    <row r="359" spans="1:13" ht="10.5">
      <c r="A359" s="478"/>
      <c r="B359" s="426">
        <v>2</v>
      </c>
      <c r="C359" s="427" t="s">
        <v>3990</v>
      </c>
      <c r="D359" s="436"/>
      <c r="E359" s="435"/>
      <c r="F359" s="435"/>
      <c r="G359" s="149"/>
    </row>
    <row r="360" spans="1:13">
      <c r="A360" s="478"/>
      <c r="B360" s="426">
        <v>2</v>
      </c>
      <c r="C360" s="431" t="s">
        <v>3222</v>
      </c>
      <c r="D360" s="436" t="str">
        <f>VLOOKUP(C360,param!$A$18:$B$220,2,FALSE)</f>
        <v>LOB2 - Referrals Time</v>
      </c>
      <c r="E360" s="437">
        <f>COUNTIF(LOB2FocusAreas_DecR1,adj!$B360)*K360</f>
        <v>0</v>
      </c>
      <c r="F360" s="437">
        <f>COUNTIF(LOB2FocusAreas_DecR2,adj!$B360)*L360</f>
        <v>0</v>
      </c>
      <c r="G360" s="156"/>
      <c r="H360" s="153"/>
      <c r="I360" s="153"/>
      <c r="J360" s="154">
        <v>0</v>
      </c>
      <c r="K360" s="429">
        <f t="shared" ref="K360:L363" si="28">VLOOKUP($M360,$O$189:$P$193,2,FALSE)</f>
        <v>0.03</v>
      </c>
      <c r="L360" s="429">
        <f t="shared" si="28"/>
        <v>0.03</v>
      </c>
      <c r="M360" s="8" t="s">
        <v>2926</v>
      </c>
    </row>
    <row r="361" spans="1:13">
      <c r="A361" s="478"/>
      <c r="B361" s="426">
        <v>2</v>
      </c>
      <c r="C361" s="431" t="s">
        <v>3225</v>
      </c>
      <c r="D361" s="436" t="str">
        <f>VLOOKUP(C361,param!$A$18:$B$220,2,FALSE)</f>
        <v>LOB2 - Referrals Volume</v>
      </c>
      <c r="E361" s="437">
        <f>COUNTIF(LOB2FocusAreas_DecR1,adj!$B361)*K361</f>
        <v>0</v>
      </c>
      <c r="F361" s="437">
        <f>COUNTIF(LOB2FocusAreas_DecR2,adj!$B361)*L361</f>
        <v>0</v>
      </c>
      <c r="G361" s="156"/>
      <c r="J361" s="154">
        <v>0</v>
      </c>
      <c r="K361" s="429">
        <f t="shared" si="28"/>
        <v>0.02</v>
      </c>
      <c r="L361" s="429">
        <f t="shared" si="28"/>
        <v>0.02</v>
      </c>
      <c r="M361" s="8" t="s">
        <v>2927</v>
      </c>
    </row>
    <row r="362" spans="1:13">
      <c r="A362" s="478"/>
      <c r="B362" s="426">
        <v>2</v>
      </c>
      <c r="C362" s="431" t="s">
        <v>3228</v>
      </c>
      <c r="D362" s="436" t="str">
        <f>VLOOKUP(C362,param!$A$18:$B$220,2,FALSE)</f>
        <v>LOB2 - Referrals Satisfaction</v>
      </c>
      <c r="E362" s="437">
        <f>COUNTIF(LOB2FocusAreas_DecR1,adj!$B362)*K362</f>
        <v>0</v>
      </c>
      <c r="F362" s="437">
        <f>COUNTIF(LOB2FocusAreas_DecR2,adj!$B362)*L362</f>
        <v>0</v>
      </c>
      <c r="G362" s="156"/>
      <c r="H362" s="153"/>
      <c r="I362" s="153"/>
      <c r="J362" s="154">
        <v>0</v>
      </c>
      <c r="K362" s="429">
        <f t="shared" si="28"/>
        <v>0.03</v>
      </c>
      <c r="L362" s="429">
        <f t="shared" si="28"/>
        <v>0.03</v>
      </c>
      <c r="M362" s="8" t="s">
        <v>2926</v>
      </c>
    </row>
    <row r="363" spans="1:13">
      <c r="A363" s="478"/>
      <c r="B363" s="426">
        <v>2</v>
      </c>
      <c r="C363" s="431" t="s">
        <v>3249</v>
      </c>
      <c r="D363" s="436" t="str">
        <f>VLOOKUP(C363,param!$A$18:$B$220,2,FALSE)</f>
        <v>LOB2 - Clinical Quality</v>
      </c>
      <c r="E363" s="437">
        <f>COUNTIF(LOB2FocusAreas_DecR1,adj!$B363)*K363</f>
        <v>0</v>
      </c>
      <c r="F363" s="437">
        <f>COUNTIF(LOB2FocusAreas_DecR2,adj!$B363)*L363</f>
        <v>0</v>
      </c>
      <c r="G363" s="156"/>
      <c r="H363" s="153"/>
      <c r="I363" s="153"/>
      <c r="J363" s="154">
        <v>0</v>
      </c>
      <c r="K363" s="429">
        <f t="shared" si="28"/>
        <v>0.02</v>
      </c>
      <c r="L363" s="429">
        <f t="shared" si="28"/>
        <v>0.02</v>
      </c>
      <c r="M363" s="8" t="s">
        <v>2927</v>
      </c>
    </row>
    <row r="364" spans="1:13">
      <c r="A364" s="478"/>
      <c r="C364" s="157"/>
      <c r="D364" s="438"/>
      <c r="E364" s="433"/>
      <c r="F364" s="433"/>
    </row>
    <row r="365" spans="1:13" ht="10.5">
      <c r="A365" s="478"/>
      <c r="B365" s="426">
        <v>3</v>
      </c>
      <c r="C365" s="427" t="s">
        <v>2931</v>
      </c>
      <c r="D365" s="436"/>
      <c r="E365" s="435"/>
      <c r="F365" s="435"/>
      <c r="G365" s="149"/>
    </row>
    <row r="366" spans="1:13">
      <c r="A366" s="478"/>
      <c r="B366" s="426">
        <v>3</v>
      </c>
      <c r="C366" s="431" t="s">
        <v>3222</v>
      </c>
      <c r="D366" s="436" t="str">
        <f>VLOOKUP(C366,param!$A$18:$B$220,2,FALSE)</f>
        <v>LOB2 - Referrals Time</v>
      </c>
      <c r="E366" s="437">
        <f>COUNTIF(LOB2FocusAreas_DecR1,adj!$B366)*K366</f>
        <v>0</v>
      </c>
      <c r="F366" s="437">
        <f>COUNTIF(LOB2FocusAreas_DecR2,adj!$B366)*L366</f>
        <v>0</v>
      </c>
      <c r="G366" s="156"/>
      <c r="H366" s="153"/>
      <c r="I366" s="153"/>
      <c r="J366" s="154">
        <v>0</v>
      </c>
      <c r="K366" s="429">
        <f t="shared" ref="K366:L371" si="29">VLOOKUP($M366,$O$189:$P$193,2,FALSE)</f>
        <v>0.03</v>
      </c>
      <c r="L366" s="429">
        <f t="shared" si="29"/>
        <v>0.03</v>
      </c>
      <c r="M366" s="8" t="s">
        <v>2926</v>
      </c>
    </row>
    <row r="367" spans="1:13">
      <c r="A367" s="478"/>
      <c r="B367" s="426">
        <v>3</v>
      </c>
      <c r="C367" s="431" t="s">
        <v>3225</v>
      </c>
      <c r="D367" s="436" t="str">
        <f>VLOOKUP(C367,param!$A$18:$B$220,2,FALSE)</f>
        <v>LOB2 - Referrals Volume</v>
      </c>
      <c r="E367" s="437">
        <f>COUNTIF(LOB2FocusAreas_DecR1,adj!$B367)*K367</f>
        <v>0</v>
      </c>
      <c r="F367" s="437">
        <f>COUNTIF(LOB2FocusAreas_DecR2,adj!$B367)*L367</f>
        <v>0</v>
      </c>
      <c r="G367" s="156"/>
      <c r="J367" s="154">
        <v>0</v>
      </c>
      <c r="K367" s="429">
        <f t="shared" si="29"/>
        <v>0.03</v>
      </c>
      <c r="L367" s="429">
        <f t="shared" si="29"/>
        <v>0.03</v>
      </c>
      <c r="M367" s="8" t="s">
        <v>2926</v>
      </c>
    </row>
    <row r="368" spans="1:13">
      <c r="A368" s="478"/>
      <c r="B368" s="426">
        <v>3</v>
      </c>
      <c r="C368" s="431" t="s">
        <v>3228</v>
      </c>
      <c r="D368" s="436" t="str">
        <f>VLOOKUP(C368,param!$A$18:$B$220,2,FALSE)</f>
        <v>LOB2 - Referrals Satisfaction</v>
      </c>
      <c r="E368" s="437">
        <f>COUNTIF(LOB2FocusAreas_DecR1,adj!$B368)*K368</f>
        <v>0</v>
      </c>
      <c r="F368" s="437">
        <f>COUNTIF(LOB2FocusAreas_DecR2,adj!$B368)*L368</f>
        <v>0</v>
      </c>
      <c r="G368" s="156"/>
      <c r="H368" s="153"/>
      <c r="I368" s="153"/>
      <c r="J368" s="154">
        <v>0</v>
      </c>
      <c r="K368" s="429">
        <f t="shared" si="29"/>
        <v>0.03</v>
      </c>
      <c r="L368" s="429">
        <f t="shared" si="29"/>
        <v>0.03</v>
      </c>
      <c r="M368" s="8" t="s">
        <v>2926</v>
      </c>
    </row>
    <row r="369" spans="1:14">
      <c r="A369" s="478"/>
      <c r="B369" s="426">
        <v>3</v>
      </c>
      <c r="C369" s="431" t="s">
        <v>3234</v>
      </c>
      <c r="D369" s="436" t="str">
        <f>VLOOKUP(C369,param!$A$18:$B$220,2,FALSE)</f>
        <v>LOB2 - Employee Engagment</v>
      </c>
      <c r="E369" s="437">
        <f>COUNTIF(LOB2FocusAreas_DecR1,adj!$B369)*K369</f>
        <v>0</v>
      </c>
      <c r="F369" s="437">
        <f>COUNTIF(LOB2FocusAreas_DecR2,adj!$B369)*L369</f>
        <v>0</v>
      </c>
      <c r="G369" s="156"/>
      <c r="H369" s="153"/>
      <c r="I369" s="153"/>
      <c r="J369" s="154">
        <v>0</v>
      </c>
      <c r="K369" s="429">
        <f t="shared" si="29"/>
        <v>0.01</v>
      </c>
      <c r="L369" s="429">
        <f t="shared" si="29"/>
        <v>0.01</v>
      </c>
      <c r="M369" s="8" t="s">
        <v>2929</v>
      </c>
    </row>
    <row r="370" spans="1:14">
      <c r="A370" s="478"/>
      <c r="B370" s="426">
        <v>3</v>
      </c>
      <c r="C370" s="431" t="s">
        <v>3243</v>
      </c>
      <c r="D370" s="436" t="str">
        <f>VLOOKUP(C370,param!$A$18:$B$220,2,FALSE)</f>
        <v>LOB2 - Clinician Admin Time</v>
      </c>
      <c r="E370" s="437">
        <f>COUNTIF(LOB2FocusAreas_DecR1,adj!$B370)*K370</f>
        <v>0</v>
      </c>
      <c r="F370" s="437">
        <f>COUNTIF(LOB2FocusAreas_DecR2,adj!$B370)*L370</f>
        <v>0</v>
      </c>
      <c r="G370" s="156"/>
      <c r="H370" s="153"/>
      <c r="I370" s="153"/>
      <c r="J370" s="154">
        <v>0</v>
      </c>
      <c r="K370" s="429">
        <f t="shared" si="29"/>
        <v>0.05</v>
      </c>
      <c r="L370" s="429">
        <f t="shared" si="29"/>
        <v>0.05</v>
      </c>
      <c r="M370" s="8" t="s">
        <v>2930</v>
      </c>
      <c r="N370" s="167" t="s">
        <v>4356</v>
      </c>
    </row>
    <row r="371" spans="1:14">
      <c r="A371" s="478"/>
      <c r="B371" s="426">
        <v>3</v>
      </c>
      <c r="C371" s="431" t="s">
        <v>3243</v>
      </c>
      <c r="D371" s="436" t="str">
        <f>VLOOKUP(C371,param!$A$18:$B$220,2,FALSE)</f>
        <v>LOB2 - Clinician Admin Time</v>
      </c>
      <c r="E371" s="437">
        <f>COUNTIF(LOB2FocusAreas_DecR1,adj!$B371)*K371</f>
        <v>0</v>
      </c>
      <c r="F371" s="437">
        <f>COUNTIF(LOB2FocusAreas_DecR2,adj!$B371)*L371</f>
        <v>0</v>
      </c>
      <c r="G371" s="156"/>
      <c r="H371" s="153"/>
      <c r="I371" s="153"/>
      <c r="J371" s="154">
        <v>0</v>
      </c>
      <c r="K371" s="429">
        <f t="shared" si="29"/>
        <v>0.05</v>
      </c>
      <c r="L371" s="429">
        <f t="shared" si="29"/>
        <v>0.05</v>
      </c>
      <c r="M371" s="8" t="s">
        <v>2930</v>
      </c>
      <c r="N371" s="167" t="s">
        <v>4356</v>
      </c>
    </row>
    <row r="372" spans="1:14">
      <c r="A372" s="478"/>
      <c r="B372" s="426">
        <v>3</v>
      </c>
      <c r="C372" s="431" t="s">
        <v>3246</v>
      </c>
      <c r="D372" s="436" t="str">
        <f>VLOOKUP(C372,param!$A$18:$B$220,2,FALSE)</f>
        <v>LOB2 - Clinician Meetings</v>
      </c>
      <c r="E372" s="437">
        <f>COUNTIF(LOB2FocusAreas_DecR1,adj!$B372)*K372</f>
        <v>0</v>
      </c>
      <c r="F372" s="437">
        <f>COUNTIF(LOB2FocusAreas_DecR2,adj!$B372)*L372</f>
        <v>0</v>
      </c>
      <c r="G372" s="156"/>
      <c r="H372" s="153"/>
      <c r="I372" s="153"/>
      <c r="J372" s="154">
        <v>0</v>
      </c>
      <c r="K372" s="429">
        <f>-1*VLOOKUP($M372,$O$189:$P$193,2,FALSE)</f>
        <v>-0.03</v>
      </c>
      <c r="L372" s="429">
        <f>-1*VLOOKUP($M372,$O$189:$P$193,2,FALSE)</f>
        <v>-0.03</v>
      </c>
      <c r="M372" s="8" t="s">
        <v>2926</v>
      </c>
    </row>
    <row r="373" spans="1:14">
      <c r="A373" s="478"/>
      <c r="C373" s="157"/>
      <c r="D373" s="438"/>
      <c r="E373" s="433"/>
      <c r="F373" s="433"/>
    </row>
    <row r="374" spans="1:14" ht="10.5">
      <c r="A374" s="478"/>
      <c r="B374" s="426">
        <v>4</v>
      </c>
      <c r="C374" s="427" t="s">
        <v>2932</v>
      </c>
      <c r="D374" s="436"/>
      <c r="E374" s="435"/>
      <c r="F374" s="435"/>
      <c r="G374" s="149"/>
    </row>
    <row r="375" spans="1:14">
      <c r="A375" s="478"/>
      <c r="B375" s="426">
        <v>4</v>
      </c>
      <c r="C375" s="431" t="s">
        <v>3222</v>
      </c>
      <c r="D375" s="436" t="str">
        <f>VLOOKUP(C375,param!$A$18:$B$220,2,FALSE)</f>
        <v>LOB2 - Referrals Time</v>
      </c>
      <c r="E375" s="437">
        <f>COUNTIF(LOB2FocusAreas_DecR1,adj!$B375)*K375</f>
        <v>0</v>
      </c>
      <c r="F375" s="437">
        <f>COUNTIF(LOB2FocusAreas_DecR2,adj!$B375)*L375</f>
        <v>0</v>
      </c>
      <c r="G375" s="156"/>
      <c r="H375" s="153"/>
      <c r="I375" s="153"/>
      <c r="J375" s="154">
        <v>0</v>
      </c>
      <c r="K375" s="429">
        <f t="shared" ref="K375:L380" si="30">VLOOKUP($M375,$O$189:$P$193,2,FALSE)</f>
        <v>0.03</v>
      </c>
      <c r="L375" s="429">
        <f t="shared" si="30"/>
        <v>0.03</v>
      </c>
      <c r="M375" s="8" t="s">
        <v>2926</v>
      </c>
    </row>
    <row r="376" spans="1:14">
      <c r="A376" s="478"/>
      <c r="B376" s="426">
        <v>4</v>
      </c>
      <c r="C376" s="431" t="s">
        <v>3225</v>
      </c>
      <c r="D376" s="436" t="str">
        <f>VLOOKUP(C376,param!$A$18:$B$220,2,FALSE)</f>
        <v>LOB2 - Referrals Volume</v>
      </c>
      <c r="E376" s="437">
        <f>COUNTIF(LOB2FocusAreas_DecR1,adj!$B376)*K376</f>
        <v>0</v>
      </c>
      <c r="F376" s="437">
        <f>COUNTIF(LOB2FocusAreas_DecR2,adj!$B376)*L376</f>
        <v>0</v>
      </c>
      <c r="G376" s="156"/>
      <c r="J376" s="154">
        <v>0</v>
      </c>
      <c r="K376" s="429">
        <f t="shared" si="30"/>
        <v>0.03</v>
      </c>
      <c r="L376" s="429">
        <f t="shared" si="30"/>
        <v>0.03</v>
      </c>
      <c r="M376" s="8" t="s">
        <v>2926</v>
      </c>
    </row>
    <row r="377" spans="1:14">
      <c r="A377" s="478"/>
      <c r="B377" s="426">
        <v>4</v>
      </c>
      <c r="C377" s="431" t="s">
        <v>3228</v>
      </c>
      <c r="D377" s="436" t="str">
        <f>VLOOKUP(C377,param!$A$18:$B$220,2,FALSE)</f>
        <v>LOB2 - Referrals Satisfaction</v>
      </c>
      <c r="E377" s="437">
        <f>COUNTIF(LOB2FocusAreas_DecR1,adj!$B377)*K377</f>
        <v>0</v>
      </c>
      <c r="F377" s="437">
        <f>COUNTIF(LOB2FocusAreas_DecR2,adj!$B377)*L377</f>
        <v>0</v>
      </c>
      <c r="G377" s="156"/>
      <c r="H377" s="153"/>
      <c r="I377" s="153"/>
      <c r="J377" s="154">
        <v>0</v>
      </c>
      <c r="K377" s="429">
        <f t="shared" si="30"/>
        <v>0.02</v>
      </c>
      <c r="L377" s="429">
        <f t="shared" si="30"/>
        <v>0.02</v>
      </c>
      <c r="M377" s="8" t="s">
        <v>2927</v>
      </c>
    </row>
    <row r="378" spans="1:14">
      <c r="A378" s="478"/>
      <c r="B378" s="426">
        <v>4</v>
      </c>
      <c r="C378" s="431" t="s">
        <v>3234</v>
      </c>
      <c r="D378" s="436" t="str">
        <f>VLOOKUP(C378,param!$A$18:$B$220,2,FALSE)</f>
        <v>LOB2 - Employee Engagment</v>
      </c>
      <c r="E378" s="437">
        <f>COUNTIF(LOB2FocusAreas_DecR1,adj!$B378)*K378</f>
        <v>0</v>
      </c>
      <c r="F378" s="437">
        <f>COUNTIF(LOB2FocusAreas_DecR2,adj!$B378)*L378</f>
        <v>0</v>
      </c>
      <c r="G378" s="156"/>
      <c r="H378" s="153"/>
      <c r="I378" s="153"/>
      <c r="J378" s="154">
        <v>0</v>
      </c>
      <c r="K378" s="429">
        <f t="shared" si="30"/>
        <v>0.01</v>
      </c>
      <c r="L378" s="429">
        <f t="shared" si="30"/>
        <v>0.01</v>
      </c>
      <c r="M378" s="8" t="s">
        <v>4357</v>
      </c>
    </row>
    <row r="379" spans="1:14">
      <c r="A379" s="478"/>
      <c r="B379" s="426">
        <v>4</v>
      </c>
      <c r="C379" s="431" t="s">
        <v>3243</v>
      </c>
      <c r="D379" s="436" t="str">
        <f>VLOOKUP(C379,param!$A$18:$B$220,2,FALSE)</f>
        <v>LOB2 - Clinician Admin Time</v>
      </c>
      <c r="E379" s="437">
        <f>COUNTIF(LOB2FocusAreas_DecR1,adj!$B379)*K379</f>
        <v>0</v>
      </c>
      <c r="F379" s="437">
        <f>COUNTIF(LOB2FocusAreas_DecR2,adj!$B379)*L379</f>
        <v>0</v>
      </c>
      <c r="G379" s="156"/>
      <c r="H379" s="153"/>
      <c r="I379" s="153"/>
      <c r="J379" s="154">
        <v>0</v>
      </c>
      <c r="K379" s="429">
        <f t="shared" si="30"/>
        <v>0.05</v>
      </c>
      <c r="L379" s="429">
        <f t="shared" si="30"/>
        <v>0.05</v>
      </c>
      <c r="M379" s="8" t="s">
        <v>2930</v>
      </c>
      <c r="N379" s="167" t="s">
        <v>4356</v>
      </c>
    </row>
    <row r="380" spans="1:14">
      <c r="A380" s="478"/>
      <c r="B380" s="426">
        <v>4</v>
      </c>
      <c r="C380" s="431" t="s">
        <v>3243</v>
      </c>
      <c r="D380" s="436" t="str">
        <f>VLOOKUP(C380,param!$A$18:$B$220,2,FALSE)</f>
        <v>LOB2 - Clinician Admin Time</v>
      </c>
      <c r="E380" s="437">
        <f>COUNTIF(LOB2FocusAreas_DecR1,adj!$B380)*K380</f>
        <v>0</v>
      </c>
      <c r="F380" s="437">
        <f>COUNTIF(LOB2FocusAreas_DecR2,adj!$B380)*L380</f>
        <v>0</v>
      </c>
      <c r="G380" s="156"/>
      <c r="H380" s="153"/>
      <c r="I380" s="153"/>
      <c r="J380" s="154">
        <v>0</v>
      </c>
      <c r="K380" s="429">
        <f t="shared" si="30"/>
        <v>0.05</v>
      </c>
      <c r="L380" s="429">
        <f t="shared" si="30"/>
        <v>0.05</v>
      </c>
      <c r="M380" s="8" t="s">
        <v>2930</v>
      </c>
      <c r="N380" s="167" t="s">
        <v>4356</v>
      </c>
    </row>
    <row r="381" spans="1:14">
      <c r="A381" s="478"/>
      <c r="B381" s="426">
        <v>4</v>
      </c>
      <c r="C381" s="431" t="s">
        <v>3246</v>
      </c>
      <c r="D381" s="436" t="str">
        <f>VLOOKUP(C381,param!$A$18:$B$220,2,FALSE)</f>
        <v>LOB2 - Clinician Meetings</v>
      </c>
      <c r="E381" s="437">
        <f>COUNTIF(LOB2FocusAreas_DecR1,adj!$B381)*K381</f>
        <v>0</v>
      </c>
      <c r="F381" s="437">
        <f>COUNTIF(LOB2FocusAreas_DecR2,adj!$B381)*L381</f>
        <v>0</v>
      </c>
      <c r="G381" s="156"/>
      <c r="H381" s="153"/>
      <c r="I381" s="153"/>
      <c r="J381" s="154">
        <v>0</v>
      </c>
      <c r="K381" s="429">
        <f>-1*VLOOKUP($M381,$O$189:$P$193,2,FALSE)</f>
        <v>-0.03</v>
      </c>
      <c r="L381" s="429">
        <f>-1*VLOOKUP($M381,$O$189:$P$193,2,FALSE)</f>
        <v>-0.03</v>
      </c>
      <c r="M381" s="8" t="s">
        <v>2926</v>
      </c>
    </row>
    <row r="382" spans="1:14">
      <c r="A382" s="478"/>
      <c r="C382" s="157"/>
      <c r="D382" s="438"/>
      <c r="E382" s="433"/>
      <c r="F382" s="433"/>
    </row>
    <row r="383" spans="1:14" ht="10.5">
      <c r="A383" s="478"/>
      <c r="B383" s="426">
        <v>5</v>
      </c>
      <c r="C383" s="427" t="s">
        <v>2933</v>
      </c>
      <c r="D383" s="436"/>
      <c r="E383" s="435"/>
      <c r="F383" s="435"/>
      <c r="G383" s="149"/>
    </row>
    <row r="384" spans="1:14">
      <c r="A384" s="478"/>
      <c r="B384" s="426">
        <v>5</v>
      </c>
      <c r="C384" s="431" t="s">
        <v>3222</v>
      </c>
      <c r="D384" s="436" t="str">
        <f>VLOOKUP(C384,param!$A$18:$B$220,2,FALSE)</f>
        <v>LOB2 - Referrals Time</v>
      </c>
      <c r="E384" s="437">
        <f>COUNTIF(LOB2FocusAreas_DecR1,adj!$B384)*K384</f>
        <v>0</v>
      </c>
      <c r="F384" s="437">
        <f>COUNTIF(LOB2FocusAreas_DecR2,adj!$B384)*L384</f>
        <v>0</v>
      </c>
      <c r="G384" s="156"/>
      <c r="H384" s="153"/>
      <c r="I384" s="153"/>
      <c r="J384" s="154">
        <v>0</v>
      </c>
      <c r="K384" s="429">
        <f t="shared" ref="K384:L386" si="31">VLOOKUP($M384,$O$189:$P$193,2,FALSE)</f>
        <v>0.03</v>
      </c>
      <c r="L384" s="429">
        <f t="shared" si="31"/>
        <v>0.03</v>
      </c>
      <c r="M384" s="8" t="s">
        <v>2926</v>
      </c>
    </row>
    <row r="385" spans="1:13">
      <c r="A385" s="478"/>
      <c r="B385" s="426">
        <v>5</v>
      </c>
      <c r="C385" s="431" t="s">
        <v>3225</v>
      </c>
      <c r="D385" s="436" t="str">
        <f>VLOOKUP(C385,param!$A$18:$B$220,2,FALSE)</f>
        <v>LOB2 - Referrals Volume</v>
      </c>
      <c r="E385" s="437">
        <f>COUNTIF(LOB2FocusAreas_DecR1,adj!$B385)*K385</f>
        <v>0</v>
      </c>
      <c r="F385" s="437">
        <f>COUNTIF(LOB2FocusAreas_DecR2,adj!$B385)*L385</f>
        <v>0</v>
      </c>
      <c r="G385" s="156"/>
      <c r="J385" s="154">
        <v>0</v>
      </c>
      <c r="K385" s="429">
        <f t="shared" si="31"/>
        <v>0.02</v>
      </c>
      <c r="L385" s="429">
        <f t="shared" si="31"/>
        <v>0.02</v>
      </c>
      <c r="M385" s="8" t="s">
        <v>2927</v>
      </c>
    </row>
    <row r="386" spans="1:13">
      <c r="A386" s="478"/>
      <c r="B386" s="426">
        <v>5</v>
      </c>
      <c r="C386" s="431" t="s">
        <v>3228</v>
      </c>
      <c r="D386" s="436" t="str">
        <f>VLOOKUP(C386,param!$A$18:$B$220,2,FALSE)</f>
        <v>LOB2 - Referrals Satisfaction</v>
      </c>
      <c r="E386" s="437">
        <f>COUNTIF(LOB2FocusAreas_DecR1,adj!$B386)*K386</f>
        <v>0</v>
      </c>
      <c r="F386" s="437">
        <f>COUNTIF(LOB2FocusAreas_DecR2,adj!$B386)*L386</f>
        <v>0</v>
      </c>
      <c r="G386" s="156"/>
      <c r="H386" s="153"/>
      <c r="I386" s="153"/>
      <c r="J386" s="154">
        <v>0</v>
      </c>
      <c r="K386" s="429">
        <f t="shared" si="31"/>
        <v>0.01</v>
      </c>
      <c r="L386" s="429">
        <f t="shared" si="31"/>
        <v>0.01</v>
      </c>
      <c r="M386" s="8" t="s">
        <v>2929</v>
      </c>
    </row>
    <row r="387" spans="1:13">
      <c r="A387" s="478"/>
      <c r="C387" s="157"/>
      <c r="D387" s="438"/>
      <c r="E387" s="433"/>
      <c r="F387" s="433"/>
    </row>
    <row r="388" spans="1:13" ht="10.5">
      <c r="A388" s="478"/>
      <c r="B388" s="426">
        <v>6</v>
      </c>
      <c r="C388" s="427" t="s">
        <v>2934</v>
      </c>
      <c r="D388" s="436"/>
      <c r="E388" s="435"/>
      <c r="F388" s="435"/>
      <c r="G388" s="149"/>
    </row>
    <row r="389" spans="1:13">
      <c r="A389" s="478"/>
      <c r="B389" s="426">
        <v>6</v>
      </c>
      <c r="C389" s="431" t="s">
        <v>3222</v>
      </c>
      <c r="D389" s="436" t="str">
        <f>VLOOKUP(C389,param!$A$18:$B$220,2,FALSE)</f>
        <v>LOB2 - Referrals Time</v>
      </c>
      <c r="E389" s="437">
        <f>COUNTIF(LOB2FocusAreas_DecR1,adj!$B389)*K389</f>
        <v>0</v>
      </c>
      <c r="F389" s="437">
        <f>COUNTIF(LOB2FocusAreas_DecR2,adj!$B389)*L389</f>
        <v>0</v>
      </c>
      <c r="G389" s="156"/>
      <c r="H389" s="153"/>
      <c r="I389" s="153"/>
      <c r="J389" s="154">
        <v>0</v>
      </c>
      <c r="K389" s="429">
        <f t="shared" ref="K389:L391" si="32">VLOOKUP($M389,$O$189:$P$193,2,FALSE)</f>
        <v>0.03</v>
      </c>
      <c r="L389" s="429">
        <f t="shared" si="32"/>
        <v>0.03</v>
      </c>
      <c r="M389" s="8" t="s">
        <v>2926</v>
      </c>
    </row>
    <row r="390" spans="1:13">
      <c r="A390" s="478"/>
      <c r="B390" s="426">
        <v>6</v>
      </c>
      <c r="C390" s="431" t="s">
        <v>3225</v>
      </c>
      <c r="D390" s="436" t="str">
        <f>VLOOKUP(C390,param!$A$18:$B$220,2,FALSE)</f>
        <v>LOB2 - Referrals Volume</v>
      </c>
      <c r="E390" s="437">
        <f>COUNTIF(LOB2FocusAreas_DecR1,adj!$B390)*K390</f>
        <v>0</v>
      </c>
      <c r="F390" s="437">
        <f>COUNTIF(LOB2FocusAreas_DecR2,adj!$B390)*L390</f>
        <v>0</v>
      </c>
      <c r="G390" s="156"/>
      <c r="J390" s="154">
        <v>0</v>
      </c>
      <c r="K390" s="429">
        <f t="shared" si="32"/>
        <v>0.03</v>
      </c>
      <c r="L390" s="429">
        <f t="shared" si="32"/>
        <v>0.03</v>
      </c>
      <c r="M390" s="8" t="s">
        <v>2926</v>
      </c>
    </row>
    <row r="391" spans="1:13">
      <c r="A391" s="478"/>
      <c r="B391" s="426">
        <v>6</v>
      </c>
      <c r="C391" s="431" t="s">
        <v>3228</v>
      </c>
      <c r="D391" s="436" t="str">
        <f>VLOOKUP(C391,param!$A$18:$B$220,2,FALSE)</f>
        <v>LOB2 - Referrals Satisfaction</v>
      </c>
      <c r="E391" s="437">
        <f>COUNTIF(LOB2FocusAreas_DecR1,adj!$B391)*K391</f>
        <v>0</v>
      </c>
      <c r="F391" s="437">
        <f>COUNTIF(LOB2FocusAreas_DecR2,adj!$B391)*L391</f>
        <v>0</v>
      </c>
      <c r="G391" s="156"/>
      <c r="H391" s="153"/>
      <c r="I391" s="153"/>
      <c r="J391" s="154">
        <v>0</v>
      </c>
      <c r="K391" s="429">
        <f t="shared" si="32"/>
        <v>0.03</v>
      </c>
      <c r="L391" s="429">
        <f t="shared" si="32"/>
        <v>0.03</v>
      </c>
      <c r="M391" s="8" t="s">
        <v>2926</v>
      </c>
    </row>
    <row r="392" spans="1:13">
      <c r="A392" s="478"/>
      <c r="C392" s="157"/>
      <c r="D392" s="438"/>
      <c r="E392" s="433"/>
      <c r="F392" s="433"/>
    </row>
    <row r="393" spans="1:13" ht="10.5">
      <c r="A393" s="478"/>
      <c r="B393" s="426">
        <v>7</v>
      </c>
      <c r="C393" s="427" t="s">
        <v>3991</v>
      </c>
      <c r="D393" s="436"/>
      <c r="E393" s="435"/>
      <c r="F393" s="435"/>
      <c r="G393" s="149"/>
    </row>
    <row r="394" spans="1:13">
      <c r="A394" s="478"/>
      <c r="B394" s="426">
        <v>7</v>
      </c>
      <c r="C394" s="431" t="s">
        <v>3210</v>
      </c>
      <c r="D394" s="436" t="str">
        <f>VLOOKUP(C394,param!$A$18:$B$220,2,FALSE)</f>
        <v>LOB2 - Recruitment Time</v>
      </c>
      <c r="E394" s="437">
        <f>COUNTIF(LOB2FocusAreas_DecR1,adj!$B394)*K394</f>
        <v>0</v>
      </c>
      <c r="F394" s="437">
        <f>COUNTIF(LOB2FocusAreas_DecR2,adj!$B394)*L394</f>
        <v>0</v>
      </c>
      <c r="G394" s="156"/>
      <c r="H394" s="153"/>
      <c r="I394" s="153"/>
      <c r="J394" s="154">
        <v>0</v>
      </c>
      <c r="K394" s="429">
        <f t="shared" ref="K394:L394" si="33">VLOOKUP($M394,$O$189:$P$193,2,FALSE)</f>
        <v>0.03</v>
      </c>
      <c r="L394" s="429">
        <f t="shared" si="33"/>
        <v>0.03</v>
      </c>
      <c r="M394" s="8" t="s">
        <v>2926</v>
      </c>
    </row>
    <row r="395" spans="1:13">
      <c r="A395" s="478"/>
      <c r="B395" s="426">
        <v>7</v>
      </c>
      <c r="C395" s="431" t="s">
        <v>4185</v>
      </c>
      <c r="D395" s="436" t="str">
        <f>VLOOKUP(C395,param!$A$18:$B$220,2,FALSE)</f>
        <v>LOB2-Clinician Recruitment</v>
      </c>
      <c r="E395" s="437">
        <f>COUNTIF(LOB2FocusAreas_DecR1,adj!$B395)*K395</f>
        <v>0</v>
      </c>
      <c r="F395" s="437">
        <f>COUNTIF(LOB2FocusAreas_DecR2,adj!$B395)*L395</f>
        <v>0</v>
      </c>
      <c r="G395" s="156"/>
      <c r="J395" s="154">
        <v>0</v>
      </c>
      <c r="K395" s="429">
        <v>0.25</v>
      </c>
      <c r="L395" s="429">
        <v>0.25</v>
      </c>
      <c r="M395" s="8"/>
    </row>
    <row r="396" spans="1:13">
      <c r="A396" s="478"/>
      <c r="C396" s="157"/>
      <c r="D396" s="438"/>
      <c r="E396" s="433"/>
      <c r="F396" s="433"/>
    </row>
    <row r="397" spans="1:13" ht="10.5">
      <c r="A397" s="478"/>
      <c r="B397" s="426">
        <v>8</v>
      </c>
      <c r="C397" s="427" t="s">
        <v>702</v>
      </c>
      <c r="D397" s="436"/>
      <c r="E397" s="435"/>
      <c r="F397" s="435"/>
      <c r="G397" s="149"/>
    </row>
    <row r="398" spans="1:13">
      <c r="A398" s="478"/>
      <c r="B398" s="426">
        <v>8</v>
      </c>
      <c r="C398" s="431" t="s">
        <v>3213</v>
      </c>
      <c r="D398" s="436" t="str">
        <f>VLOOKUP(C398,param!$A$18:$B$220,2,FALSE)</f>
        <v>LOB2 - People Development Time</v>
      </c>
      <c r="E398" s="437">
        <f>COUNTIF(LOB2FocusAreas_DecR1,adj!$B398)*K398</f>
        <v>0</v>
      </c>
      <c r="F398" s="437">
        <f>COUNTIF(LOB2FocusAreas_DecR2,adj!$B398)*L398</f>
        <v>0</v>
      </c>
      <c r="G398" s="156"/>
      <c r="H398" s="153"/>
      <c r="I398" s="153"/>
      <c r="J398" s="154">
        <v>0</v>
      </c>
      <c r="K398" s="429">
        <f t="shared" ref="K398:L404" si="34">VLOOKUP($M398,$O$189:$P$193,2,FALSE)</f>
        <v>0.03</v>
      </c>
      <c r="L398" s="429">
        <f t="shared" si="34"/>
        <v>0.03</v>
      </c>
      <c r="M398" s="8" t="s">
        <v>2926</v>
      </c>
    </row>
    <row r="399" spans="1:13">
      <c r="A399" s="478"/>
      <c r="B399" s="426">
        <v>8</v>
      </c>
      <c r="C399" s="431" t="s">
        <v>3216</v>
      </c>
      <c r="D399" s="436" t="str">
        <f>VLOOKUP(C399,param!$A$18:$B$220,2,FALSE)</f>
        <v>LOB2 - Operations Time</v>
      </c>
      <c r="E399" s="437">
        <f>COUNTIF(LOB2FocusAreas_DecR1,adj!$B399)*K399</f>
        <v>0</v>
      </c>
      <c r="F399" s="437">
        <f>COUNTIF(LOB2FocusAreas_DecR2,adj!$B399)*L399</f>
        <v>0</v>
      </c>
      <c r="G399" s="156"/>
      <c r="J399" s="154">
        <v>0</v>
      </c>
      <c r="K399" s="429">
        <f t="shared" si="34"/>
        <v>0.02</v>
      </c>
      <c r="L399" s="429">
        <f t="shared" si="34"/>
        <v>0.02</v>
      </c>
      <c r="M399" s="8" t="s">
        <v>2927</v>
      </c>
    </row>
    <row r="400" spans="1:13">
      <c r="A400" s="478"/>
      <c r="B400" s="426">
        <v>8</v>
      </c>
      <c r="C400" s="431" t="s">
        <v>3234</v>
      </c>
      <c r="D400" s="436" t="str">
        <f>VLOOKUP(C400,param!$A$18:$B$220,2,FALSE)</f>
        <v>LOB2 - Employee Engagment</v>
      </c>
      <c r="E400" s="437">
        <f>COUNTIF(LOB2FocusAreas_DecR1,adj!$B400)*K400</f>
        <v>0</v>
      </c>
      <c r="F400" s="437">
        <f>COUNTIF(LOB2FocusAreas_DecR2,adj!$B400)*L400</f>
        <v>0</v>
      </c>
      <c r="G400" s="156"/>
      <c r="H400" s="153"/>
      <c r="I400" s="153"/>
      <c r="J400" s="154">
        <v>0</v>
      </c>
      <c r="K400" s="429">
        <f t="shared" si="34"/>
        <v>0.03</v>
      </c>
      <c r="L400" s="429">
        <f t="shared" si="34"/>
        <v>0.03</v>
      </c>
      <c r="M400" s="8" t="s">
        <v>2926</v>
      </c>
    </row>
    <row r="401" spans="1:13">
      <c r="A401" s="478"/>
      <c r="B401" s="426">
        <v>8</v>
      </c>
      <c r="C401" s="431" t="s">
        <v>3240</v>
      </c>
      <c r="D401" s="436" t="str">
        <f>VLOOKUP(C401,param!$A$18:$B$220,2,FALSE)</f>
        <v>LOB2 - Employee Productivity</v>
      </c>
      <c r="E401" s="437">
        <f>COUNTIF(LOB2FocusAreas_DecR1,adj!$B401)*K401</f>
        <v>0</v>
      </c>
      <c r="F401" s="437">
        <f>COUNTIF(LOB2FocusAreas_DecR2,adj!$B401)*L401</f>
        <v>0</v>
      </c>
      <c r="G401" s="156"/>
      <c r="J401" s="154">
        <v>0</v>
      </c>
      <c r="K401" s="429">
        <f t="shared" si="34"/>
        <v>0.03</v>
      </c>
      <c r="L401" s="429">
        <f t="shared" si="34"/>
        <v>0.03</v>
      </c>
      <c r="M401" s="8" t="s">
        <v>2926</v>
      </c>
    </row>
    <row r="402" spans="1:13">
      <c r="A402" s="478"/>
      <c r="B402" s="426">
        <v>8</v>
      </c>
      <c r="C402" s="431" t="s">
        <v>3243</v>
      </c>
      <c r="D402" s="436" t="str">
        <f>VLOOKUP(C402,param!$A$18:$B$220,2,FALSE)</f>
        <v>LOB2 - Clinician Admin Time</v>
      </c>
      <c r="E402" s="437">
        <f>COUNTIF(LOB2FocusAreas_DecR1,adj!$B402)*K402</f>
        <v>0</v>
      </c>
      <c r="F402" s="437">
        <f>COUNTIF(LOB2FocusAreas_DecR2,adj!$B402)*L402</f>
        <v>0</v>
      </c>
      <c r="G402" s="156"/>
      <c r="H402" s="153"/>
      <c r="I402" s="153"/>
      <c r="J402" s="154">
        <v>0</v>
      </c>
      <c r="K402" s="429">
        <f>-1*VLOOKUP($M402,$O$189:$P$193,2,FALSE)</f>
        <v>-0.03</v>
      </c>
      <c r="L402" s="429">
        <f>-1*VLOOKUP($M402,$O$189:$P$193,2,FALSE)</f>
        <v>-0.03</v>
      </c>
      <c r="M402" s="8" t="s">
        <v>2926</v>
      </c>
    </row>
    <row r="403" spans="1:13">
      <c r="A403" s="478"/>
      <c r="B403" s="426">
        <v>8</v>
      </c>
      <c r="C403" s="431" t="s">
        <v>3246</v>
      </c>
      <c r="D403" s="436" t="str">
        <f>VLOOKUP(C403,param!$A$18:$B$220,2,FALSE)</f>
        <v>LOB2 - Clinician Meetings</v>
      </c>
      <c r="E403" s="437">
        <f>COUNTIF(LOB2FocusAreas_DecR1,adj!$B403)*K403</f>
        <v>0</v>
      </c>
      <c r="F403" s="437">
        <f>COUNTIF(LOB2FocusAreas_DecR2,adj!$B403)*L403</f>
        <v>0</v>
      </c>
      <c r="G403" s="156"/>
      <c r="H403" s="153"/>
      <c r="I403" s="153"/>
      <c r="J403" s="154">
        <v>0</v>
      </c>
      <c r="K403" s="429">
        <f t="shared" si="34"/>
        <v>0.02</v>
      </c>
      <c r="L403" s="429">
        <f t="shared" si="34"/>
        <v>0.02</v>
      </c>
      <c r="M403" s="8" t="s">
        <v>2927</v>
      </c>
    </row>
    <row r="404" spans="1:13">
      <c r="A404" s="478"/>
      <c r="B404" s="426">
        <v>8</v>
      </c>
      <c r="C404" s="431" t="s">
        <v>3249</v>
      </c>
      <c r="D404" s="436" t="str">
        <f>VLOOKUP(C404,param!$A$18:$B$220,2,FALSE)</f>
        <v>LOB2 - Clinical Quality</v>
      </c>
      <c r="E404" s="437">
        <f>COUNTIF(LOB2FocusAreas_DecR1,adj!$B404)*K404</f>
        <v>0</v>
      </c>
      <c r="F404" s="437">
        <f>COUNTIF(LOB2FocusAreas_DecR2,adj!$B404)*L404</f>
        <v>0</v>
      </c>
      <c r="G404" s="156"/>
      <c r="H404" s="153"/>
      <c r="I404" s="153"/>
      <c r="J404" s="154">
        <v>0</v>
      </c>
      <c r="K404" s="429">
        <f t="shared" si="34"/>
        <v>0.02</v>
      </c>
      <c r="L404" s="429">
        <f t="shared" si="34"/>
        <v>0.02</v>
      </c>
      <c r="M404" s="8" t="s">
        <v>2927</v>
      </c>
    </row>
    <row r="405" spans="1:13">
      <c r="A405" s="478"/>
      <c r="C405" s="157"/>
      <c r="D405" s="438"/>
      <c r="E405" s="433"/>
      <c r="F405" s="433"/>
    </row>
    <row r="406" spans="1:13" ht="10.5">
      <c r="A406" s="478"/>
      <c r="B406" s="426">
        <v>9</v>
      </c>
      <c r="C406" s="427" t="s">
        <v>4585</v>
      </c>
      <c r="D406" s="436"/>
      <c r="E406" s="435"/>
      <c r="F406" s="435"/>
      <c r="G406" s="149"/>
    </row>
    <row r="407" spans="1:13">
      <c r="A407" s="478"/>
      <c r="B407" s="426">
        <v>9</v>
      </c>
      <c r="C407" s="431" t="s">
        <v>3213</v>
      </c>
      <c r="D407" s="436" t="str">
        <f>VLOOKUP(C407,param!$A$18:$B$220,2,FALSE)</f>
        <v>LOB2 - People Development Time</v>
      </c>
      <c r="E407" s="588">
        <f>COUNTIF(LOB2FocusAreas_DecR1,adj!$B407)*K407*(1+COUNTIF(LOB2FocusAreas_DecR1,adj!$B398)*0.5)</f>
        <v>0</v>
      </c>
      <c r="F407" s="588">
        <f>COUNTIF(LOB2FocusAreas_DecR2,adj!$B407)*L407*(1+COUNTIF(LOB2FocusAreas_DecR2,adj!$B398)*0.5)</f>
        <v>0</v>
      </c>
      <c r="G407" s="156"/>
      <c r="H407" s="153"/>
      <c r="I407" s="153"/>
      <c r="J407" s="154">
        <v>0</v>
      </c>
      <c r="K407" s="429">
        <f t="shared" ref="K407:L413" si="35">VLOOKUP($M407,$O$189:$P$193,2,FALSE)</f>
        <v>0.04</v>
      </c>
      <c r="L407" s="429">
        <f t="shared" si="35"/>
        <v>0.04</v>
      </c>
      <c r="M407" s="8" t="s">
        <v>2925</v>
      </c>
    </row>
    <row r="408" spans="1:13">
      <c r="A408" s="478"/>
      <c r="B408" s="426">
        <v>9</v>
      </c>
      <c r="C408" s="431" t="s">
        <v>3216</v>
      </c>
      <c r="D408" s="436" t="str">
        <f>VLOOKUP(C408,param!$A$18:$B$220,2,FALSE)</f>
        <v>LOB2 - Operations Time</v>
      </c>
      <c r="E408" s="588">
        <f>COUNTIF(LOB2FocusAreas_DecR1,adj!$B408)*K408*(1+COUNTIF(LOB2FocusAreas_DecR1,adj!$B399)*0.5)</f>
        <v>0</v>
      </c>
      <c r="F408" s="588">
        <f>COUNTIF(LOB2FocusAreas_DecR2,adj!$B408)*L408*(1+COUNTIF(LOB2FocusAreas_DecR2,adj!$B399)*0.5)</f>
        <v>0</v>
      </c>
      <c r="G408" s="156"/>
      <c r="J408" s="154">
        <v>0</v>
      </c>
      <c r="K408" s="429">
        <f t="shared" si="35"/>
        <v>0.02</v>
      </c>
      <c r="L408" s="429">
        <f t="shared" si="35"/>
        <v>0.02</v>
      </c>
      <c r="M408" s="8" t="s">
        <v>2927</v>
      </c>
    </row>
    <row r="409" spans="1:13">
      <c r="A409" s="478"/>
      <c r="B409" s="426">
        <v>9</v>
      </c>
      <c r="C409" s="431" t="s">
        <v>3234</v>
      </c>
      <c r="D409" s="436" t="str">
        <f>VLOOKUP(C409,param!$A$18:$B$220,2,FALSE)</f>
        <v>LOB2 - Employee Engagment</v>
      </c>
      <c r="E409" s="588">
        <f>COUNTIF(LOB2FocusAreas_DecR1,adj!$B409)*K409*(1+COUNTIF(LOB2FocusAreas_DecR1,adj!$B400)*0.5)</f>
        <v>0</v>
      </c>
      <c r="F409" s="588">
        <f>COUNTIF(LOB2FocusAreas_DecR2,adj!$B409)*L409*(1+COUNTIF(LOB2FocusAreas_DecR2,adj!$B400)*0.5)</f>
        <v>0</v>
      </c>
      <c r="G409" s="156"/>
      <c r="H409" s="153"/>
      <c r="I409" s="153"/>
      <c r="J409" s="154">
        <v>0</v>
      </c>
      <c r="K409" s="429">
        <f t="shared" si="35"/>
        <v>0.02</v>
      </c>
      <c r="L409" s="429">
        <f t="shared" si="35"/>
        <v>0.02</v>
      </c>
      <c r="M409" s="8" t="s">
        <v>2927</v>
      </c>
    </row>
    <row r="410" spans="1:13">
      <c r="A410" s="478"/>
      <c r="B410" s="426">
        <v>9</v>
      </c>
      <c r="C410" s="431" t="s">
        <v>3240</v>
      </c>
      <c r="D410" s="436" t="str">
        <f>VLOOKUP(C410,param!$A$18:$B$220,2,FALSE)</f>
        <v>LOB2 - Employee Productivity</v>
      </c>
      <c r="E410" s="588">
        <f>COUNTIF(LOB2FocusAreas_DecR1,adj!$B410)*K410*(1+COUNTIF(LOB2FocusAreas_DecR1,adj!$B401)*0.5)</f>
        <v>0</v>
      </c>
      <c r="F410" s="588">
        <f>COUNTIF(LOB2FocusAreas_DecR2,adj!$B410)*L410*(1+COUNTIF(LOB2FocusAreas_DecR2,adj!$B401)*0.5)</f>
        <v>0</v>
      </c>
      <c r="G410" s="156"/>
      <c r="J410" s="154">
        <v>0</v>
      </c>
      <c r="K410" s="429">
        <f t="shared" si="35"/>
        <v>0.03</v>
      </c>
      <c r="L410" s="429">
        <f t="shared" si="35"/>
        <v>0.03</v>
      </c>
      <c r="M410" s="8" t="s">
        <v>2926</v>
      </c>
    </row>
    <row r="411" spans="1:13">
      <c r="A411" s="478"/>
      <c r="B411" s="426">
        <v>9</v>
      </c>
      <c r="C411" s="431" t="s">
        <v>3243</v>
      </c>
      <c r="D411" s="436" t="str">
        <f>VLOOKUP(C411,param!$A$18:$B$220,2,FALSE)</f>
        <v>LOB2 - Clinician Admin Time</v>
      </c>
      <c r="E411" s="588">
        <f>COUNTIF(LOB2FocusAreas_DecR1,adj!$B411)*K411*(1+COUNTIF(LOB2FocusAreas_DecR1,adj!$B402)*0.5)</f>
        <v>0</v>
      </c>
      <c r="F411" s="588">
        <f>COUNTIF(LOB2FocusAreas_DecR2,adj!$B411)*L411*(1+COUNTIF(LOB2FocusAreas_DecR2,adj!$B402)*0.5)</f>
        <v>0</v>
      </c>
      <c r="G411" s="156"/>
      <c r="H411" s="153"/>
      <c r="I411" s="153"/>
      <c r="J411" s="154">
        <v>0</v>
      </c>
      <c r="K411" s="429">
        <f>-1*VLOOKUP($M411,$O$189:$P$193,2,FALSE)</f>
        <v>-0.03</v>
      </c>
      <c r="L411" s="429">
        <f>-1*VLOOKUP($M411,$O$189:$P$193,2,FALSE)</f>
        <v>-0.03</v>
      </c>
      <c r="M411" s="8" t="s">
        <v>2926</v>
      </c>
    </row>
    <row r="412" spans="1:13">
      <c r="A412" s="478"/>
      <c r="B412" s="426">
        <v>9</v>
      </c>
      <c r="C412" s="431" t="s">
        <v>3246</v>
      </c>
      <c r="D412" s="436" t="str">
        <f>VLOOKUP(C412,param!$A$18:$B$220,2,FALSE)</f>
        <v>LOB2 - Clinician Meetings</v>
      </c>
      <c r="E412" s="588">
        <f>COUNTIF(LOB2FocusAreas_DecR1,adj!$B412)*K412*(1+COUNTIF(LOB2FocusAreas_DecR1,adj!$B403)*0.5)</f>
        <v>0</v>
      </c>
      <c r="F412" s="588">
        <f>COUNTIF(LOB2FocusAreas_DecR2,adj!$B412)*L412*(1+COUNTIF(LOB2FocusAreas_DecR2,adj!$B403)*0.5)</f>
        <v>0</v>
      </c>
      <c r="G412" s="156"/>
      <c r="H412" s="153"/>
      <c r="I412" s="153"/>
      <c r="J412" s="154">
        <v>0</v>
      </c>
      <c r="K412" s="429">
        <f t="shared" si="35"/>
        <v>0.03</v>
      </c>
      <c r="L412" s="429">
        <f t="shared" si="35"/>
        <v>0.03</v>
      </c>
      <c r="M412" s="8" t="s">
        <v>2926</v>
      </c>
    </row>
    <row r="413" spans="1:13">
      <c r="A413" s="478"/>
      <c r="B413" s="426">
        <v>9</v>
      </c>
      <c r="C413" s="431" t="s">
        <v>3249</v>
      </c>
      <c r="D413" s="436" t="str">
        <f>VLOOKUP(C413,param!$A$18:$B$220,2,FALSE)</f>
        <v>LOB2 - Clinical Quality</v>
      </c>
      <c r="E413" s="588">
        <f>COUNTIF(LOB2FocusAreas_DecR1,adj!$B413)*K413*(1+COUNTIF(LOB2FocusAreas_DecR1,adj!$B404)*0.5)</f>
        <v>0</v>
      </c>
      <c r="F413" s="588">
        <f>COUNTIF(LOB2FocusAreas_DecR2,adj!$B413)*L413*(1+COUNTIF(LOB2FocusAreas_DecR2,adj!$B404)*0.5)</f>
        <v>0</v>
      </c>
      <c r="G413" s="156"/>
      <c r="H413" s="153"/>
      <c r="I413" s="153"/>
      <c r="J413" s="154">
        <v>0</v>
      </c>
      <c r="K413" s="429">
        <f t="shared" si="35"/>
        <v>0.03</v>
      </c>
      <c r="L413" s="429">
        <f t="shared" si="35"/>
        <v>0.03</v>
      </c>
      <c r="M413" s="8" t="s">
        <v>2926</v>
      </c>
    </row>
    <row r="414" spans="1:13">
      <c r="A414" s="478"/>
      <c r="C414" s="157"/>
      <c r="D414" s="438"/>
      <c r="E414" s="433"/>
      <c r="F414" s="433"/>
    </row>
    <row r="415" spans="1:13" ht="10.5">
      <c r="A415" s="478"/>
      <c r="B415" s="426">
        <v>10</v>
      </c>
      <c r="C415" s="427" t="s">
        <v>703</v>
      </c>
      <c r="D415" s="436"/>
      <c r="E415" s="435"/>
      <c r="F415" s="435"/>
      <c r="G415" s="149"/>
    </row>
    <row r="416" spans="1:13">
      <c r="A416" s="478"/>
      <c r="B416" s="426">
        <v>10</v>
      </c>
      <c r="C416" s="431" t="s">
        <v>3216</v>
      </c>
      <c r="D416" s="436" t="str">
        <f>VLOOKUP(C416,param!$A$18:$B$220,2,FALSE)</f>
        <v>LOB2 - Operations Time</v>
      </c>
      <c r="E416" s="437">
        <f>COUNTIF(LOB2FocusAreas_DecR1,adj!$B416)*K416</f>
        <v>0</v>
      </c>
      <c r="F416" s="437">
        <f>COUNTIF(LOB2FocusAreas_DecR2,adj!$B416)*L416</f>
        <v>0</v>
      </c>
      <c r="G416" s="156"/>
      <c r="J416" s="154">
        <v>0</v>
      </c>
      <c r="K416" s="429">
        <f t="shared" ref="K416:L421" si="36">VLOOKUP($M416,$O$189:$P$193,2,FALSE)</f>
        <v>0.03</v>
      </c>
      <c r="L416" s="429">
        <f t="shared" si="36"/>
        <v>0.03</v>
      </c>
      <c r="M416" s="8" t="s">
        <v>2926</v>
      </c>
    </row>
    <row r="417" spans="1:13">
      <c r="A417" s="478"/>
      <c r="B417" s="426">
        <v>10</v>
      </c>
      <c r="C417" s="431" t="s">
        <v>3234</v>
      </c>
      <c r="D417" s="436" t="str">
        <f>VLOOKUP(C417,param!$A$18:$B$220,2,FALSE)</f>
        <v>LOB2 - Employee Engagment</v>
      </c>
      <c r="E417" s="437">
        <f>COUNTIF(LOB2FocusAreas_DecR1,adj!$B417)*K417</f>
        <v>0</v>
      </c>
      <c r="F417" s="437">
        <f>COUNTIF(LOB2FocusAreas_DecR2,adj!$B417)*L417</f>
        <v>0</v>
      </c>
      <c r="G417" s="156"/>
      <c r="H417" s="153"/>
      <c r="I417" s="153"/>
      <c r="J417" s="154">
        <v>0</v>
      </c>
      <c r="K417" s="429">
        <f t="shared" si="36"/>
        <v>0.02</v>
      </c>
      <c r="L417" s="429">
        <f t="shared" si="36"/>
        <v>0.02</v>
      </c>
      <c r="M417" s="8" t="s">
        <v>2927</v>
      </c>
    </row>
    <row r="418" spans="1:13">
      <c r="A418" s="478"/>
      <c r="B418" s="426">
        <v>10</v>
      </c>
      <c r="C418" s="431" t="s">
        <v>3240</v>
      </c>
      <c r="D418" s="436" t="str">
        <f>VLOOKUP(C418,param!$A$18:$B$220,2,FALSE)</f>
        <v>LOB2 - Employee Productivity</v>
      </c>
      <c r="E418" s="437">
        <f>COUNTIF(LOB2FocusAreas_DecR1,adj!$B418)*K418</f>
        <v>0</v>
      </c>
      <c r="F418" s="437">
        <f>COUNTIF(LOB2FocusAreas_DecR2,adj!$B418)*L418</f>
        <v>0</v>
      </c>
      <c r="G418" s="156"/>
      <c r="J418" s="154">
        <v>0</v>
      </c>
      <c r="K418" s="429">
        <f t="shared" si="36"/>
        <v>0.04</v>
      </c>
      <c r="L418" s="429">
        <f t="shared" si="36"/>
        <v>0.04</v>
      </c>
      <c r="M418" s="8" t="s">
        <v>2925</v>
      </c>
    </row>
    <row r="419" spans="1:13">
      <c r="A419" s="478"/>
      <c r="B419" s="426">
        <v>10</v>
      </c>
      <c r="C419" s="431" t="s">
        <v>3251</v>
      </c>
      <c r="D419" s="436" t="str">
        <f>VLOOKUP(C419,param!$A$18:$B$220,2,FALSE)</f>
        <v>LOB2 - RN Meetings</v>
      </c>
      <c r="E419" s="437">
        <f>COUNTIF(LOB2FocusAreas_DecR1,adj!$B419)*K419</f>
        <v>0</v>
      </c>
      <c r="F419" s="437">
        <f>COUNTIF(LOB2FocusAreas_DecR2,adj!$B419)*L419</f>
        <v>0</v>
      </c>
      <c r="G419" s="156"/>
      <c r="H419" s="153"/>
      <c r="I419" s="153"/>
      <c r="J419" s="154">
        <v>0</v>
      </c>
      <c r="K419" s="429">
        <f t="shared" si="36"/>
        <v>0.02</v>
      </c>
      <c r="L419" s="429">
        <f t="shared" si="36"/>
        <v>0.02</v>
      </c>
      <c r="M419" s="8" t="s">
        <v>2927</v>
      </c>
    </row>
    <row r="420" spans="1:13">
      <c r="A420" s="478"/>
      <c r="B420" s="426">
        <v>10</v>
      </c>
      <c r="C420" s="431" t="s">
        <v>3253</v>
      </c>
      <c r="D420" s="436" t="str">
        <f>VLOOKUP(C420,param!$A$18:$B$220,2,FALSE)</f>
        <v>LOB2 - LPN Meetings</v>
      </c>
      <c r="E420" s="437">
        <f>COUNTIF(LOB2FocusAreas_DecR1,adj!$B420)*K420</f>
        <v>0</v>
      </c>
      <c r="F420" s="437">
        <f>COUNTIF(LOB2FocusAreas_DecR2,adj!$B420)*L420</f>
        <v>0</v>
      </c>
      <c r="G420" s="156"/>
      <c r="H420" s="153"/>
      <c r="I420" s="153"/>
      <c r="J420" s="154">
        <v>0</v>
      </c>
      <c r="K420" s="429">
        <f t="shared" si="36"/>
        <v>0.04</v>
      </c>
      <c r="L420" s="429">
        <f t="shared" si="36"/>
        <v>0.04</v>
      </c>
      <c r="M420" s="8" t="s">
        <v>2925</v>
      </c>
    </row>
    <row r="421" spans="1:13">
      <c r="A421" s="478"/>
      <c r="B421" s="426">
        <v>10</v>
      </c>
      <c r="C421" s="431" t="s">
        <v>3249</v>
      </c>
      <c r="D421" s="436" t="str">
        <f>VLOOKUP(C421,param!$A$18:$B$220,2,FALSE)</f>
        <v>LOB2 - Clinical Quality</v>
      </c>
      <c r="E421" s="437">
        <f>COUNTIF(LOB2FocusAreas_DecR1,adj!$B421)*K421</f>
        <v>0</v>
      </c>
      <c r="F421" s="437">
        <f>COUNTIF(LOB2FocusAreas_DecR2,adj!$B421)*L421</f>
        <v>0</v>
      </c>
      <c r="G421" s="156"/>
      <c r="H421" s="153"/>
      <c r="I421" s="153"/>
      <c r="J421" s="154">
        <v>0</v>
      </c>
      <c r="K421" s="429">
        <f t="shared" si="36"/>
        <v>0.03</v>
      </c>
      <c r="L421" s="429">
        <f t="shared" si="36"/>
        <v>0.03</v>
      </c>
      <c r="M421" s="8" t="s">
        <v>2926</v>
      </c>
    </row>
    <row r="422" spans="1:13">
      <c r="A422" s="478"/>
      <c r="B422" s="426">
        <v>10</v>
      </c>
      <c r="C422" s="431" t="s">
        <v>4365</v>
      </c>
      <c r="D422" s="436" t="str">
        <f>VLOOKUP(C422,param!$A$18:$B$220,2,FALSE)</f>
        <v>LOB2 - Skilled Nursing Per Episode</v>
      </c>
      <c r="E422" s="437">
        <f>COUNTIF(LOB2FocusAreas_DecR1,adj!$B422)*K422</f>
        <v>0</v>
      </c>
      <c r="F422" s="437">
        <f>COUNTIF(LOB2FocusAreas_DecR2,adj!$B422)*L422</f>
        <v>0</v>
      </c>
      <c r="G422" s="156"/>
      <c r="H422" s="153"/>
      <c r="I422" s="153"/>
      <c r="J422" s="154">
        <v>0</v>
      </c>
      <c r="K422" s="429">
        <f t="shared" ref="K422:L424" si="37">-1*VLOOKUP($M422,$O$189:$P$193,2,FALSE)</f>
        <v>-0.02</v>
      </c>
      <c r="L422" s="429">
        <f t="shared" si="37"/>
        <v>-0.02</v>
      </c>
      <c r="M422" s="8" t="s">
        <v>2927</v>
      </c>
    </row>
    <row r="423" spans="1:13">
      <c r="A423" s="478"/>
      <c r="B423" s="426">
        <v>10</v>
      </c>
      <c r="C423" s="431" t="s">
        <v>4367</v>
      </c>
      <c r="D423" s="436" t="str">
        <f>VLOOKUP(C423,param!$A$18:$B$220,2,FALSE)</f>
        <v>LOB2 - Occupational Therapy Per Episode</v>
      </c>
      <c r="E423" s="437">
        <f>COUNTIF(LOB2FocusAreas_DecR1,adj!$B423)*K423</f>
        <v>0</v>
      </c>
      <c r="F423" s="437">
        <f>COUNTIF(LOB2FocusAreas_DecR2,adj!$B423)*L423</f>
        <v>0</v>
      </c>
      <c r="G423" s="156"/>
      <c r="H423" s="153"/>
      <c r="I423" s="153"/>
      <c r="J423" s="154">
        <v>0</v>
      </c>
      <c r="K423" s="429">
        <f t="shared" si="37"/>
        <v>-0.02</v>
      </c>
      <c r="L423" s="429">
        <f t="shared" si="37"/>
        <v>-0.02</v>
      </c>
      <c r="M423" s="8" t="s">
        <v>2927</v>
      </c>
    </row>
    <row r="424" spans="1:13">
      <c r="A424" s="478"/>
      <c r="B424" s="426">
        <v>10</v>
      </c>
      <c r="C424" s="431" t="s">
        <v>4369</v>
      </c>
      <c r="D424" s="436" t="str">
        <f>VLOOKUP(C424,param!$A$18:$B$220,2,FALSE)</f>
        <v>LOB2 - Physical Therapy Per Episode</v>
      </c>
      <c r="E424" s="437">
        <f>COUNTIF(LOB2FocusAreas_DecR1,adj!$B424)*K424</f>
        <v>0</v>
      </c>
      <c r="F424" s="437">
        <f>COUNTIF(LOB2FocusAreas_DecR2,adj!$B424)*L424</f>
        <v>0</v>
      </c>
      <c r="G424" s="156"/>
      <c r="H424" s="153"/>
      <c r="I424" s="153"/>
      <c r="J424" s="154">
        <v>0</v>
      </c>
      <c r="K424" s="429">
        <f t="shared" si="37"/>
        <v>-0.02</v>
      </c>
      <c r="L424" s="429">
        <f t="shared" si="37"/>
        <v>-0.02</v>
      </c>
      <c r="M424" s="8" t="s">
        <v>2927</v>
      </c>
    </row>
    <row r="425" spans="1:13">
      <c r="A425" s="478"/>
      <c r="C425" s="157"/>
      <c r="D425" s="438"/>
      <c r="E425" s="433"/>
      <c r="F425" s="433"/>
    </row>
    <row r="426" spans="1:13" ht="10.5">
      <c r="A426" s="478"/>
      <c r="B426" s="426">
        <v>11</v>
      </c>
      <c r="C426" s="427" t="s">
        <v>2935</v>
      </c>
      <c r="D426" s="436"/>
      <c r="E426" s="435"/>
      <c r="F426" s="435"/>
      <c r="G426" s="149"/>
    </row>
    <row r="427" spans="1:13">
      <c r="A427" s="478"/>
      <c r="B427" s="426">
        <v>11</v>
      </c>
      <c r="C427" s="431" t="s">
        <v>3216</v>
      </c>
      <c r="D427" s="436" t="str">
        <f>VLOOKUP(C427,param!$A$18:$B$220,2,FALSE)</f>
        <v>LOB2 - Operations Time</v>
      </c>
      <c r="E427" s="437">
        <f>COUNTIF(LOB2FocusAreas_DecR1,adj!$B427)*K427</f>
        <v>0</v>
      </c>
      <c r="F427" s="437">
        <f>COUNTIF(LOB2FocusAreas_DecR2,adj!$B427)*L427</f>
        <v>0</v>
      </c>
      <c r="G427" s="156"/>
      <c r="J427" s="154">
        <v>0</v>
      </c>
      <c r="K427" s="429">
        <f t="shared" ref="K427:L434" si="38">VLOOKUP($M427,$O$189:$P$193,2,FALSE)</f>
        <v>0.03</v>
      </c>
      <c r="L427" s="429">
        <f t="shared" si="38"/>
        <v>0.03</v>
      </c>
      <c r="M427" s="8" t="s">
        <v>2926</v>
      </c>
    </row>
    <row r="428" spans="1:13">
      <c r="A428" s="478"/>
      <c r="B428" s="426">
        <v>11</v>
      </c>
      <c r="C428" s="431" t="s">
        <v>3234</v>
      </c>
      <c r="D428" s="436" t="str">
        <f>VLOOKUP(C428,param!$A$18:$B$220,2,FALSE)</f>
        <v>LOB2 - Employee Engagment</v>
      </c>
      <c r="E428" s="437">
        <f>COUNTIF(LOB2FocusAreas_DecR1,adj!$B428)*K428</f>
        <v>0</v>
      </c>
      <c r="F428" s="437">
        <f>COUNTIF(LOB2FocusAreas_DecR2,adj!$B428)*L428</f>
        <v>0</v>
      </c>
      <c r="G428" s="156"/>
      <c r="H428" s="153"/>
      <c r="I428" s="153"/>
      <c r="J428" s="154">
        <v>0</v>
      </c>
      <c r="K428" s="429">
        <f t="shared" si="38"/>
        <v>0.02</v>
      </c>
      <c r="L428" s="429">
        <f t="shared" si="38"/>
        <v>0.02</v>
      </c>
      <c r="M428" s="8" t="s">
        <v>2927</v>
      </c>
    </row>
    <row r="429" spans="1:13">
      <c r="A429" s="478"/>
      <c r="B429" s="426">
        <v>11</v>
      </c>
      <c r="C429" s="431" t="s">
        <v>3240</v>
      </c>
      <c r="D429" s="436" t="str">
        <f>VLOOKUP(C429,param!$A$18:$B$220,2,FALSE)</f>
        <v>LOB2 - Employee Productivity</v>
      </c>
      <c r="E429" s="437">
        <f>COUNTIF(LOB2FocusAreas_DecR1,adj!$B429)*K429</f>
        <v>0</v>
      </c>
      <c r="F429" s="437">
        <f>COUNTIF(LOB2FocusAreas_DecR2,adj!$B429)*L429</f>
        <v>0</v>
      </c>
      <c r="G429" s="156"/>
      <c r="J429" s="154">
        <v>0</v>
      </c>
      <c r="K429" s="429">
        <f t="shared" si="38"/>
        <v>0.03</v>
      </c>
      <c r="L429" s="429">
        <f t="shared" si="38"/>
        <v>0.03</v>
      </c>
      <c r="M429" s="8" t="s">
        <v>2926</v>
      </c>
    </row>
    <row r="430" spans="1:13">
      <c r="A430" s="478"/>
      <c r="B430" s="426">
        <v>11</v>
      </c>
      <c r="C430" s="431" t="s">
        <v>3259</v>
      </c>
      <c r="D430" s="436" t="str">
        <f>VLOOKUP(C430,param!$A$18:$B$220,2,FALSE)</f>
        <v>LOB2 - RN Missed</v>
      </c>
      <c r="E430" s="437">
        <f>COUNTIF(LOB2FocusAreas_DecR1,adj!$B430)*K430</f>
        <v>0</v>
      </c>
      <c r="F430" s="437">
        <f>COUNTIF(LOB2FocusAreas_DecR2,adj!$B430)*L430</f>
        <v>0</v>
      </c>
      <c r="G430" s="156"/>
      <c r="H430" s="153"/>
      <c r="I430" s="153"/>
      <c r="J430" s="154">
        <v>0</v>
      </c>
      <c r="K430" s="429">
        <f t="shared" ref="K430:L433" si="39">-1*VLOOKUP($M430,$O$189:$P$193,2,FALSE)</f>
        <v>-0.03</v>
      </c>
      <c r="L430" s="429">
        <f t="shared" si="39"/>
        <v>-0.03</v>
      </c>
      <c r="M430" s="8" t="s">
        <v>2926</v>
      </c>
    </row>
    <row r="431" spans="1:13">
      <c r="A431" s="478"/>
      <c r="B431" s="426">
        <v>11</v>
      </c>
      <c r="C431" s="431" t="s">
        <v>3261</v>
      </c>
      <c r="D431" s="436" t="str">
        <f>VLOOKUP(C431,param!$A$18:$B$220,2,FALSE)</f>
        <v>LOB2 - LPN Missed</v>
      </c>
      <c r="E431" s="437">
        <f>COUNTIF(LOB2FocusAreas_DecR1,adj!$B431)*K431</f>
        <v>0</v>
      </c>
      <c r="F431" s="437">
        <f>COUNTIF(LOB2FocusAreas_DecR2,adj!$B431)*L431</f>
        <v>0</v>
      </c>
      <c r="G431" s="156"/>
      <c r="H431" s="153"/>
      <c r="I431" s="153"/>
      <c r="J431" s="154">
        <v>0</v>
      </c>
      <c r="K431" s="429">
        <f t="shared" si="39"/>
        <v>-0.03</v>
      </c>
      <c r="L431" s="429">
        <f t="shared" si="39"/>
        <v>-0.03</v>
      </c>
      <c r="M431" s="8" t="s">
        <v>2926</v>
      </c>
    </row>
    <row r="432" spans="1:13">
      <c r="A432" s="478"/>
      <c r="B432" s="426">
        <v>11</v>
      </c>
      <c r="C432" s="431" t="s">
        <v>3263</v>
      </c>
      <c r="D432" s="436" t="str">
        <f>VLOOKUP(C432,param!$A$18:$B$220,2,FALSE)</f>
        <v>LOB2 - PT Missed</v>
      </c>
      <c r="E432" s="437">
        <f>COUNTIF(LOB2FocusAreas_DecR1,adj!$B432)*K432</f>
        <v>0</v>
      </c>
      <c r="F432" s="437">
        <f>COUNTIF(LOB2FocusAreas_DecR2,adj!$B432)*L432</f>
        <v>0</v>
      </c>
      <c r="G432" s="156"/>
      <c r="H432" s="153"/>
      <c r="I432" s="153"/>
      <c r="J432" s="154">
        <v>0</v>
      </c>
      <c r="K432" s="429">
        <f t="shared" si="39"/>
        <v>-0.03</v>
      </c>
      <c r="L432" s="429">
        <f t="shared" si="39"/>
        <v>-0.03</v>
      </c>
      <c r="M432" s="8" t="s">
        <v>2926</v>
      </c>
    </row>
    <row r="433" spans="1:13">
      <c r="A433" s="478"/>
      <c r="B433" s="426">
        <v>11</v>
      </c>
      <c r="C433" s="431" t="s">
        <v>3265</v>
      </c>
      <c r="D433" s="436" t="str">
        <f>VLOOKUP(C433,param!$A$18:$B$220,2,FALSE)</f>
        <v>LOB2 - OT Missed</v>
      </c>
      <c r="E433" s="437">
        <f>COUNTIF(LOB2FocusAreas_DecR1,adj!$B433)*K433</f>
        <v>0</v>
      </c>
      <c r="F433" s="437">
        <f>COUNTIF(LOB2FocusAreas_DecR2,adj!$B433)*L433</f>
        <v>0</v>
      </c>
      <c r="G433" s="156"/>
      <c r="H433" s="153"/>
      <c r="I433" s="153"/>
      <c r="J433" s="154">
        <v>0</v>
      </c>
      <c r="K433" s="429">
        <f t="shared" si="39"/>
        <v>-0.03</v>
      </c>
      <c r="L433" s="429">
        <f t="shared" si="39"/>
        <v>-0.03</v>
      </c>
      <c r="M433" s="8" t="s">
        <v>2926</v>
      </c>
    </row>
    <row r="434" spans="1:13">
      <c r="A434" s="478"/>
      <c r="B434" s="426">
        <v>11</v>
      </c>
      <c r="C434" s="431" t="s">
        <v>3249</v>
      </c>
      <c r="D434" s="436" t="str">
        <f>VLOOKUP(C434,param!$A$18:$B$220,2,FALSE)</f>
        <v>LOB2 - Clinical Quality</v>
      </c>
      <c r="E434" s="437">
        <f>COUNTIF(LOB2FocusAreas_DecR1,adj!$B434)*K434</f>
        <v>0</v>
      </c>
      <c r="F434" s="437">
        <f>COUNTIF(LOB2FocusAreas_DecR2,adj!$B434)*L434</f>
        <v>0</v>
      </c>
      <c r="G434" s="156"/>
      <c r="H434" s="153"/>
      <c r="I434" s="153"/>
      <c r="J434" s="154">
        <v>0</v>
      </c>
      <c r="K434" s="429">
        <f t="shared" si="38"/>
        <v>0.03</v>
      </c>
      <c r="L434" s="429">
        <f t="shared" si="38"/>
        <v>0.03</v>
      </c>
      <c r="M434" s="8" t="s">
        <v>2926</v>
      </c>
    </row>
    <row r="435" spans="1:13">
      <c r="A435" s="478"/>
      <c r="C435" s="157"/>
      <c r="D435" s="438"/>
      <c r="E435" s="433"/>
      <c r="F435" s="433"/>
    </row>
    <row r="436" spans="1:13" ht="10.5">
      <c r="A436" s="478"/>
      <c r="B436" s="426">
        <v>12</v>
      </c>
      <c r="C436" s="427" t="s">
        <v>2936</v>
      </c>
      <c r="D436" s="436"/>
      <c r="E436" s="435"/>
      <c r="F436" s="435"/>
      <c r="G436" s="149"/>
    </row>
    <row r="437" spans="1:13">
      <c r="A437" s="478"/>
      <c r="B437" s="426">
        <v>12</v>
      </c>
      <c r="C437" s="431" t="s">
        <v>3213</v>
      </c>
      <c r="D437" s="436" t="str">
        <f>VLOOKUP(C437,param!$A$18:$B$220,2,FALSE)</f>
        <v>LOB2 - People Development Time</v>
      </c>
      <c r="E437" s="437">
        <f>COUNTIF(LOB2FocusAreas_DecR1,adj!$B437)*K437</f>
        <v>0</v>
      </c>
      <c r="F437" s="437">
        <f>COUNTIF(LOB2FocusAreas_DecR2,adj!$B437)*L437</f>
        <v>0</v>
      </c>
      <c r="G437" s="156"/>
      <c r="J437" s="154">
        <v>0</v>
      </c>
      <c r="K437" s="429">
        <f t="shared" ref="K437:L438" si="40">VLOOKUP($M437,$O$189:$P$193,2,FALSE)</f>
        <v>0.01</v>
      </c>
      <c r="L437" s="429">
        <f t="shared" si="40"/>
        <v>0.01</v>
      </c>
      <c r="M437" s="8" t="s">
        <v>2929</v>
      </c>
    </row>
    <row r="438" spans="1:13">
      <c r="A438" s="478"/>
      <c r="B438" s="426">
        <v>12</v>
      </c>
      <c r="C438" s="431" t="s">
        <v>3234</v>
      </c>
      <c r="D438" s="436" t="str">
        <f>VLOOKUP(C438,param!$A$18:$B$220,2,FALSE)</f>
        <v>LOB2 - Employee Engagment</v>
      </c>
      <c r="E438" s="437">
        <f>COUNTIF(LOB2FocusAreas_DecR1,adj!$B438)*K438</f>
        <v>0</v>
      </c>
      <c r="F438" s="437">
        <f>COUNTIF(LOB2FocusAreas_DecR2,adj!$B438)*L438</f>
        <v>0</v>
      </c>
      <c r="G438" s="156"/>
      <c r="H438" s="153"/>
      <c r="I438" s="153"/>
      <c r="J438" s="154">
        <v>0</v>
      </c>
      <c r="K438" s="429">
        <f t="shared" si="40"/>
        <v>0.02</v>
      </c>
      <c r="L438" s="429">
        <f t="shared" si="40"/>
        <v>0.02</v>
      </c>
      <c r="M438" s="8" t="s">
        <v>2927</v>
      </c>
    </row>
    <row r="439" spans="1:13">
      <c r="A439" s="478"/>
      <c r="C439" s="157"/>
      <c r="D439" s="438"/>
      <c r="E439" s="433"/>
      <c r="F439" s="433"/>
    </row>
    <row r="440" spans="1:13" ht="10.5">
      <c r="A440" s="478"/>
      <c r="B440" s="426">
        <v>13</v>
      </c>
      <c r="C440" s="427" t="s">
        <v>2937</v>
      </c>
      <c r="D440" s="436"/>
      <c r="E440" s="435"/>
      <c r="F440" s="435"/>
      <c r="G440" s="149"/>
    </row>
    <row r="441" spans="1:13">
      <c r="A441" s="478"/>
      <c r="B441" s="426">
        <v>13</v>
      </c>
      <c r="C441" s="431" t="s">
        <v>3213</v>
      </c>
      <c r="D441" s="436" t="str">
        <f>VLOOKUP(C441,param!$A$18:$B$220,2,FALSE)</f>
        <v>LOB2 - People Development Time</v>
      </c>
      <c r="E441" s="437">
        <f>COUNTIF(LOB2FocusAreas_DecR1,adj!$B441)*K441</f>
        <v>0</v>
      </c>
      <c r="F441" s="437">
        <f>COUNTIF(LOB2FocusAreas_DecR2,adj!$B441)*L441</f>
        <v>0</v>
      </c>
      <c r="G441" s="156"/>
      <c r="J441" s="154">
        <v>0</v>
      </c>
      <c r="K441" s="429">
        <f t="shared" ref="K441:L442" si="41">VLOOKUP($M441,$O$189:$P$193,2,FALSE)</f>
        <v>0.02</v>
      </c>
      <c r="L441" s="429">
        <f t="shared" si="41"/>
        <v>0.02</v>
      </c>
      <c r="M441" s="8" t="s">
        <v>2927</v>
      </c>
    </row>
    <row r="442" spans="1:13">
      <c r="A442" s="478"/>
      <c r="B442" s="426">
        <v>13</v>
      </c>
      <c r="C442" s="431" t="s">
        <v>3234</v>
      </c>
      <c r="D442" s="436" t="str">
        <f>VLOOKUP(C442,param!$A$18:$B$220,2,FALSE)</f>
        <v>LOB2 - Employee Engagment</v>
      </c>
      <c r="E442" s="437">
        <f>COUNTIF(LOB2FocusAreas_DecR1,adj!$B442)*K442</f>
        <v>0</v>
      </c>
      <c r="F442" s="437">
        <f>COUNTIF(LOB2FocusAreas_DecR2,adj!$B442)*L442</f>
        <v>0</v>
      </c>
      <c r="G442" s="156"/>
      <c r="H442" s="153"/>
      <c r="I442" s="153"/>
      <c r="J442" s="154">
        <v>0</v>
      </c>
      <c r="K442" s="429">
        <f t="shared" si="41"/>
        <v>0.02</v>
      </c>
      <c r="L442" s="429">
        <f t="shared" si="41"/>
        <v>0.02</v>
      </c>
      <c r="M442" s="8" t="s">
        <v>2927</v>
      </c>
    </row>
    <row r="443" spans="1:13">
      <c r="A443" s="478"/>
      <c r="C443" s="157"/>
      <c r="D443" s="438"/>
      <c r="E443" s="433"/>
      <c r="F443" s="433"/>
    </row>
    <row r="444" spans="1:13" ht="10.5">
      <c r="A444" s="478"/>
      <c r="B444" s="426">
        <v>14</v>
      </c>
      <c r="C444" s="427" t="s">
        <v>2938</v>
      </c>
      <c r="D444" s="436"/>
      <c r="E444" s="435"/>
      <c r="F444" s="435"/>
      <c r="G444" s="149"/>
    </row>
    <row r="445" spans="1:13">
      <c r="A445" s="478"/>
      <c r="B445" s="426">
        <v>14</v>
      </c>
      <c r="C445" s="431" t="s">
        <v>3213</v>
      </c>
      <c r="D445" s="436" t="str">
        <f>VLOOKUP(C445,param!$A$18:$B$220,2,FALSE)</f>
        <v>LOB2 - People Development Time</v>
      </c>
      <c r="E445" s="437">
        <f>COUNTIF(LOB2FocusAreas_DecR1,adj!$B445)*K445</f>
        <v>0</v>
      </c>
      <c r="F445" s="437">
        <f>COUNTIF(LOB2FocusAreas_DecR2,adj!$B445)*L445</f>
        <v>0</v>
      </c>
      <c r="G445" s="156"/>
      <c r="J445" s="154">
        <v>0</v>
      </c>
      <c r="K445" s="429">
        <f t="shared" ref="K445:L446" si="42">VLOOKUP($M445,$O$189:$P$193,2,FALSE)</f>
        <v>0.01</v>
      </c>
      <c r="L445" s="429">
        <f t="shared" si="42"/>
        <v>0.01</v>
      </c>
      <c r="M445" s="8" t="s">
        <v>2929</v>
      </c>
    </row>
    <row r="446" spans="1:13">
      <c r="A446" s="478"/>
      <c r="B446" s="426">
        <v>14</v>
      </c>
      <c r="C446" s="431" t="s">
        <v>3234</v>
      </c>
      <c r="D446" s="436" t="str">
        <f>VLOOKUP(C446,param!$A$18:$B$220,2,FALSE)</f>
        <v>LOB2 - Employee Engagment</v>
      </c>
      <c r="E446" s="437">
        <f>COUNTIF(LOB2FocusAreas_DecR1,adj!$B446)*K446</f>
        <v>0</v>
      </c>
      <c r="F446" s="437">
        <f>COUNTIF(LOB2FocusAreas_DecR2,adj!$B446)*L446</f>
        <v>0</v>
      </c>
      <c r="G446" s="156"/>
      <c r="H446" s="153"/>
      <c r="I446" s="153"/>
      <c r="J446" s="154">
        <v>0</v>
      </c>
      <c r="K446" s="429">
        <f t="shared" si="42"/>
        <v>0.02</v>
      </c>
      <c r="L446" s="429">
        <f t="shared" si="42"/>
        <v>0.02</v>
      </c>
      <c r="M446" s="8" t="s">
        <v>2927</v>
      </c>
    </row>
    <row r="447" spans="1:13">
      <c r="A447" s="478"/>
      <c r="C447" s="157"/>
      <c r="D447" s="438"/>
      <c r="E447" s="433"/>
      <c r="F447" s="433"/>
    </row>
    <row r="448" spans="1:13" ht="10.5">
      <c r="A448" s="478"/>
      <c r="B448" s="426">
        <v>15</v>
      </c>
      <c r="C448" s="427" t="s">
        <v>2939</v>
      </c>
      <c r="D448" s="436"/>
      <c r="E448" s="435"/>
      <c r="F448" s="435"/>
      <c r="G448" s="149"/>
    </row>
    <row r="449" spans="1:13">
      <c r="A449" s="478"/>
      <c r="B449" s="426">
        <v>15</v>
      </c>
      <c r="C449" s="431" t="s">
        <v>3213</v>
      </c>
      <c r="D449" s="436" t="str">
        <f>VLOOKUP(C449,param!$A$18:$B$220,2,FALSE)</f>
        <v>LOB2 - People Development Time</v>
      </c>
      <c r="E449" s="437">
        <f>COUNTIF(LOB2FocusAreas_DecR1,adj!$B449)*K449</f>
        <v>0</v>
      </c>
      <c r="F449" s="437">
        <f>COUNTIF(LOB2FocusAreas_DecR2,adj!$B449)*L449</f>
        <v>0</v>
      </c>
      <c r="G449" s="156"/>
      <c r="J449" s="154">
        <v>0</v>
      </c>
      <c r="K449" s="429">
        <f t="shared" ref="K449:L450" si="43">VLOOKUP($M449,$O$189:$P$193,2,FALSE)</f>
        <v>0.03</v>
      </c>
      <c r="L449" s="429">
        <f t="shared" si="43"/>
        <v>0.03</v>
      </c>
      <c r="M449" s="8" t="s">
        <v>2926</v>
      </c>
    </row>
    <row r="450" spans="1:13">
      <c r="A450" s="478"/>
      <c r="B450" s="426">
        <v>15</v>
      </c>
      <c r="C450" s="431" t="s">
        <v>3234</v>
      </c>
      <c r="D450" s="436" t="str">
        <f>VLOOKUP(C450,param!$A$18:$B$220,2,FALSE)</f>
        <v>LOB2 - Employee Engagment</v>
      </c>
      <c r="E450" s="437">
        <f>COUNTIF(LOB2FocusAreas_DecR1,adj!$B450)*K450</f>
        <v>0</v>
      </c>
      <c r="F450" s="437">
        <f>COUNTIF(LOB2FocusAreas_DecR2,adj!$B450)*L450</f>
        <v>0</v>
      </c>
      <c r="G450" s="156"/>
      <c r="H450" s="153"/>
      <c r="I450" s="153"/>
      <c r="J450" s="154">
        <v>0</v>
      </c>
      <c r="K450" s="429">
        <f t="shared" si="43"/>
        <v>0.03</v>
      </c>
      <c r="L450" s="429">
        <f t="shared" si="43"/>
        <v>0.03</v>
      </c>
      <c r="M450" s="8" t="s">
        <v>2926</v>
      </c>
    </row>
    <row r="451" spans="1:13">
      <c r="A451" s="478"/>
      <c r="C451" s="157"/>
      <c r="D451" s="438"/>
      <c r="E451" s="433"/>
      <c r="F451" s="433"/>
    </row>
    <row r="452" spans="1:13" ht="10.5">
      <c r="A452" s="478"/>
      <c r="B452" s="426">
        <v>16</v>
      </c>
      <c r="C452" s="427" t="s">
        <v>708</v>
      </c>
      <c r="D452" s="436"/>
      <c r="E452" s="435"/>
      <c r="F452" s="435"/>
      <c r="G452" s="149"/>
    </row>
    <row r="453" spans="1:13">
      <c r="A453" s="478"/>
      <c r="B453" s="426">
        <v>16</v>
      </c>
      <c r="C453" s="431" t="s">
        <v>3219</v>
      </c>
      <c r="D453" s="436" t="str">
        <f>VLOOKUP(C453,param!$A$18:$B$220,2,FALSE)</f>
        <v>LOB2 - Clinical Time</v>
      </c>
      <c r="E453" s="437">
        <f>COUNTIF(LOB2FocusAreas_DecR1,adj!$B453)*K453</f>
        <v>0</v>
      </c>
      <c r="F453" s="437">
        <f>COUNTIF(LOB2FocusAreas_DecR2,adj!$B453)*L453</f>
        <v>0</v>
      </c>
      <c r="G453" s="156"/>
      <c r="J453" s="154">
        <v>0</v>
      </c>
      <c r="K453" s="429">
        <f t="shared" ref="K453:L460" si="44">VLOOKUP($M453,$O$189:$P$193,2,FALSE)</f>
        <v>0.03</v>
      </c>
      <c r="L453" s="429">
        <f t="shared" si="44"/>
        <v>0.03</v>
      </c>
      <c r="M453" s="8" t="s">
        <v>2926</v>
      </c>
    </row>
    <row r="454" spans="1:13">
      <c r="A454" s="478"/>
      <c r="B454" s="426">
        <v>16</v>
      </c>
      <c r="C454" s="431" t="s">
        <v>3234</v>
      </c>
      <c r="D454" s="436" t="str">
        <f>VLOOKUP(C454,param!$A$18:$B$220,2,FALSE)</f>
        <v>LOB2 - Employee Engagment</v>
      </c>
      <c r="E454" s="437">
        <f>COUNTIF(LOB2FocusAreas_DecR1,adj!$B454)*K454</f>
        <v>0</v>
      </c>
      <c r="F454" s="437">
        <f>COUNTIF(LOB2FocusAreas_DecR2,adj!$B454)*L454</f>
        <v>0</v>
      </c>
      <c r="G454" s="156"/>
      <c r="H454" s="153"/>
      <c r="I454" s="153"/>
      <c r="J454" s="154">
        <v>0</v>
      </c>
      <c r="K454" s="429">
        <f t="shared" si="44"/>
        <v>0.02</v>
      </c>
      <c r="L454" s="429">
        <f t="shared" si="44"/>
        <v>0.02</v>
      </c>
      <c r="M454" s="8" t="s">
        <v>2927</v>
      </c>
    </row>
    <row r="455" spans="1:13">
      <c r="A455" s="478"/>
      <c r="B455" s="426">
        <v>16</v>
      </c>
      <c r="C455" s="431" t="s">
        <v>3240</v>
      </c>
      <c r="D455" s="436" t="str">
        <f>VLOOKUP(C455,param!$A$18:$B$220,2,FALSE)</f>
        <v>LOB2 - Employee Productivity</v>
      </c>
      <c r="E455" s="437">
        <f>COUNTIF(LOB2FocusAreas_DecR1,adj!$B455)*K455</f>
        <v>0</v>
      </c>
      <c r="F455" s="437">
        <f>COUNTIF(LOB2FocusAreas_DecR2,adj!$B455)*L455</f>
        <v>0</v>
      </c>
      <c r="G455" s="156"/>
      <c r="J455" s="154">
        <v>0</v>
      </c>
      <c r="K455" s="429">
        <f t="shared" si="44"/>
        <v>0.03</v>
      </c>
      <c r="L455" s="429">
        <f t="shared" si="44"/>
        <v>0.03</v>
      </c>
      <c r="M455" s="8" t="s">
        <v>2926</v>
      </c>
    </row>
    <row r="456" spans="1:13">
      <c r="A456" s="478"/>
      <c r="B456" s="426">
        <v>16</v>
      </c>
      <c r="C456" s="431" t="s">
        <v>3251</v>
      </c>
      <c r="D456" s="436" t="str">
        <f>VLOOKUP(C456,param!$A$18:$B$220,2,FALSE)</f>
        <v>LOB2 - RN Meetings</v>
      </c>
      <c r="E456" s="437">
        <f>COUNTIF(LOB2FocusAreas_DecR1,adj!$B456)*K456</f>
        <v>0</v>
      </c>
      <c r="F456" s="437">
        <f>COUNTIF(LOB2FocusAreas_DecR2,adj!$B456)*L456</f>
        <v>0</v>
      </c>
      <c r="G456" s="156"/>
      <c r="H456" s="153"/>
      <c r="I456" s="153"/>
      <c r="J456" s="154">
        <v>0</v>
      </c>
      <c r="K456" s="429">
        <f t="shared" si="44"/>
        <v>0.03</v>
      </c>
      <c r="L456" s="429">
        <f t="shared" si="44"/>
        <v>0.03</v>
      </c>
      <c r="M456" s="8" t="s">
        <v>2926</v>
      </c>
    </row>
    <row r="457" spans="1:13">
      <c r="A457" s="478"/>
      <c r="B457" s="426">
        <v>16</v>
      </c>
      <c r="C457" s="431" t="s">
        <v>3253</v>
      </c>
      <c r="D457" s="436" t="str">
        <f>VLOOKUP(C457,param!$A$18:$B$220,2,FALSE)</f>
        <v>LOB2 - LPN Meetings</v>
      </c>
      <c r="E457" s="437">
        <f>COUNTIF(LOB2FocusAreas_DecR1,adj!$B457)*K457</f>
        <v>0</v>
      </c>
      <c r="F457" s="437">
        <f>COUNTIF(LOB2FocusAreas_DecR2,adj!$B457)*L457</f>
        <v>0</v>
      </c>
      <c r="G457" s="156"/>
      <c r="H457" s="153"/>
      <c r="I457" s="153"/>
      <c r="J457" s="154">
        <v>0</v>
      </c>
      <c r="K457" s="429">
        <f t="shared" si="44"/>
        <v>0.03</v>
      </c>
      <c r="L457" s="429">
        <f t="shared" si="44"/>
        <v>0.03</v>
      </c>
      <c r="M457" s="8" t="s">
        <v>2926</v>
      </c>
    </row>
    <row r="458" spans="1:13">
      <c r="A458" s="478"/>
      <c r="B458" s="426">
        <v>16</v>
      </c>
      <c r="C458" s="431" t="s">
        <v>3255</v>
      </c>
      <c r="D458" s="436" t="str">
        <f>VLOOKUP(C458,param!$A$18:$B$220,2,FALSE)</f>
        <v>LOB2 - PT Meetings</v>
      </c>
      <c r="E458" s="437">
        <f>COUNTIF(LOB2FocusAreas_DecR1,adj!$B458)*K458</f>
        <v>0</v>
      </c>
      <c r="F458" s="437">
        <f>COUNTIF(LOB2FocusAreas_DecR2,adj!$B458)*L458</f>
        <v>0</v>
      </c>
      <c r="G458" s="156"/>
      <c r="H458" s="153"/>
      <c r="I458" s="153"/>
      <c r="J458" s="154">
        <v>0</v>
      </c>
      <c r="K458" s="429">
        <f t="shared" si="44"/>
        <v>0.03</v>
      </c>
      <c r="L458" s="429">
        <f t="shared" si="44"/>
        <v>0.03</v>
      </c>
      <c r="M458" s="8" t="s">
        <v>2926</v>
      </c>
    </row>
    <row r="459" spans="1:13">
      <c r="A459" s="478"/>
      <c r="B459" s="426">
        <v>16</v>
      </c>
      <c r="C459" s="431" t="s">
        <v>3257</v>
      </c>
      <c r="D459" s="436" t="str">
        <f>VLOOKUP(C459,param!$A$18:$B$220,2,FALSE)</f>
        <v>LOB2 - OT Meetings</v>
      </c>
      <c r="E459" s="437">
        <f>COUNTIF(LOB2FocusAreas_DecR1,adj!$B459)*K459</f>
        <v>0</v>
      </c>
      <c r="F459" s="437">
        <f>COUNTIF(LOB2FocusAreas_DecR2,adj!$B459)*L459</f>
        <v>0</v>
      </c>
      <c r="G459" s="156"/>
      <c r="H459" s="153"/>
      <c r="I459" s="153"/>
      <c r="J459" s="154">
        <v>0</v>
      </c>
      <c r="K459" s="429">
        <f t="shared" si="44"/>
        <v>0.03</v>
      </c>
      <c r="L459" s="429">
        <f t="shared" si="44"/>
        <v>0.03</v>
      </c>
      <c r="M459" s="8" t="s">
        <v>2926</v>
      </c>
    </row>
    <row r="460" spans="1:13">
      <c r="A460" s="478"/>
      <c r="B460" s="426">
        <v>16</v>
      </c>
      <c r="C460" s="431" t="s">
        <v>3249</v>
      </c>
      <c r="D460" s="436" t="str">
        <f>VLOOKUP(C460,param!$A$18:$B$220,2,FALSE)</f>
        <v>LOB2 - Clinical Quality</v>
      </c>
      <c r="E460" s="437">
        <f>COUNTIF(LOB2FocusAreas_DecR1,adj!$B460)*K460</f>
        <v>0</v>
      </c>
      <c r="F460" s="437">
        <f>COUNTIF(LOB2FocusAreas_DecR2,adj!$B460)*L460</f>
        <v>0</v>
      </c>
      <c r="G460" s="156"/>
      <c r="H460" s="153"/>
      <c r="I460" s="153"/>
      <c r="J460" s="154">
        <v>0</v>
      </c>
      <c r="K460" s="429">
        <f t="shared" si="44"/>
        <v>0.04</v>
      </c>
      <c r="L460" s="429">
        <f t="shared" si="44"/>
        <v>0.04</v>
      </c>
      <c r="M460" s="8" t="s">
        <v>2925</v>
      </c>
    </row>
    <row r="461" spans="1:13">
      <c r="A461" s="478"/>
      <c r="B461" s="426">
        <v>16</v>
      </c>
      <c r="C461" s="431" t="s">
        <v>4365</v>
      </c>
      <c r="D461" s="436" t="str">
        <f>VLOOKUP(C461,param!$A$18:$B$220,2,FALSE)</f>
        <v>LOB2 - Skilled Nursing Per Episode</v>
      </c>
      <c r="E461" s="437">
        <f>COUNTIF(LOB2FocusAreas_DecR1,adj!$B461)*K461</f>
        <v>0</v>
      </c>
      <c r="F461" s="437">
        <f>COUNTIF(LOB2FocusAreas_DecR2,adj!$B461)*L461</f>
        <v>0</v>
      </c>
      <c r="G461" s="156"/>
      <c r="H461" s="153"/>
      <c r="I461" s="153"/>
      <c r="J461" s="154">
        <v>0</v>
      </c>
      <c r="K461" s="429">
        <f t="shared" ref="K461:L463" si="45">-1*VLOOKUP($M461,$O$189:$P$193,2,FALSE)</f>
        <v>-0.02</v>
      </c>
      <c r="L461" s="429">
        <f t="shared" si="45"/>
        <v>-0.02</v>
      </c>
      <c r="M461" s="8" t="s">
        <v>2927</v>
      </c>
    </row>
    <row r="462" spans="1:13">
      <c r="A462" s="478"/>
      <c r="B462" s="426">
        <v>16</v>
      </c>
      <c r="C462" s="431" t="s">
        <v>4367</v>
      </c>
      <c r="D462" s="436" t="str">
        <f>VLOOKUP(C462,param!$A$18:$B$220,2,FALSE)</f>
        <v>LOB2 - Occupational Therapy Per Episode</v>
      </c>
      <c r="E462" s="437">
        <f>COUNTIF(LOB2FocusAreas_DecR1,adj!$B462)*K462</f>
        <v>0</v>
      </c>
      <c r="F462" s="437">
        <f>COUNTIF(LOB2FocusAreas_DecR2,adj!$B462)*L462</f>
        <v>0</v>
      </c>
      <c r="G462" s="156"/>
      <c r="H462" s="153"/>
      <c r="I462" s="153"/>
      <c r="J462" s="154">
        <v>0</v>
      </c>
      <c r="K462" s="429">
        <f t="shared" si="45"/>
        <v>-0.02</v>
      </c>
      <c r="L462" s="429">
        <f t="shared" si="45"/>
        <v>-0.02</v>
      </c>
      <c r="M462" s="8" t="s">
        <v>2927</v>
      </c>
    </row>
    <row r="463" spans="1:13">
      <c r="A463" s="478"/>
      <c r="B463" s="426">
        <v>16</v>
      </c>
      <c r="C463" s="431" t="s">
        <v>4369</v>
      </c>
      <c r="D463" s="436" t="str">
        <f>VLOOKUP(C463,param!$A$18:$B$220,2,FALSE)</f>
        <v>LOB2 - Physical Therapy Per Episode</v>
      </c>
      <c r="E463" s="437">
        <f>COUNTIF(LOB2FocusAreas_DecR1,adj!$B463)*K463</f>
        <v>0</v>
      </c>
      <c r="F463" s="437">
        <f>COUNTIF(LOB2FocusAreas_DecR2,adj!$B463)*L463</f>
        <v>0</v>
      </c>
      <c r="G463" s="156"/>
      <c r="H463" s="153"/>
      <c r="I463" s="153"/>
      <c r="J463" s="154">
        <v>0</v>
      </c>
      <c r="K463" s="429">
        <f t="shared" si="45"/>
        <v>-0.02</v>
      </c>
      <c r="L463" s="429">
        <f t="shared" si="45"/>
        <v>-0.02</v>
      </c>
      <c r="M463" s="8" t="s">
        <v>2927</v>
      </c>
    </row>
    <row r="464" spans="1:13">
      <c r="A464" s="478"/>
      <c r="C464" s="157"/>
      <c r="D464" s="438"/>
      <c r="E464" s="433"/>
      <c r="F464" s="433"/>
    </row>
    <row r="465" spans="1:13" ht="10.5">
      <c r="A465" s="478"/>
      <c r="B465" s="426">
        <v>17</v>
      </c>
      <c r="C465" s="427" t="s">
        <v>2940</v>
      </c>
      <c r="D465" s="436"/>
      <c r="E465" s="435"/>
      <c r="F465" s="435"/>
      <c r="G465" s="149"/>
    </row>
    <row r="466" spans="1:13">
      <c r="A466" s="478"/>
      <c r="B466" s="426">
        <v>17</v>
      </c>
      <c r="C466" s="431" t="s">
        <v>3219</v>
      </c>
      <c r="D466" s="436" t="str">
        <f>VLOOKUP(C466,param!$A$18:$B$220,2,FALSE)</f>
        <v>LOB2 - Clinical Time</v>
      </c>
      <c r="E466" s="437">
        <f>COUNTIF(LOB2FocusAreas_DecR1,adj!$B466)*K466</f>
        <v>0</v>
      </c>
      <c r="F466" s="437">
        <f>COUNTIF(LOB2FocusAreas_DecR2,adj!$B466)*L466</f>
        <v>0</v>
      </c>
      <c r="G466" s="156"/>
      <c r="J466" s="154">
        <v>0</v>
      </c>
      <c r="K466" s="429">
        <f t="shared" ref="K466:L476" si="46">VLOOKUP($M466,$O$189:$P$193,2,FALSE)</f>
        <v>0.04</v>
      </c>
      <c r="L466" s="429">
        <f t="shared" si="46"/>
        <v>0.04</v>
      </c>
      <c r="M466" s="8" t="s">
        <v>2925</v>
      </c>
    </row>
    <row r="467" spans="1:13">
      <c r="A467" s="478"/>
      <c r="B467" s="426">
        <v>17</v>
      </c>
      <c r="C467" s="431" t="s">
        <v>3240</v>
      </c>
      <c r="D467" s="436" t="str">
        <f>VLOOKUP(C467,param!$A$18:$B$220,2,FALSE)</f>
        <v>LOB2 - Employee Productivity</v>
      </c>
      <c r="E467" s="437">
        <f>COUNTIF(LOB2FocusAreas_DecR1,adj!$B467)*K467</f>
        <v>0</v>
      </c>
      <c r="F467" s="437">
        <f>COUNTIF(LOB2FocusAreas_DecR2,adj!$B467)*L467</f>
        <v>0</v>
      </c>
      <c r="G467" s="156"/>
      <c r="J467" s="154">
        <v>0</v>
      </c>
      <c r="K467" s="429">
        <f t="shared" si="46"/>
        <v>0.03</v>
      </c>
      <c r="L467" s="429">
        <f t="shared" si="46"/>
        <v>0.03</v>
      </c>
      <c r="M467" s="8" t="s">
        <v>2926</v>
      </c>
    </row>
    <row r="468" spans="1:13">
      <c r="A468" s="478"/>
      <c r="B468" s="426">
        <v>17</v>
      </c>
      <c r="C468" s="431" t="s">
        <v>3259</v>
      </c>
      <c r="D468" s="436" t="str">
        <f>VLOOKUP(C468,param!$A$18:$B$220,2,FALSE)</f>
        <v>LOB2 - RN Missed</v>
      </c>
      <c r="E468" s="437">
        <f>COUNTIF(LOB2FocusAreas_DecR1,adj!$B468)*K468</f>
        <v>0</v>
      </c>
      <c r="F468" s="437">
        <f>COUNTIF(LOB2FocusAreas_DecR2,adj!$B468)*L468</f>
        <v>0</v>
      </c>
      <c r="G468" s="156"/>
      <c r="H468" s="153"/>
      <c r="I468" s="153"/>
      <c r="J468" s="154">
        <v>0</v>
      </c>
      <c r="K468" s="429">
        <f t="shared" ref="K468:L471" si="47">-1*VLOOKUP($M468,$O$189:$P$193,2,FALSE)</f>
        <v>-0.03</v>
      </c>
      <c r="L468" s="429">
        <f t="shared" si="47"/>
        <v>-0.03</v>
      </c>
      <c r="M468" s="8" t="s">
        <v>2926</v>
      </c>
    </row>
    <row r="469" spans="1:13">
      <c r="A469" s="478"/>
      <c r="B469" s="426">
        <v>17</v>
      </c>
      <c r="C469" s="431" t="s">
        <v>3261</v>
      </c>
      <c r="D469" s="436" t="str">
        <f>VLOOKUP(C469,param!$A$18:$B$220,2,FALSE)</f>
        <v>LOB2 - LPN Missed</v>
      </c>
      <c r="E469" s="437">
        <f>COUNTIF(LOB2FocusAreas_DecR1,adj!$B469)*K469</f>
        <v>0</v>
      </c>
      <c r="F469" s="437">
        <f>COUNTIF(LOB2FocusAreas_DecR2,adj!$B469)*L469</f>
        <v>0</v>
      </c>
      <c r="G469" s="156"/>
      <c r="H469" s="153"/>
      <c r="I469" s="153"/>
      <c r="J469" s="154">
        <v>0</v>
      </c>
      <c r="K469" s="429">
        <f t="shared" si="47"/>
        <v>-0.03</v>
      </c>
      <c r="L469" s="429">
        <f t="shared" si="47"/>
        <v>-0.03</v>
      </c>
      <c r="M469" s="8" t="s">
        <v>2926</v>
      </c>
    </row>
    <row r="470" spans="1:13">
      <c r="A470" s="478"/>
      <c r="B470" s="426">
        <v>17</v>
      </c>
      <c r="C470" s="431" t="s">
        <v>3263</v>
      </c>
      <c r="D470" s="436" t="str">
        <f>VLOOKUP(C470,param!$A$18:$B$220,2,FALSE)</f>
        <v>LOB2 - PT Missed</v>
      </c>
      <c r="E470" s="437">
        <f>COUNTIF(LOB2FocusAreas_DecR1,adj!$B470)*K470</f>
        <v>0</v>
      </c>
      <c r="F470" s="437">
        <f>COUNTIF(LOB2FocusAreas_DecR2,adj!$B470)*L470</f>
        <v>0</v>
      </c>
      <c r="G470" s="156"/>
      <c r="H470" s="153"/>
      <c r="I470" s="153"/>
      <c r="J470" s="154">
        <v>0</v>
      </c>
      <c r="K470" s="429">
        <f t="shared" si="47"/>
        <v>-0.03</v>
      </c>
      <c r="L470" s="429">
        <f t="shared" si="47"/>
        <v>-0.03</v>
      </c>
      <c r="M470" s="8" t="s">
        <v>2926</v>
      </c>
    </row>
    <row r="471" spans="1:13">
      <c r="A471" s="478"/>
      <c r="B471" s="426">
        <v>17</v>
      </c>
      <c r="C471" s="431" t="s">
        <v>3265</v>
      </c>
      <c r="D471" s="436" t="str">
        <f>VLOOKUP(C471,param!$A$18:$B$220,2,FALSE)</f>
        <v>LOB2 - OT Missed</v>
      </c>
      <c r="E471" s="437">
        <f>COUNTIF(LOB2FocusAreas_DecR1,adj!$B471)*K471</f>
        <v>0</v>
      </c>
      <c r="F471" s="437">
        <f>COUNTIF(LOB2FocusAreas_DecR2,adj!$B471)*L471</f>
        <v>0</v>
      </c>
      <c r="G471" s="156"/>
      <c r="H471" s="153"/>
      <c r="I471" s="153"/>
      <c r="J471" s="154">
        <v>0</v>
      </c>
      <c r="K471" s="429">
        <f t="shared" si="47"/>
        <v>-0.03</v>
      </c>
      <c r="L471" s="429">
        <f t="shared" si="47"/>
        <v>-0.03</v>
      </c>
      <c r="M471" s="8" t="s">
        <v>2926</v>
      </c>
    </row>
    <row r="472" spans="1:13">
      <c r="A472" s="478"/>
      <c r="B472" s="426">
        <v>17</v>
      </c>
      <c r="C472" s="431" t="s">
        <v>3251</v>
      </c>
      <c r="D472" s="436" t="str">
        <f>VLOOKUP(C472,param!$A$18:$B$220,2,FALSE)</f>
        <v>LOB2 - RN Meetings</v>
      </c>
      <c r="E472" s="437">
        <f>COUNTIF(LOB2FocusAreas_DecR1,adj!$B472)*K472</f>
        <v>0</v>
      </c>
      <c r="F472" s="437">
        <f>COUNTIF(LOB2FocusAreas_DecR2,adj!$B472)*L472</f>
        <v>0</v>
      </c>
      <c r="G472" s="156"/>
      <c r="H472" s="153"/>
      <c r="I472" s="153"/>
      <c r="J472" s="154">
        <v>0</v>
      </c>
      <c r="K472" s="429">
        <f t="shared" si="46"/>
        <v>0.03</v>
      </c>
      <c r="L472" s="429">
        <f t="shared" si="46"/>
        <v>0.03</v>
      </c>
      <c r="M472" s="8" t="s">
        <v>2926</v>
      </c>
    </row>
    <row r="473" spans="1:13">
      <c r="A473" s="478"/>
      <c r="B473" s="426">
        <v>17</v>
      </c>
      <c r="C473" s="431" t="s">
        <v>3253</v>
      </c>
      <c r="D473" s="436" t="str">
        <f>VLOOKUP(C473,param!$A$18:$B$220,2,FALSE)</f>
        <v>LOB2 - LPN Meetings</v>
      </c>
      <c r="E473" s="437">
        <f>COUNTIF(LOB2FocusAreas_DecR1,adj!$B473)*K473</f>
        <v>0</v>
      </c>
      <c r="F473" s="437">
        <f>COUNTIF(LOB2FocusAreas_DecR2,adj!$B473)*L473</f>
        <v>0</v>
      </c>
      <c r="G473" s="156"/>
      <c r="H473" s="153"/>
      <c r="I473" s="153"/>
      <c r="J473" s="154">
        <v>0</v>
      </c>
      <c r="K473" s="429">
        <f t="shared" si="46"/>
        <v>0.03</v>
      </c>
      <c r="L473" s="429">
        <f t="shared" si="46"/>
        <v>0.03</v>
      </c>
      <c r="M473" s="8" t="s">
        <v>2926</v>
      </c>
    </row>
    <row r="474" spans="1:13">
      <c r="A474" s="478"/>
      <c r="B474" s="426">
        <v>17</v>
      </c>
      <c r="C474" s="431" t="s">
        <v>3255</v>
      </c>
      <c r="D474" s="436" t="str">
        <f>VLOOKUP(C474,param!$A$18:$B$220,2,FALSE)</f>
        <v>LOB2 - PT Meetings</v>
      </c>
      <c r="E474" s="437">
        <f>COUNTIF(LOB2FocusAreas_DecR1,adj!$B474)*K474</f>
        <v>0</v>
      </c>
      <c r="F474" s="437">
        <f>COUNTIF(LOB2FocusAreas_DecR2,adj!$B474)*L474</f>
        <v>0</v>
      </c>
      <c r="G474" s="156"/>
      <c r="H474" s="153"/>
      <c r="I474" s="153"/>
      <c r="J474" s="154">
        <v>0</v>
      </c>
      <c r="K474" s="429">
        <f t="shared" si="46"/>
        <v>0.03</v>
      </c>
      <c r="L474" s="429">
        <f t="shared" si="46"/>
        <v>0.03</v>
      </c>
      <c r="M474" s="8" t="s">
        <v>2926</v>
      </c>
    </row>
    <row r="475" spans="1:13">
      <c r="A475" s="478"/>
      <c r="B475" s="426">
        <v>17</v>
      </c>
      <c r="C475" s="431" t="s">
        <v>3257</v>
      </c>
      <c r="D475" s="436" t="str">
        <f>VLOOKUP(C475,param!$A$18:$B$220,2,FALSE)</f>
        <v>LOB2 - OT Meetings</v>
      </c>
      <c r="E475" s="437">
        <f>COUNTIF(LOB2FocusAreas_DecR1,adj!$B475)*K475</f>
        <v>0</v>
      </c>
      <c r="F475" s="437">
        <f>COUNTIF(LOB2FocusAreas_DecR2,adj!$B475)*L475</f>
        <v>0</v>
      </c>
      <c r="G475" s="156"/>
      <c r="H475" s="153"/>
      <c r="I475" s="153"/>
      <c r="J475" s="154">
        <v>0</v>
      </c>
      <c r="K475" s="429">
        <f t="shared" si="46"/>
        <v>0.03</v>
      </c>
      <c r="L475" s="429">
        <f t="shared" si="46"/>
        <v>0.03</v>
      </c>
      <c r="M475" s="8" t="s">
        <v>2926</v>
      </c>
    </row>
    <row r="476" spans="1:13">
      <c r="A476" s="478"/>
      <c r="B476" s="426">
        <v>17</v>
      </c>
      <c r="C476" s="431" t="s">
        <v>3249</v>
      </c>
      <c r="D476" s="436" t="str">
        <f>VLOOKUP(C476,param!$A$18:$B$220,2,FALSE)</f>
        <v>LOB2 - Clinical Quality</v>
      </c>
      <c r="E476" s="437">
        <f>COUNTIF(LOB2FocusAreas_DecR1,adj!$B476)*K476</f>
        <v>0</v>
      </c>
      <c r="F476" s="437">
        <f>COUNTIF(LOB2FocusAreas_DecR2,adj!$B476)*L476</f>
        <v>0</v>
      </c>
      <c r="G476" s="156"/>
      <c r="H476" s="153"/>
      <c r="I476" s="153"/>
      <c r="J476" s="154">
        <v>0</v>
      </c>
      <c r="K476" s="429">
        <f t="shared" si="46"/>
        <v>0.04</v>
      </c>
      <c r="L476" s="429">
        <f t="shared" si="46"/>
        <v>0.04</v>
      </c>
      <c r="M476" s="8" t="s">
        <v>2925</v>
      </c>
    </row>
    <row r="477" spans="1:13">
      <c r="A477" s="478"/>
      <c r="B477" s="426">
        <v>17</v>
      </c>
      <c r="C477" s="431" t="s">
        <v>4365</v>
      </c>
      <c r="D477" s="436" t="str">
        <f>VLOOKUP(C477,param!$A$18:$B$220,2,FALSE)</f>
        <v>LOB2 - Skilled Nursing Per Episode</v>
      </c>
      <c r="E477" s="437">
        <f>COUNTIF(LOB2FocusAreas_DecR1,adj!$B477)*K477</f>
        <v>0</v>
      </c>
      <c r="F477" s="437">
        <f>COUNTIF(LOB2FocusAreas_DecR2,adj!$B477)*L477</f>
        <v>0</v>
      </c>
      <c r="G477" s="156"/>
      <c r="H477" s="153"/>
      <c r="I477" s="153"/>
      <c r="J477" s="154">
        <v>0</v>
      </c>
      <c r="K477" s="429">
        <f t="shared" ref="K477:L479" si="48">-1*VLOOKUP($M477,$O$189:$P$193,2,FALSE)</f>
        <v>-0.02</v>
      </c>
      <c r="L477" s="429">
        <f t="shared" si="48"/>
        <v>-0.02</v>
      </c>
      <c r="M477" s="8" t="s">
        <v>2927</v>
      </c>
    </row>
    <row r="478" spans="1:13">
      <c r="A478" s="478"/>
      <c r="B478" s="426">
        <v>17</v>
      </c>
      <c r="C478" s="431" t="s">
        <v>4367</v>
      </c>
      <c r="D478" s="436" t="str">
        <f>VLOOKUP(C478,param!$A$18:$B$220,2,FALSE)</f>
        <v>LOB2 - Occupational Therapy Per Episode</v>
      </c>
      <c r="E478" s="437">
        <f>COUNTIF(LOB2FocusAreas_DecR1,adj!$B478)*K478</f>
        <v>0</v>
      </c>
      <c r="F478" s="437">
        <f>COUNTIF(LOB2FocusAreas_DecR2,adj!$B478)*L478</f>
        <v>0</v>
      </c>
      <c r="G478" s="156"/>
      <c r="H478" s="153"/>
      <c r="I478" s="153"/>
      <c r="J478" s="154">
        <v>0</v>
      </c>
      <c r="K478" s="429">
        <f t="shared" si="48"/>
        <v>-0.02</v>
      </c>
      <c r="L478" s="429">
        <f t="shared" si="48"/>
        <v>-0.02</v>
      </c>
      <c r="M478" s="8" t="s">
        <v>2927</v>
      </c>
    </row>
    <row r="479" spans="1:13">
      <c r="A479" s="478"/>
      <c r="B479" s="426">
        <v>17</v>
      </c>
      <c r="C479" s="431" t="s">
        <v>4369</v>
      </c>
      <c r="D479" s="436" t="str">
        <f>VLOOKUP(C479,param!$A$18:$B$220,2,FALSE)</f>
        <v>LOB2 - Physical Therapy Per Episode</v>
      </c>
      <c r="E479" s="437">
        <f>COUNTIF(LOB2FocusAreas_DecR1,adj!$B479)*K479</f>
        <v>0</v>
      </c>
      <c r="F479" s="437">
        <f>COUNTIF(LOB2FocusAreas_DecR2,adj!$B479)*L479</f>
        <v>0</v>
      </c>
      <c r="G479" s="156"/>
      <c r="H479" s="153"/>
      <c r="I479" s="153"/>
      <c r="J479" s="154">
        <v>0</v>
      </c>
      <c r="K479" s="429">
        <f t="shared" si="48"/>
        <v>-0.02</v>
      </c>
      <c r="L479" s="429">
        <f t="shared" si="48"/>
        <v>-0.02</v>
      </c>
      <c r="M479" s="8" t="s">
        <v>2927</v>
      </c>
    </row>
    <row r="480" spans="1:13">
      <c r="A480" s="478"/>
      <c r="C480" s="157"/>
      <c r="D480" s="438"/>
      <c r="E480" s="433"/>
      <c r="F480" s="433"/>
    </row>
    <row r="481" spans="1:13" ht="10.5">
      <c r="A481" s="478"/>
      <c r="B481" s="426">
        <v>18</v>
      </c>
      <c r="C481" s="427" t="s">
        <v>2941</v>
      </c>
      <c r="D481" s="436"/>
      <c r="E481" s="435"/>
      <c r="F481" s="435"/>
      <c r="G481" s="149"/>
    </row>
    <row r="482" spans="1:13">
      <c r="A482" s="478"/>
      <c r="B482" s="426">
        <v>18</v>
      </c>
      <c r="C482" s="431" t="s">
        <v>3219</v>
      </c>
      <c r="D482" s="436" t="str">
        <f>VLOOKUP(C482,param!$A$18:$B$220,2,FALSE)</f>
        <v>LOB2 - Clinical Time</v>
      </c>
      <c r="E482" s="437">
        <f>COUNTIF(LOB2FocusAreas_DecR1,adj!$B482)*K482</f>
        <v>0</v>
      </c>
      <c r="F482" s="437">
        <f>COUNTIF(LOB2FocusAreas_DecR2,adj!$B482)*L482</f>
        <v>0</v>
      </c>
      <c r="G482" s="156"/>
      <c r="J482" s="154">
        <v>0</v>
      </c>
      <c r="K482" s="429">
        <f t="shared" ref="K482:L488" si="49">VLOOKUP($M482,$O$189:$P$193,2,FALSE)</f>
        <v>0.05</v>
      </c>
      <c r="L482" s="429">
        <f t="shared" si="49"/>
        <v>0.05</v>
      </c>
      <c r="M482" s="8" t="s">
        <v>2930</v>
      </c>
    </row>
    <row r="483" spans="1:13">
      <c r="A483" s="478"/>
      <c r="B483" s="426">
        <v>18</v>
      </c>
      <c r="C483" s="431" t="s">
        <v>3240</v>
      </c>
      <c r="D483" s="436" t="str">
        <f>VLOOKUP(C483,param!$A$18:$B$220,2,FALSE)</f>
        <v>LOB2 - Employee Productivity</v>
      </c>
      <c r="E483" s="437">
        <f>COUNTIF(LOB2FocusAreas_DecR1,adj!$B483)*K483</f>
        <v>0</v>
      </c>
      <c r="F483" s="437">
        <f>COUNTIF(LOB2FocusAreas_DecR2,adj!$B483)*L483</f>
        <v>0</v>
      </c>
      <c r="G483" s="156"/>
      <c r="J483" s="154">
        <v>0</v>
      </c>
      <c r="K483" s="429">
        <f t="shared" si="49"/>
        <v>0.03</v>
      </c>
      <c r="L483" s="429">
        <f t="shared" si="49"/>
        <v>0.03</v>
      </c>
      <c r="M483" s="8" t="s">
        <v>2926</v>
      </c>
    </row>
    <row r="484" spans="1:13">
      <c r="A484" s="478"/>
      <c r="B484" s="426">
        <v>18</v>
      </c>
      <c r="C484" s="431" t="s">
        <v>3259</v>
      </c>
      <c r="D484" s="436" t="str">
        <f>VLOOKUP(C484,param!$A$18:$B$220,2,FALSE)</f>
        <v>LOB2 - RN Missed</v>
      </c>
      <c r="E484" s="437">
        <f>COUNTIF(LOB2FocusAreas_DecR1,adj!$B484)*K484</f>
        <v>0</v>
      </c>
      <c r="F484" s="437">
        <f>COUNTIF(LOB2FocusAreas_DecR2,adj!$B484)*L484</f>
        <v>0</v>
      </c>
      <c r="G484" s="156"/>
      <c r="H484" s="153"/>
      <c r="I484" s="153"/>
      <c r="J484" s="154">
        <v>0</v>
      </c>
      <c r="K484" s="429">
        <f t="shared" ref="K484:L487" si="50">-1*VLOOKUP($M484,$O$189:$P$193,2,FALSE)</f>
        <v>-0.02</v>
      </c>
      <c r="L484" s="429">
        <f t="shared" si="50"/>
        <v>-0.02</v>
      </c>
      <c r="M484" s="8" t="s">
        <v>2927</v>
      </c>
    </row>
    <row r="485" spans="1:13">
      <c r="A485" s="478"/>
      <c r="B485" s="426">
        <v>18</v>
      </c>
      <c r="C485" s="431" t="s">
        <v>3261</v>
      </c>
      <c r="D485" s="436" t="str">
        <f>VLOOKUP(C485,param!$A$18:$B$220,2,FALSE)</f>
        <v>LOB2 - LPN Missed</v>
      </c>
      <c r="E485" s="437">
        <f>COUNTIF(LOB2FocusAreas_DecR1,adj!$B485)*K485</f>
        <v>0</v>
      </c>
      <c r="F485" s="437">
        <f>COUNTIF(LOB2FocusAreas_DecR2,adj!$B485)*L485</f>
        <v>0</v>
      </c>
      <c r="G485" s="156"/>
      <c r="H485" s="153"/>
      <c r="I485" s="153"/>
      <c r="J485" s="154">
        <v>0</v>
      </c>
      <c r="K485" s="429">
        <f t="shared" si="50"/>
        <v>-0.02</v>
      </c>
      <c r="L485" s="429">
        <f t="shared" si="50"/>
        <v>-0.02</v>
      </c>
      <c r="M485" s="8" t="s">
        <v>2927</v>
      </c>
    </row>
    <row r="486" spans="1:13">
      <c r="A486" s="478"/>
      <c r="B486" s="426">
        <v>18</v>
      </c>
      <c r="C486" s="431" t="s">
        <v>3263</v>
      </c>
      <c r="D486" s="436" t="str">
        <f>VLOOKUP(C486,param!$A$18:$B$220,2,FALSE)</f>
        <v>LOB2 - PT Missed</v>
      </c>
      <c r="E486" s="437">
        <f>COUNTIF(LOB2FocusAreas_DecR1,adj!$B486)*K486</f>
        <v>0</v>
      </c>
      <c r="F486" s="437">
        <f>COUNTIF(LOB2FocusAreas_DecR2,adj!$B486)*L486</f>
        <v>0</v>
      </c>
      <c r="G486" s="156"/>
      <c r="H486" s="153"/>
      <c r="I486" s="153"/>
      <c r="J486" s="154">
        <v>0</v>
      </c>
      <c r="K486" s="429">
        <f t="shared" si="50"/>
        <v>-0.02</v>
      </c>
      <c r="L486" s="429">
        <f t="shared" si="50"/>
        <v>-0.02</v>
      </c>
      <c r="M486" s="8" t="s">
        <v>2927</v>
      </c>
    </row>
    <row r="487" spans="1:13">
      <c r="A487" s="478"/>
      <c r="B487" s="426">
        <v>18</v>
      </c>
      <c r="C487" s="431" t="s">
        <v>3265</v>
      </c>
      <c r="D487" s="436" t="str">
        <f>VLOOKUP(C487,param!$A$18:$B$220,2,FALSE)</f>
        <v>LOB2 - OT Missed</v>
      </c>
      <c r="E487" s="437">
        <f>COUNTIF(LOB2FocusAreas_DecR1,adj!$B487)*K487</f>
        <v>0</v>
      </c>
      <c r="F487" s="437">
        <f>COUNTIF(LOB2FocusAreas_DecR2,adj!$B487)*L487</f>
        <v>0</v>
      </c>
      <c r="G487" s="156"/>
      <c r="H487" s="153"/>
      <c r="I487" s="153"/>
      <c r="J487" s="154">
        <v>0</v>
      </c>
      <c r="K487" s="429">
        <f t="shared" si="50"/>
        <v>-0.02</v>
      </c>
      <c r="L487" s="429">
        <f t="shared" si="50"/>
        <v>-0.02</v>
      </c>
      <c r="M487" s="8" t="s">
        <v>2927</v>
      </c>
    </row>
    <row r="488" spans="1:13">
      <c r="A488" s="478"/>
      <c r="B488" s="426">
        <v>18</v>
      </c>
      <c r="C488" s="431" t="s">
        <v>3249</v>
      </c>
      <c r="D488" s="436" t="str">
        <f>VLOOKUP(C488,param!$A$18:$B$220,2,FALSE)</f>
        <v>LOB2 - Clinical Quality</v>
      </c>
      <c r="E488" s="437">
        <f>COUNTIF(LOB2FocusAreas_DecR1,adj!$B488)*K488</f>
        <v>0</v>
      </c>
      <c r="F488" s="437">
        <f>COUNTIF(LOB2FocusAreas_DecR2,adj!$B488)*L488</f>
        <v>0</v>
      </c>
      <c r="G488" s="156"/>
      <c r="H488" s="153"/>
      <c r="I488" s="153"/>
      <c r="J488" s="154">
        <v>0</v>
      </c>
      <c r="K488" s="429">
        <f t="shared" si="49"/>
        <v>0.01</v>
      </c>
      <c r="L488" s="429">
        <f t="shared" si="49"/>
        <v>0.01</v>
      </c>
      <c r="M488" s="8" t="s">
        <v>4371</v>
      </c>
    </row>
    <row r="489" spans="1:13">
      <c r="A489" s="478"/>
    </row>
    <row r="490" spans="1:13" ht="10.5">
      <c r="A490" s="478"/>
      <c r="B490" s="426">
        <v>19</v>
      </c>
      <c r="C490" s="427" t="s">
        <v>2942</v>
      </c>
      <c r="D490" s="436"/>
      <c r="E490" s="435"/>
      <c r="F490" s="435"/>
      <c r="G490" s="149"/>
    </row>
    <row r="491" spans="1:13">
      <c r="A491" s="478"/>
      <c r="B491" s="426">
        <v>19</v>
      </c>
      <c r="C491" s="431" t="s">
        <v>3219</v>
      </c>
      <c r="D491" s="436" t="str">
        <f>VLOOKUP(C491,param!$A$18:$B$220,2,FALSE)</f>
        <v>LOB2 - Clinical Time</v>
      </c>
      <c r="E491" s="437">
        <f>COUNTIF(LOB2FocusAreas_DecR1,adj!$B491)*K491</f>
        <v>0</v>
      </c>
      <c r="F491" s="437">
        <f>COUNTIF(LOB2FocusAreas_DecR2,adj!$B491)*L491</f>
        <v>0</v>
      </c>
      <c r="G491" s="156"/>
      <c r="J491" s="154">
        <v>0</v>
      </c>
      <c r="K491" s="429">
        <f t="shared" ref="K491:L501" si="51">VLOOKUP($M491,$O$189:$P$193,2,FALSE)</f>
        <v>0.03</v>
      </c>
      <c r="L491" s="429">
        <f t="shared" si="51"/>
        <v>0.03</v>
      </c>
      <c r="M491" s="8" t="s">
        <v>2926</v>
      </c>
    </row>
    <row r="492" spans="1:13">
      <c r="A492" s="478"/>
      <c r="B492" s="426">
        <v>19</v>
      </c>
      <c r="C492" s="431" t="s">
        <v>3240</v>
      </c>
      <c r="D492" s="436" t="str">
        <f>VLOOKUP(C492,param!$A$18:$B$220,2,FALSE)</f>
        <v>LOB2 - Employee Productivity</v>
      </c>
      <c r="E492" s="437">
        <f>COUNTIF(LOB2FocusAreas_DecR1,adj!$B492)*K492</f>
        <v>0</v>
      </c>
      <c r="F492" s="437">
        <f>COUNTIF(LOB2FocusAreas_DecR2,adj!$B492)*L492</f>
        <v>0</v>
      </c>
      <c r="G492" s="156"/>
      <c r="J492" s="154">
        <v>0</v>
      </c>
      <c r="K492" s="429">
        <f t="shared" si="51"/>
        <v>0.03</v>
      </c>
      <c r="L492" s="429">
        <f t="shared" si="51"/>
        <v>0.03</v>
      </c>
      <c r="M492" s="8" t="s">
        <v>2926</v>
      </c>
    </row>
    <row r="493" spans="1:13">
      <c r="A493" s="478"/>
      <c r="B493" s="426">
        <v>19</v>
      </c>
      <c r="C493" s="431" t="s">
        <v>3259</v>
      </c>
      <c r="D493" s="436" t="str">
        <f>VLOOKUP(C493,param!$A$18:$B$220,2,FALSE)</f>
        <v>LOB2 - RN Missed</v>
      </c>
      <c r="E493" s="437">
        <f>COUNTIF(LOB2FocusAreas_DecR1,adj!$B493)*K493</f>
        <v>0</v>
      </c>
      <c r="F493" s="437">
        <f>COUNTIF(LOB2FocusAreas_DecR2,adj!$B493)*L493</f>
        <v>0</v>
      </c>
      <c r="G493" s="156"/>
      <c r="H493" s="153"/>
      <c r="I493" s="153"/>
      <c r="J493" s="154">
        <v>0</v>
      </c>
      <c r="K493" s="429">
        <f t="shared" ref="K493:L496" si="52">-1*VLOOKUP($M493,$O$189:$P$193,2,FALSE)</f>
        <v>-0.03</v>
      </c>
      <c r="L493" s="429">
        <f t="shared" si="52"/>
        <v>-0.03</v>
      </c>
      <c r="M493" s="8" t="s">
        <v>2926</v>
      </c>
    </row>
    <row r="494" spans="1:13">
      <c r="A494" s="478"/>
      <c r="B494" s="426">
        <v>19</v>
      </c>
      <c r="C494" s="431" t="s">
        <v>3261</v>
      </c>
      <c r="D494" s="436" t="str">
        <f>VLOOKUP(C494,param!$A$18:$B$220,2,FALSE)</f>
        <v>LOB2 - LPN Missed</v>
      </c>
      <c r="E494" s="437">
        <f>COUNTIF(LOB2FocusAreas_DecR1,adj!$B494)*K494</f>
        <v>0</v>
      </c>
      <c r="F494" s="437">
        <f>COUNTIF(LOB2FocusAreas_DecR2,adj!$B494)*L494</f>
        <v>0</v>
      </c>
      <c r="G494" s="156"/>
      <c r="H494" s="153"/>
      <c r="I494" s="153"/>
      <c r="J494" s="154">
        <v>0</v>
      </c>
      <c r="K494" s="429">
        <f t="shared" si="52"/>
        <v>-0.03</v>
      </c>
      <c r="L494" s="429">
        <f t="shared" si="52"/>
        <v>-0.03</v>
      </c>
      <c r="M494" s="8" t="s">
        <v>2926</v>
      </c>
    </row>
    <row r="495" spans="1:13">
      <c r="A495" s="478"/>
      <c r="B495" s="426">
        <v>19</v>
      </c>
      <c r="C495" s="431" t="s">
        <v>3263</v>
      </c>
      <c r="D495" s="436" t="str">
        <f>VLOOKUP(C495,param!$A$18:$B$220,2,FALSE)</f>
        <v>LOB2 - PT Missed</v>
      </c>
      <c r="E495" s="437">
        <f>COUNTIF(LOB2FocusAreas_DecR1,adj!$B495)*K495</f>
        <v>0</v>
      </c>
      <c r="F495" s="437">
        <f>COUNTIF(LOB2FocusAreas_DecR2,adj!$B495)*L495</f>
        <v>0</v>
      </c>
      <c r="G495" s="156"/>
      <c r="H495" s="153"/>
      <c r="I495" s="153"/>
      <c r="J495" s="154">
        <v>0</v>
      </c>
      <c r="K495" s="429">
        <f t="shared" si="52"/>
        <v>-0.03</v>
      </c>
      <c r="L495" s="429">
        <f t="shared" si="52"/>
        <v>-0.03</v>
      </c>
      <c r="M495" s="8" t="s">
        <v>2926</v>
      </c>
    </row>
    <row r="496" spans="1:13">
      <c r="A496" s="478"/>
      <c r="B496" s="426">
        <v>19</v>
      </c>
      <c r="C496" s="431" t="s">
        <v>3265</v>
      </c>
      <c r="D496" s="436" t="str">
        <f>VLOOKUP(C496,param!$A$18:$B$220,2,FALSE)</f>
        <v>LOB2 - OT Missed</v>
      </c>
      <c r="E496" s="437">
        <f>COUNTIF(LOB2FocusAreas_DecR1,adj!$B496)*K496</f>
        <v>0</v>
      </c>
      <c r="F496" s="437">
        <f>COUNTIF(LOB2FocusAreas_DecR2,adj!$B496)*L496</f>
        <v>0</v>
      </c>
      <c r="G496" s="156"/>
      <c r="H496" s="153"/>
      <c r="I496" s="153"/>
      <c r="J496" s="154">
        <v>0</v>
      </c>
      <c r="K496" s="429">
        <f t="shared" si="52"/>
        <v>-0.03</v>
      </c>
      <c r="L496" s="429">
        <f t="shared" si="52"/>
        <v>-0.03</v>
      </c>
      <c r="M496" s="8" t="s">
        <v>2926</v>
      </c>
    </row>
    <row r="497" spans="1:13">
      <c r="A497" s="478"/>
      <c r="B497" s="426">
        <v>19</v>
      </c>
      <c r="C497" s="431" t="s">
        <v>3251</v>
      </c>
      <c r="D497" s="436" t="str">
        <f>VLOOKUP(C497,param!$A$18:$B$220,2,FALSE)</f>
        <v>LOB2 - RN Meetings</v>
      </c>
      <c r="E497" s="437">
        <f>COUNTIF(LOB2FocusAreas_DecR1,adj!$B497)*K497</f>
        <v>0</v>
      </c>
      <c r="F497" s="437">
        <f>COUNTIF(LOB2FocusAreas_DecR2,adj!$B497)*L497</f>
        <v>0</v>
      </c>
      <c r="G497" s="156"/>
      <c r="H497" s="153"/>
      <c r="I497" s="153"/>
      <c r="J497" s="154">
        <v>0</v>
      </c>
      <c r="K497" s="429">
        <f t="shared" si="51"/>
        <v>0.03</v>
      </c>
      <c r="L497" s="429">
        <f t="shared" si="51"/>
        <v>0.03</v>
      </c>
      <c r="M497" s="8" t="s">
        <v>2926</v>
      </c>
    </row>
    <row r="498" spans="1:13">
      <c r="A498" s="478"/>
      <c r="B498" s="426">
        <v>19</v>
      </c>
      <c r="C498" s="431" t="s">
        <v>3253</v>
      </c>
      <c r="D498" s="436" t="str">
        <f>VLOOKUP(C498,param!$A$18:$B$220,2,FALSE)</f>
        <v>LOB2 - LPN Meetings</v>
      </c>
      <c r="E498" s="437">
        <f>COUNTIF(LOB2FocusAreas_DecR1,adj!$B498)*K498</f>
        <v>0</v>
      </c>
      <c r="F498" s="437">
        <f>COUNTIF(LOB2FocusAreas_DecR2,adj!$B498)*L498</f>
        <v>0</v>
      </c>
      <c r="G498" s="156"/>
      <c r="H498" s="153"/>
      <c r="I498" s="153"/>
      <c r="J498" s="154">
        <v>0</v>
      </c>
      <c r="K498" s="429">
        <f t="shared" si="51"/>
        <v>0.03</v>
      </c>
      <c r="L498" s="429">
        <f t="shared" si="51"/>
        <v>0.03</v>
      </c>
      <c r="M498" s="8" t="s">
        <v>2926</v>
      </c>
    </row>
    <row r="499" spans="1:13">
      <c r="A499" s="478"/>
      <c r="B499" s="426">
        <v>19</v>
      </c>
      <c r="C499" s="431" t="s">
        <v>3255</v>
      </c>
      <c r="D499" s="436" t="str">
        <f>VLOOKUP(C499,param!$A$18:$B$220,2,FALSE)</f>
        <v>LOB2 - PT Meetings</v>
      </c>
      <c r="E499" s="437">
        <f>COUNTIF(LOB2FocusAreas_DecR1,adj!$B499)*K499</f>
        <v>0</v>
      </c>
      <c r="F499" s="437">
        <f>COUNTIF(LOB2FocusAreas_DecR2,adj!$B499)*L499</f>
        <v>0</v>
      </c>
      <c r="G499" s="156"/>
      <c r="H499" s="153"/>
      <c r="I499" s="153"/>
      <c r="J499" s="154">
        <v>0</v>
      </c>
      <c r="K499" s="429">
        <f t="shared" si="51"/>
        <v>0.03</v>
      </c>
      <c r="L499" s="429">
        <f t="shared" si="51"/>
        <v>0.03</v>
      </c>
      <c r="M499" s="8" t="s">
        <v>2926</v>
      </c>
    </row>
    <row r="500" spans="1:13">
      <c r="A500" s="478"/>
      <c r="B500" s="426">
        <v>19</v>
      </c>
      <c r="C500" s="431" t="s">
        <v>3257</v>
      </c>
      <c r="D500" s="436" t="str">
        <f>VLOOKUP(C500,param!$A$18:$B$220,2,FALSE)</f>
        <v>LOB2 - OT Meetings</v>
      </c>
      <c r="E500" s="437">
        <f>COUNTIF(LOB2FocusAreas_DecR1,adj!$B500)*K500</f>
        <v>0</v>
      </c>
      <c r="F500" s="437">
        <f>COUNTIF(LOB2FocusAreas_DecR2,adj!$B500)*L500</f>
        <v>0</v>
      </c>
      <c r="G500" s="156"/>
      <c r="H500" s="153"/>
      <c r="I500" s="153"/>
      <c r="J500" s="154">
        <v>0</v>
      </c>
      <c r="K500" s="429">
        <f t="shared" si="51"/>
        <v>0.03</v>
      </c>
      <c r="L500" s="429">
        <f t="shared" si="51"/>
        <v>0.03</v>
      </c>
      <c r="M500" s="8" t="s">
        <v>2926</v>
      </c>
    </row>
    <row r="501" spans="1:13">
      <c r="A501" s="478"/>
      <c r="B501" s="426">
        <v>19</v>
      </c>
      <c r="C501" s="431" t="s">
        <v>3249</v>
      </c>
      <c r="D501" s="436" t="str">
        <f>VLOOKUP(C501,param!$A$18:$B$220,2,FALSE)</f>
        <v>LOB2 - Clinical Quality</v>
      </c>
      <c r="E501" s="437">
        <f>COUNTIF(LOB2FocusAreas_DecR1,adj!$B501)*K501</f>
        <v>0</v>
      </c>
      <c r="F501" s="437">
        <f>COUNTIF(LOB2FocusAreas_DecR2,adj!$B501)*L501</f>
        <v>0</v>
      </c>
      <c r="G501" s="156"/>
      <c r="H501" s="153"/>
      <c r="I501" s="153"/>
      <c r="J501" s="154">
        <v>0</v>
      </c>
      <c r="K501" s="429">
        <f t="shared" si="51"/>
        <v>0.05</v>
      </c>
      <c r="L501" s="429">
        <f t="shared" si="51"/>
        <v>0.05</v>
      </c>
      <c r="M501" s="8" t="s">
        <v>2930</v>
      </c>
    </row>
    <row r="502" spans="1:13">
      <c r="A502" s="478"/>
    </row>
    <row r="503" spans="1:13" ht="10.5">
      <c r="A503" s="478"/>
      <c r="B503" s="426">
        <v>20</v>
      </c>
      <c r="C503" s="427" t="s">
        <v>4372</v>
      </c>
      <c r="D503" s="436"/>
      <c r="E503" s="435"/>
      <c r="F503" s="435"/>
      <c r="G503" s="149"/>
    </row>
    <row r="504" spans="1:13">
      <c r="A504" s="478"/>
      <c r="B504" s="426">
        <v>20</v>
      </c>
      <c r="C504" s="431" t="s">
        <v>3219</v>
      </c>
      <c r="D504" s="436" t="str">
        <f>VLOOKUP(C504,param!$A$18:$B$220,2,FALSE)</f>
        <v>LOB2 - Clinical Time</v>
      </c>
      <c r="E504" s="437">
        <f>COUNTIF(LOB2FocusAreas_DecR1,adj!$B504)*K504</f>
        <v>0</v>
      </c>
      <c r="F504" s="437">
        <f>COUNTIF(LOB2FocusAreas_DecR2,adj!$B504)*L504</f>
        <v>0</v>
      </c>
      <c r="G504" s="156"/>
      <c r="J504" s="154">
        <v>0</v>
      </c>
      <c r="K504" s="429">
        <f t="shared" ref="K504:L512" si="53">VLOOKUP($M504,$O$189:$P$193,2,FALSE)</f>
        <v>0.03</v>
      </c>
      <c r="L504" s="429">
        <f t="shared" si="53"/>
        <v>0.03</v>
      </c>
      <c r="M504" s="8" t="s">
        <v>2926</v>
      </c>
    </row>
    <row r="505" spans="1:13">
      <c r="A505" s="478"/>
      <c r="B505" s="426">
        <v>20</v>
      </c>
      <c r="C505" s="431" t="s">
        <v>3234</v>
      </c>
      <c r="D505" s="436" t="str">
        <f>VLOOKUP(C505,param!$A$18:$B$220,2,FALSE)</f>
        <v>LOB2 - Employee Engagment</v>
      </c>
      <c r="E505" s="437">
        <f>COUNTIF(LOB2FocusAreas_DecR1,adj!$B505)*K505</f>
        <v>0</v>
      </c>
      <c r="F505" s="437">
        <f>COUNTIF(LOB2FocusAreas_DecR2,adj!$B505)*L505</f>
        <v>0</v>
      </c>
      <c r="G505" s="156"/>
      <c r="H505" s="153"/>
      <c r="I505" s="153"/>
      <c r="J505" s="154">
        <v>0</v>
      </c>
      <c r="K505" s="429">
        <f t="shared" si="53"/>
        <v>0.03</v>
      </c>
      <c r="L505" s="429">
        <f t="shared" si="53"/>
        <v>0.03</v>
      </c>
      <c r="M505" s="8" t="s">
        <v>2926</v>
      </c>
    </row>
    <row r="506" spans="1:13">
      <c r="A506" s="478"/>
      <c r="B506" s="426">
        <v>20</v>
      </c>
      <c r="C506" s="431" t="s">
        <v>3240</v>
      </c>
      <c r="D506" s="436" t="str">
        <f>VLOOKUP(C506,param!$A$18:$B$220,2,FALSE)</f>
        <v>LOB2 - Employee Productivity</v>
      </c>
      <c r="E506" s="437">
        <f>COUNTIF(LOB2FocusAreas_DecR1,adj!$B506)*K506</f>
        <v>0</v>
      </c>
      <c r="F506" s="437">
        <f>COUNTIF(LOB2FocusAreas_DecR2,adj!$B506)*L506</f>
        <v>0</v>
      </c>
      <c r="G506" s="156"/>
      <c r="J506" s="154">
        <v>0</v>
      </c>
      <c r="K506" s="429">
        <f t="shared" si="53"/>
        <v>0.02</v>
      </c>
      <c r="L506" s="429">
        <f t="shared" si="53"/>
        <v>0.02</v>
      </c>
      <c r="M506" s="8" t="s">
        <v>2927</v>
      </c>
    </row>
    <row r="507" spans="1:13">
      <c r="A507" s="478"/>
      <c r="B507" s="426">
        <v>20</v>
      </c>
      <c r="C507" s="431" t="s">
        <v>3251</v>
      </c>
      <c r="D507" s="436" t="str">
        <f>VLOOKUP(C507,param!$A$18:$B$220,2,FALSE)</f>
        <v>LOB2 - RN Meetings</v>
      </c>
      <c r="E507" s="437">
        <f>COUNTIF(LOB2FocusAreas_DecR1,adj!$B507)*K507</f>
        <v>0</v>
      </c>
      <c r="F507" s="437">
        <f>COUNTIF(LOB2FocusAreas_DecR2,adj!$B507)*L507</f>
        <v>0</v>
      </c>
      <c r="G507" s="156"/>
      <c r="H507" s="153"/>
      <c r="I507" s="153"/>
      <c r="J507" s="154">
        <v>0</v>
      </c>
      <c r="K507" s="429">
        <f t="shared" si="53"/>
        <v>0.01</v>
      </c>
      <c r="L507" s="429">
        <f t="shared" si="53"/>
        <v>0.01</v>
      </c>
      <c r="M507" s="8" t="s">
        <v>2929</v>
      </c>
    </row>
    <row r="508" spans="1:13">
      <c r="A508" s="478"/>
      <c r="B508" s="426">
        <v>20</v>
      </c>
      <c r="C508" s="431" t="s">
        <v>3253</v>
      </c>
      <c r="D508" s="436" t="str">
        <f>VLOOKUP(C508,param!$A$18:$B$220,2,FALSE)</f>
        <v>LOB2 - LPN Meetings</v>
      </c>
      <c r="E508" s="437">
        <f>COUNTIF(LOB2FocusAreas_DecR1,adj!$B508)*K508</f>
        <v>0</v>
      </c>
      <c r="F508" s="437">
        <f>COUNTIF(LOB2FocusAreas_DecR2,adj!$B508)*L508</f>
        <v>0</v>
      </c>
      <c r="G508" s="156"/>
      <c r="H508" s="153"/>
      <c r="I508" s="153"/>
      <c r="J508" s="154">
        <v>0</v>
      </c>
      <c r="K508" s="429">
        <f t="shared" si="53"/>
        <v>0.01</v>
      </c>
      <c r="L508" s="429">
        <f t="shared" si="53"/>
        <v>0.01</v>
      </c>
      <c r="M508" s="8" t="s">
        <v>2929</v>
      </c>
    </row>
    <row r="509" spans="1:13">
      <c r="A509" s="478"/>
      <c r="B509" s="426">
        <v>20</v>
      </c>
      <c r="C509" s="431" t="s">
        <v>3255</v>
      </c>
      <c r="D509" s="436" t="str">
        <f>VLOOKUP(C509,param!$A$18:$B$220,2,FALSE)</f>
        <v>LOB2 - PT Meetings</v>
      </c>
      <c r="E509" s="437">
        <f>COUNTIF(LOB2FocusAreas_DecR1,adj!$B509)*K509</f>
        <v>0</v>
      </c>
      <c r="F509" s="437">
        <f>COUNTIF(LOB2FocusAreas_DecR2,adj!$B509)*L509</f>
        <v>0</v>
      </c>
      <c r="G509" s="156"/>
      <c r="H509" s="153"/>
      <c r="I509" s="153"/>
      <c r="J509" s="154">
        <v>0</v>
      </c>
      <c r="K509" s="429">
        <f t="shared" si="53"/>
        <v>0.01</v>
      </c>
      <c r="L509" s="429">
        <f t="shared" si="53"/>
        <v>0.01</v>
      </c>
      <c r="M509" s="8" t="s">
        <v>2929</v>
      </c>
    </row>
    <row r="510" spans="1:13">
      <c r="A510" s="478"/>
      <c r="B510" s="426">
        <v>20</v>
      </c>
      <c r="C510" s="431" t="s">
        <v>3257</v>
      </c>
      <c r="D510" s="436" t="str">
        <f>VLOOKUP(C510,param!$A$18:$B$220,2,FALSE)</f>
        <v>LOB2 - OT Meetings</v>
      </c>
      <c r="E510" s="437">
        <f>COUNTIF(LOB2FocusAreas_DecR1,adj!$B510)*K510</f>
        <v>0</v>
      </c>
      <c r="F510" s="437">
        <f>COUNTIF(LOB2FocusAreas_DecR2,adj!$B510)*L510</f>
        <v>0</v>
      </c>
      <c r="G510" s="156"/>
      <c r="H510" s="153"/>
      <c r="I510" s="153"/>
      <c r="J510" s="154">
        <v>0</v>
      </c>
      <c r="K510" s="429">
        <f t="shared" si="53"/>
        <v>0.01</v>
      </c>
      <c r="L510" s="429">
        <f t="shared" si="53"/>
        <v>0.01</v>
      </c>
      <c r="M510" s="8" t="s">
        <v>2929</v>
      </c>
    </row>
    <row r="511" spans="1:13">
      <c r="A511" s="478"/>
      <c r="B511" s="426">
        <v>20</v>
      </c>
      <c r="C511" s="431" t="s">
        <v>3249</v>
      </c>
      <c r="D511" s="436" t="str">
        <f>VLOOKUP(C511,param!$A$18:$B$220,2,FALSE)</f>
        <v>LOB2 - Clinical Quality</v>
      </c>
      <c r="E511" s="437">
        <f>COUNTIF(LOB2FocusAreas_DecR1,adj!$B511)*K511</f>
        <v>0</v>
      </c>
      <c r="F511" s="437">
        <f>COUNTIF(LOB2FocusAreas_DecR2,adj!$B511)*L511</f>
        <v>0</v>
      </c>
      <c r="G511" s="156"/>
      <c r="H511" s="153"/>
      <c r="I511" s="153"/>
      <c r="J511" s="154">
        <v>0</v>
      </c>
      <c r="K511" s="429">
        <f t="shared" si="53"/>
        <v>0.01</v>
      </c>
      <c r="L511" s="429">
        <f t="shared" si="53"/>
        <v>0.01</v>
      </c>
      <c r="M511" s="8" t="s">
        <v>2929</v>
      </c>
    </row>
    <row r="512" spans="1:13">
      <c r="A512" s="478"/>
      <c r="B512" s="426">
        <v>20</v>
      </c>
      <c r="C512" s="431" t="s">
        <v>4185</v>
      </c>
      <c r="D512" s="436" t="str">
        <f>VLOOKUP(C512,param!$A$18:$B$220,2,FALSE)</f>
        <v>LOB2-Clinician Recruitment</v>
      </c>
      <c r="E512" s="437">
        <f>COUNTIF(LOB2FocusAreas_DecR1,adj!$B512)*K512</f>
        <v>0</v>
      </c>
      <c r="F512" s="437">
        <f>COUNTIF(LOB2FocusAreas_DecR2,adj!$B512)*L512</f>
        <v>0</v>
      </c>
      <c r="G512" s="156"/>
      <c r="J512" s="154">
        <v>0</v>
      </c>
      <c r="K512" s="429">
        <f t="shared" si="53"/>
        <v>0.03</v>
      </c>
      <c r="L512" s="429">
        <f t="shared" si="53"/>
        <v>0.03</v>
      </c>
      <c r="M512" s="8" t="s">
        <v>2926</v>
      </c>
    </row>
    <row r="514" spans="1:13" s="146" customFormat="1">
      <c r="A514" s="147" t="s">
        <v>4674</v>
      </c>
      <c r="B514" s="147"/>
      <c r="E514" s="146" t="s">
        <v>706</v>
      </c>
      <c r="F514" s="146" t="s">
        <v>707</v>
      </c>
      <c r="J514" s="146" t="s">
        <v>168</v>
      </c>
      <c r="K514" s="146" t="s">
        <v>167</v>
      </c>
      <c r="L514" s="146" t="s">
        <v>166</v>
      </c>
    </row>
    <row r="516" spans="1:13" ht="10.5">
      <c r="B516" s="67" t="s">
        <v>4675</v>
      </c>
    </row>
    <row r="517" spans="1:13" ht="10.5">
      <c r="A517" s="476"/>
      <c r="B517" s="426">
        <v>50</v>
      </c>
      <c r="C517" s="427" t="s">
        <v>4676</v>
      </c>
      <c r="D517" s="436"/>
      <c r="E517" s="435"/>
      <c r="F517" s="435"/>
      <c r="G517" s="149"/>
    </row>
    <row r="518" spans="1:13">
      <c r="A518" s="476"/>
      <c r="B518" s="426">
        <v>50</v>
      </c>
      <c r="C518" s="431" t="s">
        <v>3148</v>
      </c>
      <c r="D518" s="436" t="str">
        <f>VLOOKUP(C518,param!$A$18:$B$220,2,FALSE)</f>
        <v>LOB1 - People Development Time</v>
      </c>
      <c r="E518" s="437">
        <f>IF(INDEX(decR1Event1,1)=adj!$B518,K518,0)</f>
        <v>0</v>
      </c>
      <c r="F518" s="437"/>
      <c r="G518" s="156"/>
      <c r="J518" s="154">
        <v>0</v>
      </c>
      <c r="K518" s="429">
        <f t="shared" ref="K518:L519" si="54">VLOOKUP($M518,$O$189:$P$193,2,FALSE)</f>
        <v>0.02</v>
      </c>
      <c r="L518" s="429">
        <f t="shared" si="54"/>
        <v>0.02</v>
      </c>
      <c r="M518" s="8" t="s">
        <v>2927</v>
      </c>
    </row>
    <row r="519" spans="1:13">
      <c r="A519" s="476"/>
      <c r="B519" s="426">
        <v>50</v>
      </c>
      <c r="C519" s="431" t="s">
        <v>3213</v>
      </c>
      <c r="D519" s="436" t="str">
        <f>VLOOKUP(C519,param!$A$18:$B$220,2,FALSE)</f>
        <v>LOB2 - People Development Time</v>
      </c>
      <c r="E519" s="437">
        <f>IF(INDEX(decR1Event1,1)=adj!$B519,K519,0)</f>
        <v>0</v>
      </c>
      <c r="F519" s="437"/>
      <c r="G519" s="156"/>
      <c r="H519" s="153"/>
      <c r="I519" s="153"/>
      <c r="J519" s="154">
        <v>0</v>
      </c>
      <c r="K519" s="429">
        <f t="shared" si="54"/>
        <v>0.02</v>
      </c>
      <c r="L519" s="429">
        <f t="shared" si="54"/>
        <v>0.02</v>
      </c>
      <c r="M519" s="8" t="s">
        <v>2927</v>
      </c>
    </row>
    <row r="520" spans="1:13">
      <c r="A520" s="476"/>
      <c r="B520" s="426">
        <v>50</v>
      </c>
      <c r="C520" s="431" t="s">
        <v>3162</v>
      </c>
      <c r="D520" s="436" t="str">
        <f>VLOOKUP(C520,param!$A$18:$B$220,2,FALSE)</f>
        <v>LOB1 - Employee Engagment</v>
      </c>
      <c r="E520" s="437">
        <f>IF(INDEX(decR1Event1,1)=adj!$B520,K520,0)</f>
        <v>0</v>
      </c>
      <c r="F520" s="437"/>
      <c r="G520" s="156"/>
      <c r="J520" s="154">
        <v>0</v>
      </c>
      <c r="K520" s="429">
        <f>VLOOKUP($M520,$O$189:$P$193,2,FALSE)*-1</f>
        <v>-0.03</v>
      </c>
      <c r="L520" s="429">
        <f>-1*VLOOKUP($M520,$O$189:$P$193,2,FALSE)</f>
        <v>-0.03</v>
      </c>
      <c r="M520" s="8" t="s">
        <v>2926</v>
      </c>
    </row>
    <row r="521" spans="1:13">
      <c r="A521" s="476"/>
      <c r="B521" s="426">
        <v>50</v>
      </c>
      <c r="C521" s="431" t="s">
        <v>3234</v>
      </c>
      <c r="D521" s="436" t="str">
        <f>VLOOKUP(C521,param!$A$18:$B$220,2,FALSE)</f>
        <v>LOB2 - Employee Engagment</v>
      </c>
      <c r="E521" s="437">
        <f>IF(INDEX(decR1Event1,1)=adj!$B521,K521,0)</f>
        <v>0</v>
      </c>
      <c r="F521" s="437"/>
      <c r="G521" s="156"/>
      <c r="H521" s="153"/>
      <c r="I521" s="153"/>
      <c r="J521" s="154">
        <v>0</v>
      </c>
      <c r="K521" s="429">
        <f>VLOOKUP($M521,$O$189:$P$193,2,FALSE)*-1</f>
        <v>-0.03</v>
      </c>
      <c r="L521" s="429">
        <f>-1*VLOOKUP($M521,$O$189:$P$193,2,FALSE)</f>
        <v>-0.03</v>
      </c>
      <c r="M521" s="8" t="s">
        <v>2926</v>
      </c>
    </row>
    <row r="523" spans="1:13" ht="10.5">
      <c r="A523" s="476"/>
      <c r="B523" s="426">
        <v>51</v>
      </c>
      <c r="C523" s="427" t="s">
        <v>4677</v>
      </c>
      <c r="D523" s="436"/>
      <c r="E523" s="435"/>
      <c r="F523" s="435"/>
      <c r="G523" s="149"/>
    </row>
    <row r="524" spans="1:13">
      <c r="A524" s="476"/>
      <c r="B524" s="426">
        <v>51</v>
      </c>
      <c r="C524" s="431" t="s">
        <v>3148</v>
      </c>
      <c r="D524" s="436" t="str">
        <f>VLOOKUP(C524,param!$A$18:$B$220,2,FALSE)</f>
        <v>LOB1 - People Development Time</v>
      </c>
      <c r="E524" s="437">
        <f>IF(INDEX(decR1Event1,1)=adj!$B524,K524,0)</f>
        <v>0</v>
      </c>
      <c r="F524" s="437"/>
      <c r="G524" s="156"/>
      <c r="J524" s="154">
        <v>0</v>
      </c>
      <c r="K524" s="429">
        <f t="shared" ref="K524:L525" si="55">VLOOKUP($M524,$O$189:$P$193,2,FALSE)</f>
        <v>0.01</v>
      </c>
      <c r="L524" s="429">
        <f t="shared" si="55"/>
        <v>0.01</v>
      </c>
      <c r="M524" s="8" t="s">
        <v>2929</v>
      </c>
    </row>
    <row r="525" spans="1:13">
      <c r="A525" s="476"/>
      <c r="B525" s="426">
        <v>51</v>
      </c>
      <c r="C525" s="431" t="s">
        <v>3213</v>
      </c>
      <c r="D525" s="436" t="str">
        <f>VLOOKUP(C525,param!$A$18:$B$220,2,FALSE)</f>
        <v>LOB2 - People Development Time</v>
      </c>
      <c r="E525" s="437">
        <f>IF(INDEX(decR1Event1,1)=adj!$B525,K525,0)</f>
        <v>0</v>
      </c>
      <c r="F525" s="437"/>
      <c r="G525" s="156"/>
      <c r="H525" s="153"/>
      <c r="I525" s="153"/>
      <c r="J525" s="154">
        <v>0</v>
      </c>
      <c r="K525" s="429">
        <f t="shared" si="55"/>
        <v>0.01</v>
      </c>
      <c r="L525" s="429">
        <f t="shared" si="55"/>
        <v>0.01</v>
      </c>
      <c r="M525" s="8" t="s">
        <v>2929</v>
      </c>
    </row>
    <row r="526" spans="1:13">
      <c r="A526" s="476"/>
      <c r="B526" s="426">
        <v>51</v>
      </c>
      <c r="C526" s="431" t="s">
        <v>3162</v>
      </c>
      <c r="D526" s="436" t="str">
        <f>VLOOKUP(C526,param!$A$18:$B$220,2,FALSE)</f>
        <v>LOB1 - Employee Engagment</v>
      </c>
      <c r="E526" s="437">
        <f>IF(INDEX(decR1Event1,1)=adj!$B526,K526,0)</f>
        <v>0</v>
      </c>
      <c r="F526" s="437"/>
      <c r="G526" s="156"/>
      <c r="J526" s="154">
        <v>0</v>
      </c>
      <c r="K526" s="429">
        <f t="shared" ref="K526:L537" si="56">VLOOKUP($M526,$O$189:$P$193,2,FALSE)</f>
        <v>0.03</v>
      </c>
      <c r="L526" s="429">
        <f t="shared" si="56"/>
        <v>0.03</v>
      </c>
      <c r="M526" s="8" t="s">
        <v>2926</v>
      </c>
    </row>
    <row r="527" spans="1:13">
      <c r="A527" s="476"/>
      <c r="B527" s="426">
        <v>51</v>
      </c>
      <c r="C527" s="431" t="s">
        <v>3234</v>
      </c>
      <c r="D527" s="436" t="str">
        <f>VLOOKUP(C527,param!$A$18:$B$220,2,FALSE)</f>
        <v>LOB2 - Employee Engagment</v>
      </c>
      <c r="E527" s="437">
        <f>IF(INDEX(decR1Event1,1)=adj!$B527,K527,0)</f>
        <v>0</v>
      </c>
      <c r="F527" s="437"/>
      <c r="G527" s="156"/>
      <c r="H527" s="153"/>
      <c r="I527" s="153"/>
      <c r="J527" s="154">
        <v>0</v>
      </c>
      <c r="K527" s="429">
        <f t="shared" si="56"/>
        <v>0.03</v>
      </c>
      <c r="L527" s="429">
        <f t="shared" si="56"/>
        <v>0.03</v>
      </c>
      <c r="M527" s="8" t="s">
        <v>2926</v>
      </c>
    </row>
    <row r="528" spans="1:13">
      <c r="A528" s="476"/>
      <c r="B528" s="426">
        <v>51</v>
      </c>
      <c r="C528" s="431" t="s">
        <v>3172</v>
      </c>
      <c r="D528" s="436" t="str">
        <f>VLOOKUP(C528,param!$A$18:$B$220,2,FALSE)</f>
        <v>LOB1 - Clinical Quality</v>
      </c>
      <c r="E528" s="437">
        <f>IF(INDEX(decR1Event1,1)=adj!$B528,K528,0)</f>
        <v>0</v>
      </c>
      <c r="F528" s="437"/>
      <c r="G528" s="156"/>
      <c r="J528" s="154">
        <v>0</v>
      </c>
      <c r="K528" s="429">
        <f t="shared" si="56"/>
        <v>0.01</v>
      </c>
      <c r="L528" s="429">
        <f t="shared" si="56"/>
        <v>0.01</v>
      </c>
      <c r="M528" s="8" t="s">
        <v>2929</v>
      </c>
    </row>
    <row r="529" spans="1:13">
      <c r="A529" s="476"/>
      <c r="B529" s="426">
        <v>51</v>
      </c>
      <c r="C529" s="431" t="s">
        <v>3249</v>
      </c>
      <c r="D529" s="436" t="str">
        <f>VLOOKUP(C529,param!$A$18:$B$220,2,FALSE)</f>
        <v>LOB2 - Clinical Quality</v>
      </c>
      <c r="E529" s="437">
        <f>IF(INDEX(decR1Event1,1)=adj!$B529,K529,0)</f>
        <v>0</v>
      </c>
      <c r="F529" s="437"/>
      <c r="G529" s="156"/>
      <c r="H529" s="153"/>
      <c r="I529" s="153"/>
      <c r="J529" s="154">
        <v>0</v>
      </c>
      <c r="K529" s="429">
        <f t="shared" si="56"/>
        <v>0.01</v>
      </c>
      <c r="L529" s="429">
        <f t="shared" si="56"/>
        <v>0.01</v>
      </c>
      <c r="M529" s="8" t="s">
        <v>2929</v>
      </c>
    </row>
    <row r="530" spans="1:13">
      <c r="A530" s="476"/>
      <c r="B530" s="426">
        <v>51</v>
      </c>
      <c r="C530" s="431" t="s">
        <v>3173</v>
      </c>
      <c r="D530" s="436" t="str">
        <f>VLOOKUP(C530,param!$A$18:$B$220,2,FALSE)</f>
        <v>LOB1 - RN Meetings</v>
      </c>
      <c r="E530" s="437">
        <f>IF(INDEX(decR1Event1,1)=adj!$B530,K530,0)</f>
        <v>0</v>
      </c>
      <c r="F530" s="437"/>
      <c r="G530" s="156"/>
      <c r="J530" s="154">
        <v>0</v>
      </c>
      <c r="K530" s="429">
        <f t="shared" si="56"/>
        <v>0.02</v>
      </c>
      <c r="L530" s="429">
        <f t="shared" si="56"/>
        <v>0.02</v>
      </c>
      <c r="M530" s="8" t="s">
        <v>2927</v>
      </c>
    </row>
    <row r="531" spans="1:13">
      <c r="A531" s="476"/>
      <c r="B531" s="426">
        <v>51</v>
      </c>
      <c r="C531" s="431" t="s">
        <v>3174</v>
      </c>
      <c r="D531" s="436" t="str">
        <f>VLOOKUP(C531,param!$A$18:$B$220,2,FALSE)</f>
        <v>LOB1 - LPN Meetings</v>
      </c>
      <c r="E531" s="437">
        <f>IF(INDEX(decR1Event1,1)=adj!$B531,K531,0)</f>
        <v>0</v>
      </c>
      <c r="F531" s="437"/>
      <c r="G531" s="156"/>
      <c r="H531" s="153"/>
      <c r="I531" s="153"/>
      <c r="J531" s="154">
        <v>0</v>
      </c>
      <c r="K531" s="429">
        <f t="shared" si="56"/>
        <v>0.02</v>
      </c>
      <c r="L531" s="429">
        <f t="shared" si="56"/>
        <v>0.02</v>
      </c>
      <c r="M531" s="8" t="s">
        <v>2927</v>
      </c>
    </row>
    <row r="532" spans="1:13">
      <c r="A532" s="476"/>
      <c r="B532" s="426">
        <v>51</v>
      </c>
      <c r="C532" s="431" t="s">
        <v>3175</v>
      </c>
      <c r="D532" s="436" t="str">
        <f>VLOOKUP(C532,param!$A$18:$B$220,2,FALSE)</f>
        <v>LOB1 - PT Meetings</v>
      </c>
      <c r="E532" s="437">
        <f>IF(INDEX(decR1Event1,1)=adj!$B532,K532,0)</f>
        <v>0</v>
      </c>
      <c r="F532" s="437"/>
      <c r="G532" s="156"/>
      <c r="J532" s="154">
        <v>0</v>
      </c>
      <c r="K532" s="429">
        <f t="shared" si="56"/>
        <v>0.02</v>
      </c>
      <c r="L532" s="429">
        <f t="shared" si="56"/>
        <v>0.02</v>
      </c>
      <c r="M532" s="8" t="s">
        <v>2927</v>
      </c>
    </row>
    <row r="533" spans="1:13">
      <c r="A533" s="476"/>
      <c r="B533" s="426">
        <v>51</v>
      </c>
      <c r="C533" s="431" t="s">
        <v>3176</v>
      </c>
      <c r="D533" s="436" t="str">
        <f>VLOOKUP(C533,param!$A$18:$B$220,2,FALSE)</f>
        <v>LOB1 - OT Meetings</v>
      </c>
      <c r="E533" s="437">
        <f>IF(INDEX(decR1Event1,1)=adj!$B533,K533,0)</f>
        <v>0</v>
      </c>
      <c r="F533" s="437"/>
      <c r="G533" s="156"/>
      <c r="H533" s="153"/>
      <c r="I533" s="153"/>
      <c r="J533" s="154">
        <v>0</v>
      </c>
      <c r="K533" s="429">
        <f t="shared" si="56"/>
        <v>0.02</v>
      </c>
      <c r="L533" s="429">
        <f t="shared" si="56"/>
        <v>0.02</v>
      </c>
      <c r="M533" s="8" t="s">
        <v>2927</v>
      </c>
    </row>
    <row r="534" spans="1:13">
      <c r="A534" s="476"/>
      <c r="B534" s="426">
        <v>51</v>
      </c>
      <c r="C534" s="431" t="s">
        <v>3251</v>
      </c>
      <c r="D534" s="436" t="str">
        <f>VLOOKUP(C534,param!$A$18:$B$220,2,FALSE)</f>
        <v>LOB2 - RN Meetings</v>
      </c>
      <c r="E534" s="437">
        <f>IF(INDEX(decR1Event1,1)=adj!$B534,K534,0)</f>
        <v>0</v>
      </c>
      <c r="F534" s="437"/>
      <c r="G534" s="156"/>
      <c r="J534" s="154">
        <v>0</v>
      </c>
      <c r="K534" s="429">
        <f t="shared" si="56"/>
        <v>0.02</v>
      </c>
      <c r="L534" s="429">
        <f t="shared" si="56"/>
        <v>0.02</v>
      </c>
      <c r="M534" s="8" t="s">
        <v>2927</v>
      </c>
    </row>
    <row r="535" spans="1:13">
      <c r="A535" s="476"/>
      <c r="B535" s="426">
        <v>51</v>
      </c>
      <c r="C535" s="431" t="s">
        <v>3253</v>
      </c>
      <c r="D535" s="436" t="str">
        <f>VLOOKUP(C535,param!$A$18:$B$220,2,FALSE)</f>
        <v>LOB2 - LPN Meetings</v>
      </c>
      <c r="E535" s="437">
        <f>IF(INDEX(decR1Event1,1)=adj!$B535,K535,0)</f>
        <v>0</v>
      </c>
      <c r="F535" s="437"/>
      <c r="G535" s="156"/>
      <c r="H535" s="153"/>
      <c r="I535" s="153"/>
      <c r="J535" s="154">
        <v>0</v>
      </c>
      <c r="K535" s="429">
        <f t="shared" si="56"/>
        <v>0.02</v>
      </c>
      <c r="L535" s="429">
        <f t="shared" si="56"/>
        <v>0.02</v>
      </c>
      <c r="M535" s="8" t="s">
        <v>2927</v>
      </c>
    </row>
    <row r="536" spans="1:13">
      <c r="A536" s="476"/>
      <c r="B536" s="426">
        <v>51</v>
      </c>
      <c r="C536" s="431" t="s">
        <v>3255</v>
      </c>
      <c r="D536" s="436" t="str">
        <f>VLOOKUP(C536,param!$A$18:$B$220,2,FALSE)</f>
        <v>LOB2 - PT Meetings</v>
      </c>
      <c r="E536" s="437">
        <f>IF(INDEX(decR1Event1,1)=adj!$B536,K536,0)</f>
        <v>0</v>
      </c>
      <c r="F536" s="437"/>
      <c r="G536" s="156"/>
      <c r="J536" s="154">
        <v>0</v>
      </c>
      <c r="K536" s="429">
        <f t="shared" si="56"/>
        <v>0.02</v>
      </c>
      <c r="L536" s="429">
        <f t="shared" si="56"/>
        <v>0.02</v>
      </c>
      <c r="M536" s="8" t="s">
        <v>2927</v>
      </c>
    </row>
    <row r="537" spans="1:13">
      <c r="A537" s="476"/>
      <c r="B537" s="426">
        <v>51</v>
      </c>
      <c r="C537" s="431" t="s">
        <v>3257</v>
      </c>
      <c r="D537" s="436" t="str">
        <f>VLOOKUP(C537,param!$A$18:$B$220,2,FALSE)</f>
        <v>LOB2 - OT Meetings</v>
      </c>
      <c r="E537" s="437">
        <f>IF(INDEX(decR1Event1,1)=adj!$B537,K537,0)</f>
        <v>0</v>
      </c>
      <c r="F537" s="437"/>
      <c r="G537" s="156"/>
      <c r="H537" s="153"/>
      <c r="I537" s="153"/>
      <c r="J537" s="154">
        <v>0</v>
      </c>
      <c r="K537" s="429">
        <f t="shared" si="56"/>
        <v>0.02</v>
      </c>
      <c r="L537" s="429">
        <f t="shared" si="56"/>
        <v>0.02</v>
      </c>
      <c r="M537" s="8" t="s">
        <v>2927</v>
      </c>
    </row>
    <row r="539" spans="1:13" ht="10.5">
      <c r="A539" s="476"/>
      <c r="B539" s="426">
        <v>52</v>
      </c>
      <c r="C539" s="427" t="s">
        <v>4678</v>
      </c>
      <c r="D539" s="436"/>
      <c r="E539" s="435"/>
      <c r="F539" s="435"/>
      <c r="G539" s="149"/>
    </row>
    <row r="540" spans="1:13">
      <c r="A540" s="476"/>
      <c r="B540" s="426">
        <v>52</v>
      </c>
      <c r="C540" s="431" t="s">
        <v>3162</v>
      </c>
      <c r="D540" s="436" t="str">
        <f>VLOOKUP(C540,param!$A$18:$B$220,2,FALSE)</f>
        <v>LOB1 - Employee Engagment</v>
      </c>
      <c r="E540" s="437">
        <f>IF(INDEX(decR1Event1,1)=adj!$B540,K540,0)</f>
        <v>0</v>
      </c>
      <c r="F540" s="437"/>
      <c r="G540" s="156"/>
      <c r="J540" s="154">
        <v>0</v>
      </c>
      <c r="K540" s="429">
        <f>-1*VLOOKUP($M540,$O$189:$P$193,2,FALSE)</f>
        <v>-0.03</v>
      </c>
      <c r="L540" s="429">
        <f>-1*VLOOKUP($M540,$O$189:$P$193,2,FALSE)</f>
        <v>-0.03</v>
      </c>
      <c r="M540" s="8" t="s">
        <v>2926</v>
      </c>
    </row>
    <row r="541" spans="1:13">
      <c r="A541" s="476"/>
      <c r="B541" s="426">
        <v>52</v>
      </c>
      <c r="C541" s="431" t="s">
        <v>3234</v>
      </c>
      <c r="D541" s="436" t="str">
        <f>VLOOKUP(C541,param!$A$18:$B$220,2,FALSE)</f>
        <v>LOB2 - Employee Engagment</v>
      </c>
      <c r="E541" s="437">
        <f>IF(INDEX(decR1Event1,1)=adj!$B541,K541,0)</f>
        <v>0</v>
      </c>
      <c r="F541" s="437"/>
      <c r="G541" s="156"/>
      <c r="H541" s="153"/>
      <c r="I541" s="153"/>
      <c r="J541" s="154">
        <v>0</v>
      </c>
      <c r="K541" s="429">
        <f>-1*VLOOKUP($M541,$O$189:$P$193,2,FALSE)</f>
        <v>-0.03</v>
      </c>
      <c r="L541" s="429">
        <f>-1*VLOOKUP($M541,$O$189:$P$193,2,FALSE)</f>
        <v>-0.03</v>
      </c>
      <c r="M541" s="8" t="s">
        <v>2926</v>
      </c>
    </row>
    <row r="543" spans="1:13" ht="10.5">
      <c r="B543" s="67" t="s">
        <v>4679</v>
      </c>
    </row>
    <row r="544" spans="1:13" ht="10.5">
      <c r="A544" s="476"/>
      <c r="B544" s="426">
        <v>53</v>
      </c>
      <c r="C544" s="427" t="s">
        <v>4682</v>
      </c>
      <c r="D544" s="436"/>
      <c r="E544" s="435"/>
      <c r="F544" s="435"/>
      <c r="G544" s="149"/>
    </row>
    <row r="545" spans="1:13">
      <c r="A545" s="476"/>
      <c r="B545" s="426">
        <v>53</v>
      </c>
      <c r="C545" s="431" t="s">
        <v>3148</v>
      </c>
      <c r="D545" s="436" t="str">
        <f>VLOOKUP(C545,param!$A$18:$B$220,2,FALSE)</f>
        <v>LOB1 - People Development Time</v>
      </c>
      <c r="E545" s="437">
        <f>IF(INDEX(decR1Event2,1)=adj!$B545,K545,0)</f>
        <v>0</v>
      </c>
      <c r="F545" s="437"/>
      <c r="G545" s="156"/>
      <c r="J545" s="154">
        <v>0</v>
      </c>
      <c r="K545" s="429">
        <f t="shared" ref="K545:L546" si="57">VLOOKUP($M545,$O$189:$P$193,2,FALSE)</f>
        <v>0.02</v>
      </c>
      <c r="L545" s="429">
        <f t="shared" si="57"/>
        <v>0.02</v>
      </c>
      <c r="M545" s="8" t="s">
        <v>2927</v>
      </c>
    </row>
    <row r="546" spans="1:13">
      <c r="A546" s="476"/>
      <c r="B546" s="426">
        <v>53</v>
      </c>
      <c r="C546" s="431" t="s">
        <v>3213</v>
      </c>
      <c r="D546" s="436" t="str">
        <f>VLOOKUP(C546,param!$A$18:$B$220,2,FALSE)</f>
        <v>LOB2 - People Development Time</v>
      </c>
      <c r="E546" s="437">
        <f>IF(INDEX(decR1Event2,1)=adj!$B546,K546,0)</f>
        <v>0</v>
      </c>
      <c r="F546" s="437"/>
      <c r="G546" s="156"/>
      <c r="H546" s="153"/>
      <c r="I546" s="153"/>
      <c r="J546" s="154">
        <v>0</v>
      </c>
      <c r="K546" s="429">
        <f t="shared" si="57"/>
        <v>0.02</v>
      </c>
      <c r="L546" s="429">
        <f t="shared" si="57"/>
        <v>0.02</v>
      </c>
      <c r="M546" s="8" t="s">
        <v>2927</v>
      </c>
    </row>
    <row r="547" spans="1:13">
      <c r="A547" s="476"/>
      <c r="B547" s="426">
        <v>53</v>
      </c>
      <c r="C547" s="431" t="s">
        <v>3162</v>
      </c>
      <c r="D547" s="436" t="str">
        <f>VLOOKUP(C547,param!$A$18:$B$220,2,FALSE)</f>
        <v>LOB1 - Employee Engagment</v>
      </c>
      <c r="E547" s="437">
        <f>IF(INDEX(decR1Event2,1)=adj!$B547,K547,0)</f>
        <v>0</v>
      </c>
      <c r="F547" s="437"/>
      <c r="G547" s="156"/>
      <c r="J547" s="154">
        <v>0</v>
      </c>
      <c r="K547" s="429">
        <f t="shared" ref="K547:L558" si="58">VLOOKUP($M547,$O$189:$P$193,2,FALSE)</f>
        <v>0.03</v>
      </c>
      <c r="L547" s="429">
        <f t="shared" si="58"/>
        <v>0.03</v>
      </c>
      <c r="M547" s="8" t="s">
        <v>2926</v>
      </c>
    </row>
    <row r="548" spans="1:13">
      <c r="A548" s="476"/>
      <c r="B548" s="426">
        <v>53</v>
      </c>
      <c r="C548" s="431" t="s">
        <v>3234</v>
      </c>
      <c r="D548" s="436" t="str">
        <f>VLOOKUP(C548,param!$A$18:$B$220,2,FALSE)</f>
        <v>LOB2 - Employee Engagment</v>
      </c>
      <c r="E548" s="437">
        <f>IF(INDEX(decR1Event2,1)=adj!$B548,K548,0)</f>
        <v>0</v>
      </c>
      <c r="F548" s="437"/>
      <c r="G548" s="156"/>
      <c r="H548" s="153"/>
      <c r="I548" s="153"/>
      <c r="J548" s="154">
        <v>0</v>
      </c>
      <c r="K548" s="429">
        <f t="shared" si="58"/>
        <v>0.03</v>
      </c>
      <c r="L548" s="429">
        <f t="shared" si="58"/>
        <v>0.03</v>
      </c>
      <c r="M548" s="8" t="s">
        <v>2926</v>
      </c>
    </row>
    <row r="549" spans="1:13">
      <c r="A549" s="476"/>
      <c r="B549" s="426">
        <v>53</v>
      </c>
      <c r="C549" s="431" t="s">
        <v>3172</v>
      </c>
      <c r="D549" s="436" t="str">
        <f>VLOOKUP(C549,param!$A$18:$B$220,2,FALSE)</f>
        <v>LOB1 - Clinical Quality</v>
      </c>
      <c r="E549" s="437">
        <f>IF(INDEX(decR1Event2,1)=adj!$B549,K549,0)</f>
        <v>0</v>
      </c>
      <c r="F549" s="437"/>
      <c r="G549" s="156"/>
      <c r="J549" s="154">
        <v>0</v>
      </c>
      <c r="K549" s="429">
        <f t="shared" si="58"/>
        <v>0.01</v>
      </c>
      <c r="L549" s="429">
        <f t="shared" si="58"/>
        <v>0.01</v>
      </c>
      <c r="M549" s="8" t="s">
        <v>2929</v>
      </c>
    </row>
    <row r="550" spans="1:13">
      <c r="A550" s="476"/>
      <c r="B550" s="426">
        <v>53</v>
      </c>
      <c r="C550" s="431" t="s">
        <v>3249</v>
      </c>
      <c r="D550" s="436" t="str">
        <f>VLOOKUP(C550,param!$A$18:$B$220,2,FALSE)</f>
        <v>LOB2 - Clinical Quality</v>
      </c>
      <c r="E550" s="437">
        <f>IF(INDEX(decR1Event2,1)=adj!$B550,K550,0)</f>
        <v>0</v>
      </c>
      <c r="F550" s="437"/>
      <c r="G550" s="156"/>
      <c r="H550" s="153"/>
      <c r="I550" s="153"/>
      <c r="J550" s="154">
        <v>0</v>
      </c>
      <c r="K550" s="429">
        <f t="shared" si="58"/>
        <v>0.01</v>
      </c>
      <c r="L550" s="429">
        <f t="shared" si="58"/>
        <v>0.01</v>
      </c>
      <c r="M550" s="8" t="s">
        <v>2929</v>
      </c>
    </row>
    <row r="551" spans="1:13">
      <c r="A551" s="476"/>
      <c r="B551" s="426">
        <v>53</v>
      </c>
      <c r="C551" s="431" t="s">
        <v>3173</v>
      </c>
      <c r="D551" s="436" t="str">
        <f>VLOOKUP(C551,param!$A$18:$B$220,2,FALSE)</f>
        <v>LOB1 - RN Meetings</v>
      </c>
      <c r="E551" s="437">
        <f>IF(INDEX(decR1Event2,1)=adj!$B551,K551,0)</f>
        <v>0</v>
      </c>
      <c r="F551" s="437"/>
      <c r="G551" s="156"/>
      <c r="J551" s="154">
        <v>0</v>
      </c>
      <c r="K551" s="429">
        <f t="shared" si="58"/>
        <v>0.02</v>
      </c>
      <c r="L551" s="429">
        <f t="shared" si="58"/>
        <v>0.02</v>
      </c>
      <c r="M551" s="8" t="s">
        <v>2927</v>
      </c>
    </row>
    <row r="552" spans="1:13">
      <c r="A552" s="476"/>
      <c r="B552" s="426">
        <v>53</v>
      </c>
      <c r="C552" s="431" t="s">
        <v>3174</v>
      </c>
      <c r="D552" s="436" t="str">
        <f>VLOOKUP(C552,param!$A$18:$B$220,2,FALSE)</f>
        <v>LOB1 - LPN Meetings</v>
      </c>
      <c r="E552" s="437">
        <f>IF(INDEX(decR1Event2,1)=adj!$B552,K552,0)</f>
        <v>0</v>
      </c>
      <c r="F552" s="437"/>
      <c r="G552" s="156"/>
      <c r="H552" s="153"/>
      <c r="I552" s="153"/>
      <c r="J552" s="154">
        <v>0</v>
      </c>
      <c r="K552" s="429">
        <f t="shared" si="58"/>
        <v>0.02</v>
      </c>
      <c r="L552" s="429">
        <f t="shared" si="58"/>
        <v>0.02</v>
      </c>
      <c r="M552" s="8" t="s">
        <v>2927</v>
      </c>
    </row>
    <row r="553" spans="1:13">
      <c r="A553" s="476"/>
      <c r="B553" s="426">
        <v>53</v>
      </c>
      <c r="C553" s="431" t="s">
        <v>3175</v>
      </c>
      <c r="D553" s="436" t="str">
        <f>VLOOKUP(C553,param!$A$18:$B$220,2,FALSE)</f>
        <v>LOB1 - PT Meetings</v>
      </c>
      <c r="E553" s="437">
        <f>IF(INDEX(decR1Event2,1)=adj!$B553,K553,0)</f>
        <v>0</v>
      </c>
      <c r="F553" s="437"/>
      <c r="G553" s="156"/>
      <c r="J553" s="154">
        <v>0</v>
      </c>
      <c r="K553" s="429">
        <f t="shared" si="58"/>
        <v>0.02</v>
      </c>
      <c r="L553" s="429">
        <f t="shared" si="58"/>
        <v>0.02</v>
      </c>
      <c r="M553" s="8" t="s">
        <v>2927</v>
      </c>
    </row>
    <row r="554" spans="1:13">
      <c r="A554" s="476"/>
      <c r="B554" s="426">
        <v>53</v>
      </c>
      <c r="C554" s="431" t="s">
        <v>3176</v>
      </c>
      <c r="D554" s="436" t="str">
        <f>VLOOKUP(C554,param!$A$18:$B$220,2,FALSE)</f>
        <v>LOB1 - OT Meetings</v>
      </c>
      <c r="E554" s="437">
        <f>IF(INDEX(decR1Event2,1)=adj!$B554,K554,0)</f>
        <v>0</v>
      </c>
      <c r="F554" s="437"/>
      <c r="G554" s="156"/>
      <c r="H554" s="153"/>
      <c r="I554" s="153"/>
      <c r="J554" s="154">
        <v>0</v>
      </c>
      <c r="K554" s="429">
        <f t="shared" si="58"/>
        <v>0.02</v>
      </c>
      <c r="L554" s="429">
        <f t="shared" si="58"/>
        <v>0.02</v>
      </c>
      <c r="M554" s="8" t="s">
        <v>2927</v>
      </c>
    </row>
    <row r="555" spans="1:13">
      <c r="A555" s="476"/>
      <c r="B555" s="426">
        <v>53</v>
      </c>
      <c r="C555" s="431" t="s">
        <v>3251</v>
      </c>
      <c r="D555" s="436" t="str">
        <f>VLOOKUP(C555,param!$A$18:$B$220,2,FALSE)</f>
        <v>LOB2 - RN Meetings</v>
      </c>
      <c r="E555" s="437">
        <f>IF(INDEX(decR1Event2,1)=adj!$B555,K555,0)</f>
        <v>0</v>
      </c>
      <c r="F555" s="437"/>
      <c r="G555" s="156"/>
      <c r="J555" s="154">
        <v>0</v>
      </c>
      <c r="K555" s="429">
        <f t="shared" si="58"/>
        <v>0.02</v>
      </c>
      <c r="L555" s="429">
        <f t="shared" si="58"/>
        <v>0.02</v>
      </c>
      <c r="M555" s="8" t="s">
        <v>2927</v>
      </c>
    </row>
    <row r="556" spans="1:13">
      <c r="A556" s="476"/>
      <c r="B556" s="426">
        <v>53</v>
      </c>
      <c r="C556" s="431" t="s">
        <v>3253</v>
      </c>
      <c r="D556" s="436" t="str">
        <f>VLOOKUP(C556,param!$A$18:$B$220,2,FALSE)</f>
        <v>LOB2 - LPN Meetings</v>
      </c>
      <c r="E556" s="437">
        <f>IF(INDEX(decR1Event2,1)=adj!$B556,K556,0)</f>
        <v>0</v>
      </c>
      <c r="F556" s="437"/>
      <c r="G556" s="156"/>
      <c r="H556" s="153"/>
      <c r="I556" s="153"/>
      <c r="J556" s="154">
        <v>0</v>
      </c>
      <c r="K556" s="429">
        <f t="shared" si="58"/>
        <v>0.02</v>
      </c>
      <c r="L556" s="429">
        <f t="shared" si="58"/>
        <v>0.02</v>
      </c>
      <c r="M556" s="8" t="s">
        <v>2927</v>
      </c>
    </row>
    <row r="557" spans="1:13">
      <c r="A557" s="476"/>
      <c r="B557" s="426">
        <v>53</v>
      </c>
      <c r="C557" s="431" t="s">
        <v>3255</v>
      </c>
      <c r="D557" s="436" t="str">
        <f>VLOOKUP(C557,param!$A$18:$B$220,2,FALSE)</f>
        <v>LOB2 - PT Meetings</v>
      </c>
      <c r="E557" s="437">
        <f>IF(INDEX(decR1Event2,1)=adj!$B557,K557,0)</f>
        <v>0</v>
      </c>
      <c r="F557" s="437"/>
      <c r="G557" s="156"/>
      <c r="J557" s="154">
        <v>0</v>
      </c>
      <c r="K557" s="429">
        <f t="shared" si="58"/>
        <v>0.02</v>
      </c>
      <c r="L557" s="429">
        <f t="shared" si="58"/>
        <v>0.02</v>
      </c>
      <c r="M557" s="8" t="s">
        <v>2927</v>
      </c>
    </row>
    <row r="558" spans="1:13">
      <c r="A558" s="476"/>
      <c r="B558" s="426">
        <v>53</v>
      </c>
      <c r="C558" s="431" t="s">
        <v>3257</v>
      </c>
      <c r="D558" s="436" t="str">
        <f>VLOOKUP(C558,param!$A$18:$B$220,2,FALSE)</f>
        <v>LOB2 - OT Meetings</v>
      </c>
      <c r="E558" s="437">
        <f>IF(INDEX(decR1Event2,1)=adj!$B558,K558,0)</f>
        <v>0</v>
      </c>
      <c r="F558" s="437"/>
      <c r="G558" s="156"/>
      <c r="H558" s="153"/>
      <c r="I558" s="153"/>
      <c r="J558" s="154">
        <v>0</v>
      </c>
      <c r="K558" s="429">
        <f t="shared" si="58"/>
        <v>0.02</v>
      </c>
      <c r="L558" s="429">
        <f t="shared" si="58"/>
        <v>0.02</v>
      </c>
      <c r="M558" s="8" t="s">
        <v>2927</v>
      </c>
    </row>
    <row r="559" spans="1:13">
      <c r="A559" s="476"/>
      <c r="B559" s="426"/>
      <c r="C559" s="431"/>
      <c r="D559" s="436"/>
      <c r="E559" s="437"/>
      <c r="F559" s="437"/>
      <c r="G559" s="156"/>
      <c r="J559" s="154"/>
      <c r="K559" s="429"/>
      <c r="L559" s="429"/>
      <c r="M559" s="8"/>
    </row>
    <row r="560" spans="1:13" ht="10.5">
      <c r="A560" s="476"/>
      <c r="B560" s="426">
        <v>54</v>
      </c>
      <c r="C560" s="427" t="s">
        <v>4681</v>
      </c>
      <c r="D560" s="436"/>
      <c r="E560" s="435"/>
      <c r="F560" s="435"/>
      <c r="G560" s="149"/>
    </row>
    <row r="561" spans="1:13">
      <c r="A561" s="476"/>
      <c r="B561" s="426">
        <v>54</v>
      </c>
      <c r="C561" s="431" t="s">
        <v>3148</v>
      </c>
      <c r="D561" s="436" t="str">
        <f>VLOOKUP(C561,param!$A$18:$B$220,2,FALSE)</f>
        <v>LOB1 - People Development Time</v>
      </c>
      <c r="E561" s="437">
        <f>IF(INDEX(decR1Event2,1)=adj!$B561,K561,0)</f>
        <v>0</v>
      </c>
      <c r="F561" s="437"/>
      <c r="G561" s="156"/>
      <c r="J561" s="154">
        <v>0</v>
      </c>
      <c r="K561" s="429">
        <f t="shared" ref="K561:L562" si="59">VLOOKUP($M561,$O$189:$P$193,2,FALSE)</f>
        <v>0.01</v>
      </c>
      <c r="L561" s="429">
        <f t="shared" si="59"/>
        <v>0.01</v>
      </c>
      <c r="M561" s="8" t="s">
        <v>2929</v>
      </c>
    </row>
    <row r="562" spans="1:13">
      <c r="A562" s="476"/>
      <c r="B562" s="426">
        <v>54</v>
      </c>
      <c r="C562" s="431" t="s">
        <v>3213</v>
      </c>
      <c r="D562" s="436" t="str">
        <f>VLOOKUP(C562,param!$A$18:$B$220,2,FALSE)</f>
        <v>LOB2 - People Development Time</v>
      </c>
      <c r="E562" s="437">
        <f>IF(INDEX(decR1Event2,1)=adj!$B562,K562,0)</f>
        <v>0</v>
      </c>
      <c r="F562" s="437"/>
      <c r="G562" s="156"/>
      <c r="H562" s="153"/>
      <c r="I562" s="153"/>
      <c r="J562" s="154">
        <v>0</v>
      </c>
      <c r="K562" s="429">
        <f t="shared" si="59"/>
        <v>0.01</v>
      </c>
      <c r="L562" s="429">
        <f t="shared" si="59"/>
        <v>0.01</v>
      </c>
      <c r="M562" s="8" t="s">
        <v>2929</v>
      </c>
    </row>
    <row r="563" spans="1:13">
      <c r="A563" s="476"/>
      <c r="B563" s="426">
        <v>54</v>
      </c>
      <c r="C563" s="431" t="s">
        <v>3162</v>
      </c>
      <c r="D563" s="436" t="str">
        <f>VLOOKUP(C563,param!$A$18:$B$220,2,FALSE)</f>
        <v>LOB1 - Employee Engagment</v>
      </c>
      <c r="E563" s="437">
        <f>IF(INDEX(decR1Event2,1)=adj!$B563,K563,0)</f>
        <v>0</v>
      </c>
      <c r="F563" s="437"/>
      <c r="G563" s="156"/>
      <c r="J563" s="154">
        <v>0</v>
      </c>
      <c r="K563" s="429">
        <f t="shared" ref="K563:L574" si="60">(VLOOKUP($M563,$O$189:$P$193,2,FALSE))*-1</f>
        <v>-0.03</v>
      </c>
      <c r="L563" s="429">
        <f t="shared" si="60"/>
        <v>-0.03</v>
      </c>
      <c r="M563" s="8" t="s">
        <v>2926</v>
      </c>
    </row>
    <row r="564" spans="1:13">
      <c r="A564" s="476"/>
      <c r="B564" s="426">
        <v>54</v>
      </c>
      <c r="C564" s="431" t="s">
        <v>3234</v>
      </c>
      <c r="D564" s="436" t="str">
        <f>VLOOKUP(C564,param!$A$18:$B$220,2,FALSE)</f>
        <v>LOB2 - Employee Engagment</v>
      </c>
      <c r="E564" s="437">
        <f>IF(INDEX(decR1Event2,1)=adj!$B564,K564,0)</f>
        <v>0</v>
      </c>
      <c r="F564" s="437"/>
      <c r="G564" s="156"/>
      <c r="H564" s="153"/>
      <c r="I564" s="153"/>
      <c r="J564" s="154">
        <v>0</v>
      </c>
      <c r="K564" s="429">
        <f t="shared" si="60"/>
        <v>-0.03</v>
      </c>
      <c r="L564" s="429">
        <f t="shared" si="60"/>
        <v>-0.03</v>
      </c>
      <c r="M564" s="8" t="s">
        <v>2926</v>
      </c>
    </row>
    <row r="565" spans="1:13">
      <c r="A565" s="476"/>
      <c r="B565" s="426">
        <v>54</v>
      </c>
      <c r="C565" s="431" t="s">
        <v>3172</v>
      </c>
      <c r="D565" s="436" t="str">
        <f>VLOOKUP(C565,param!$A$18:$B$220,2,FALSE)</f>
        <v>LOB1 - Clinical Quality</v>
      </c>
      <c r="E565" s="437">
        <f>IF(INDEX(decR1Event2,1)=adj!$B565,K565,0)</f>
        <v>0</v>
      </c>
      <c r="F565" s="437"/>
      <c r="G565" s="156"/>
      <c r="J565" s="154">
        <v>0</v>
      </c>
      <c r="K565" s="429">
        <f t="shared" si="60"/>
        <v>-0.01</v>
      </c>
      <c r="L565" s="429">
        <f t="shared" si="60"/>
        <v>-0.01</v>
      </c>
      <c r="M565" s="8" t="s">
        <v>2929</v>
      </c>
    </row>
    <row r="566" spans="1:13">
      <c r="A566" s="476"/>
      <c r="B566" s="426">
        <v>54</v>
      </c>
      <c r="C566" s="431" t="s">
        <v>3249</v>
      </c>
      <c r="D566" s="436" t="str">
        <f>VLOOKUP(C566,param!$A$18:$B$220,2,FALSE)</f>
        <v>LOB2 - Clinical Quality</v>
      </c>
      <c r="E566" s="437">
        <f>IF(INDEX(decR1Event2,1)=adj!$B566,K566,0)</f>
        <v>0</v>
      </c>
      <c r="F566" s="437"/>
      <c r="G566" s="156"/>
      <c r="H566" s="153"/>
      <c r="I566" s="153"/>
      <c r="J566" s="154">
        <v>0</v>
      </c>
      <c r="K566" s="429">
        <f t="shared" si="60"/>
        <v>-0.01</v>
      </c>
      <c r="L566" s="429">
        <f t="shared" si="60"/>
        <v>-0.01</v>
      </c>
      <c r="M566" s="8" t="s">
        <v>2929</v>
      </c>
    </row>
    <row r="567" spans="1:13">
      <c r="A567" s="476"/>
      <c r="B567" s="426">
        <v>54</v>
      </c>
      <c r="C567" s="431" t="s">
        <v>3173</v>
      </c>
      <c r="D567" s="436" t="str">
        <f>VLOOKUP(C567,param!$A$18:$B$220,2,FALSE)</f>
        <v>LOB1 - RN Meetings</v>
      </c>
      <c r="E567" s="437">
        <f>IF(INDEX(decR1Event2,1)=adj!$B567,K567,0)</f>
        <v>0</v>
      </c>
      <c r="F567" s="437"/>
      <c r="G567" s="156"/>
      <c r="J567" s="154">
        <v>0</v>
      </c>
      <c r="K567" s="429">
        <f t="shared" si="60"/>
        <v>-0.02</v>
      </c>
      <c r="L567" s="429">
        <f t="shared" si="60"/>
        <v>-0.02</v>
      </c>
      <c r="M567" s="8" t="s">
        <v>2927</v>
      </c>
    </row>
    <row r="568" spans="1:13">
      <c r="A568" s="476"/>
      <c r="B568" s="426">
        <v>54</v>
      </c>
      <c r="C568" s="431" t="s">
        <v>3174</v>
      </c>
      <c r="D568" s="436" t="str">
        <f>VLOOKUP(C568,param!$A$18:$B$220,2,FALSE)</f>
        <v>LOB1 - LPN Meetings</v>
      </c>
      <c r="E568" s="437">
        <f>IF(INDEX(decR1Event2,1)=adj!$B568,K568,0)</f>
        <v>0</v>
      </c>
      <c r="F568" s="437"/>
      <c r="G568" s="156"/>
      <c r="H568" s="153"/>
      <c r="I568" s="153"/>
      <c r="J568" s="154">
        <v>0</v>
      </c>
      <c r="K568" s="429">
        <f t="shared" si="60"/>
        <v>-0.02</v>
      </c>
      <c r="L568" s="429">
        <f t="shared" si="60"/>
        <v>-0.02</v>
      </c>
      <c r="M568" s="8" t="s">
        <v>2927</v>
      </c>
    </row>
    <row r="569" spans="1:13">
      <c r="A569" s="476"/>
      <c r="B569" s="426">
        <v>54</v>
      </c>
      <c r="C569" s="431" t="s">
        <v>3175</v>
      </c>
      <c r="D569" s="436" t="str">
        <f>VLOOKUP(C569,param!$A$18:$B$220,2,FALSE)</f>
        <v>LOB1 - PT Meetings</v>
      </c>
      <c r="E569" s="437">
        <f>IF(INDEX(decR1Event2,1)=adj!$B569,K569,0)</f>
        <v>0</v>
      </c>
      <c r="F569" s="437"/>
      <c r="G569" s="156"/>
      <c r="J569" s="154">
        <v>0</v>
      </c>
      <c r="K569" s="429">
        <f t="shared" si="60"/>
        <v>-0.02</v>
      </c>
      <c r="L569" s="429">
        <f t="shared" si="60"/>
        <v>-0.02</v>
      </c>
      <c r="M569" s="8" t="s">
        <v>2927</v>
      </c>
    </row>
    <row r="570" spans="1:13">
      <c r="A570" s="476"/>
      <c r="B570" s="426">
        <v>54</v>
      </c>
      <c r="C570" s="431" t="s">
        <v>3176</v>
      </c>
      <c r="D570" s="436" t="str">
        <f>VLOOKUP(C570,param!$A$18:$B$220,2,FALSE)</f>
        <v>LOB1 - OT Meetings</v>
      </c>
      <c r="E570" s="437">
        <f>IF(INDEX(decR1Event2,1)=adj!$B570,K570,0)</f>
        <v>0</v>
      </c>
      <c r="F570" s="437"/>
      <c r="G570" s="156"/>
      <c r="H570" s="153"/>
      <c r="I570" s="153"/>
      <c r="J570" s="154">
        <v>0</v>
      </c>
      <c r="K570" s="429">
        <f t="shared" si="60"/>
        <v>-0.02</v>
      </c>
      <c r="L570" s="429">
        <f t="shared" si="60"/>
        <v>-0.02</v>
      </c>
      <c r="M570" s="8" t="s">
        <v>2927</v>
      </c>
    </row>
    <row r="571" spans="1:13">
      <c r="A571" s="476"/>
      <c r="B571" s="426">
        <v>54</v>
      </c>
      <c r="C571" s="431" t="s">
        <v>3251</v>
      </c>
      <c r="D571" s="436" t="str">
        <f>VLOOKUP(C571,param!$A$18:$B$220,2,FALSE)</f>
        <v>LOB2 - RN Meetings</v>
      </c>
      <c r="E571" s="437">
        <f>IF(INDEX(decR1Event2,1)=adj!$B571,K571,0)</f>
        <v>0</v>
      </c>
      <c r="F571" s="437"/>
      <c r="G571" s="156"/>
      <c r="J571" s="154">
        <v>0</v>
      </c>
      <c r="K571" s="429">
        <f t="shared" si="60"/>
        <v>-0.02</v>
      </c>
      <c r="L571" s="429">
        <f t="shared" si="60"/>
        <v>-0.02</v>
      </c>
      <c r="M571" s="8" t="s">
        <v>2927</v>
      </c>
    </row>
    <row r="572" spans="1:13">
      <c r="A572" s="476"/>
      <c r="B572" s="426">
        <v>54</v>
      </c>
      <c r="C572" s="431" t="s">
        <v>3253</v>
      </c>
      <c r="D572" s="436" t="str">
        <f>VLOOKUP(C572,param!$A$18:$B$220,2,FALSE)</f>
        <v>LOB2 - LPN Meetings</v>
      </c>
      <c r="E572" s="437">
        <f>IF(INDEX(decR1Event2,1)=adj!$B572,K572,0)</f>
        <v>0</v>
      </c>
      <c r="F572" s="437"/>
      <c r="G572" s="156"/>
      <c r="H572" s="153"/>
      <c r="I572" s="153"/>
      <c r="J572" s="154">
        <v>0</v>
      </c>
      <c r="K572" s="429">
        <f t="shared" si="60"/>
        <v>-0.02</v>
      </c>
      <c r="L572" s="429">
        <f t="shared" si="60"/>
        <v>-0.02</v>
      </c>
      <c r="M572" s="8" t="s">
        <v>2927</v>
      </c>
    </row>
    <row r="573" spans="1:13">
      <c r="A573" s="476"/>
      <c r="B573" s="426">
        <v>54</v>
      </c>
      <c r="C573" s="431" t="s">
        <v>3255</v>
      </c>
      <c r="D573" s="436" t="str">
        <f>VLOOKUP(C573,param!$A$18:$B$220,2,FALSE)</f>
        <v>LOB2 - PT Meetings</v>
      </c>
      <c r="E573" s="437">
        <f>IF(INDEX(decR1Event2,1)=adj!$B573,K573,0)</f>
        <v>0</v>
      </c>
      <c r="F573" s="437"/>
      <c r="G573" s="156"/>
      <c r="J573" s="154">
        <v>0</v>
      </c>
      <c r="K573" s="429">
        <f t="shared" si="60"/>
        <v>-0.02</v>
      </c>
      <c r="L573" s="429">
        <f t="shared" si="60"/>
        <v>-0.02</v>
      </c>
      <c r="M573" s="8" t="s">
        <v>2927</v>
      </c>
    </row>
    <row r="574" spans="1:13">
      <c r="A574" s="476"/>
      <c r="B574" s="426">
        <v>54</v>
      </c>
      <c r="C574" s="431" t="s">
        <v>3257</v>
      </c>
      <c r="D574" s="436" t="str">
        <f>VLOOKUP(C574,param!$A$18:$B$220,2,FALSE)</f>
        <v>LOB2 - OT Meetings</v>
      </c>
      <c r="E574" s="437">
        <f>IF(INDEX(decR1Event2,1)=adj!$B574,K574,0)</f>
        <v>0</v>
      </c>
      <c r="F574" s="437"/>
      <c r="G574" s="156"/>
      <c r="H574" s="153"/>
      <c r="I574" s="153"/>
      <c r="J574" s="154">
        <v>0</v>
      </c>
      <c r="K574" s="429">
        <f t="shared" si="60"/>
        <v>-0.02</v>
      </c>
      <c r="L574" s="429">
        <f t="shared" si="60"/>
        <v>-0.02</v>
      </c>
      <c r="M574" s="8" t="s">
        <v>2927</v>
      </c>
    </row>
    <row r="575" spans="1:13">
      <c r="A575" s="476"/>
      <c r="B575" s="426"/>
      <c r="C575" s="431"/>
      <c r="D575" s="436"/>
      <c r="E575" s="437"/>
      <c r="F575" s="437"/>
      <c r="G575" s="156"/>
      <c r="J575" s="154"/>
      <c r="K575" s="429"/>
      <c r="L575" s="429"/>
      <c r="M575" s="8"/>
    </row>
    <row r="576" spans="1:13" ht="10.5">
      <c r="A576" s="476"/>
      <c r="B576" s="426">
        <v>55</v>
      </c>
      <c r="C576" s="427" t="s">
        <v>4680</v>
      </c>
      <c r="D576" s="436"/>
      <c r="E576" s="435"/>
      <c r="F576" s="435"/>
      <c r="G576" s="149"/>
    </row>
    <row r="577" spans="1:13">
      <c r="A577" s="476"/>
      <c r="B577" s="426">
        <v>55</v>
      </c>
      <c r="C577" s="431" t="s">
        <v>3148</v>
      </c>
      <c r="D577" s="436" t="str">
        <f>VLOOKUP(C577,param!$A$18:$B$220,2,FALSE)</f>
        <v>LOB1 - People Development Time</v>
      </c>
      <c r="E577" s="437">
        <f>IF(INDEX(decR1Event2,1)=adj!$B577,K577,0)</f>
        <v>0</v>
      </c>
      <c r="F577" s="437"/>
      <c r="G577" s="156"/>
      <c r="J577" s="154">
        <v>0</v>
      </c>
      <c r="K577" s="429">
        <f t="shared" ref="K577:L578" si="61">VLOOKUP($M577,$O$189:$P$193,2,FALSE)</f>
        <v>0.01</v>
      </c>
      <c r="L577" s="429">
        <f t="shared" si="61"/>
        <v>0.01</v>
      </c>
      <c r="M577" s="8" t="s">
        <v>2929</v>
      </c>
    </row>
    <row r="578" spans="1:13">
      <c r="A578" s="476"/>
      <c r="B578" s="426">
        <v>55</v>
      </c>
      <c r="C578" s="431" t="s">
        <v>3213</v>
      </c>
      <c r="D578" s="436" t="str">
        <f>VLOOKUP(C578,param!$A$18:$B$220,2,FALSE)</f>
        <v>LOB2 - People Development Time</v>
      </c>
      <c r="E578" s="437">
        <f>IF(INDEX(decR1Event2,1)=adj!$B578,K578,0)</f>
        <v>0</v>
      </c>
      <c r="F578" s="437"/>
      <c r="G578" s="156"/>
      <c r="H578" s="153"/>
      <c r="I578" s="153"/>
      <c r="J578" s="154">
        <v>0</v>
      </c>
      <c r="K578" s="429">
        <f t="shared" si="61"/>
        <v>0.01</v>
      </c>
      <c r="L578" s="429">
        <f t="shared" si="61"/>
        <v>0.01</v>
      </c>
      <c r="M578" s="8" t="s">
        <v>2929</v>
      </c>
    </row>
    <row r="579" spans="1:13">
      <c r="A579" s="476"/>
      <c r="B579" s="426">
        <v>55</v>
      </c>
      <c r="C579" s="431" t="s">
        <v>3162</v>
      </c>
      <c r="D579" s="436" t="str">
        <f>VLOOKUP(C579,param!$A$18:$B$220,2,FALSE)</f>
        <v>LOB1 - Employee Engagment</v>
      </c>
      <c r="E579" s="437">
        <f>IF(INDEX(decR1Event2,1)=adj!$B579,K579,0)</f>
        <v>0</v>
      </c>
      <c r="F579" s="437"/>
      <c r="G579" s="156"/>
      <c r="J579" s="154">
        <v>0</v>
      </c>
      <c r="K579" s="429">
        <f>VLOOKUP($M579,$O$189:$P$193,2,FALSE)*-1</f>
        <v>-0.03</v>
      </c>
      <c r="L579" s="429">
        <f>VLOOKUP($M579,$O$189:$P$193,2,FALSE)*-1</f>
        <v>-0.03</v>
      </c>
      <c r="M579" s="8" t="s">
        <v>2926</v>
      </c>
    </row>
    <row r="580" spans="1:13">
      <c r="A580" s="476"/>
      <c r="B580" s="426">
        <v>55</v>
      </c>
      <c r="C580" s="431" t="s">
        <v>3234</v>
      </c>
      <c r="D580" s="436" t="str">
        <f>VLOOKUP(C580,param!$A$18:$B$220,2,FALSE)</f>
        <v>LOB2 - Employee Engagment</v>
      </c>
      <c r="E580" s="437">
        <f>IF(INDEX(decR1Event2,1)=adj!$B580,K580,0)</f>
        <v>0</v>
      </c>
      <c r="F580" s="437"/>
      <c r="G580" s="156"/>
      <c r="H580" s="153"/>
      <c r="I580" s="153"/>
      <c r="J580" s="154">
        <v>0</v>
      </c>
      <c r="K580" s="429">
        <f>VLOOKUP($M580,$O$189:$P$193,2,FALSE)*-1</f>
        <v>-0.03</v>
      </c>
      <c r="L580" s="429">
        <f>VLOOKUP($M580,$O$189:$P$193,2,FALSE)*-1</f>
        <v>-0.03</v>
      </c>
      <c r="M580" s="8" t="s">
        <v>2926</v>
      </c>
    </row>
    <row r="581" spans="1:13">
      <c r="A581" s="476"/>
      <c r="B581" s="426">
        <v>55</v>
      </c>
      <c r="C581" s="431" t="s">
        <v>3172</v>
      </c>
      <c r="D581" s="436" t="str">
        <f>VLOOKUP(C581,param!$A$18:$B$220,2,FALSE)</f>
        <v>LOB1 - Clinical Quality</v>
      </c>
      <c r="E581" s="437">
        <f>IF(INDEX(decR1Event2,1)=adj!$B581,K581,0)</f>
        <v>0</v>
      </c>
      <c r="F581" s="437"/>
      <c r="G581" s="156"/>
      <c r="J581" s="154">
        <v>0</v>
      </c>
      <c r="K581" s="429">
        <f t="shared" ref="K581:L590" si="62">VLOOKUP($M581,$O$189:$P$193,2,FALSE)</f>
        <v>0.01</v>
      </c>
      <c r="L581" s="429">
        <f t="shared" si="62"/>
        <v>0.01</v>
      </c>
      <c r="M581" s="8" t="s">
        <v>2929</v>
      </c>
    </row>
    <row r="582" spans="1:13">
      <c r="A582" s="476"/>
      <c r="B582" s="426">
        <v>55</v>
      </c>
      <c r="C582" s="431" t="s">
        <v>3249</v>
      </c>
      <c r="D582" s="436" t="str">
        <f>VLOOKUP(C582,param!$A$18:$B$220,2,FALSE)</f>
        <v>LOB2 - Clinical Quality</v>
      </c>
      <c r="E582" s="437">
        <f>IF(INDEX(decR1Event2,1)=adj!$B582,K582,0)</f>
        <v>0</v>
      </c>
      <c r="F582" s="437"/>
      <c r="G582" s="156"/>
      <c r="H582" s="153"/>
      <c r="I582" s="153"/>
      <c r="J582" s="154">
        <v>0</v>
      </c>
      <c r="K582" s="429">
        <f t="shared" si="62"/>
        <v>0.01</v>
      </c>
      <c r="L582" s="429">
        <f t="shared" si="62"/>
        <v>0.01</v>
      </c>
      <c r="M582" s="8" t="s">
        <v>2929</v>
      </c>
    </row>
    <row r="583" spans="1:13">
      <c r="A583" s="476"/>
      <c r="B583" s="426">
        <v>55</v>
      </c>
      <c r="C583" s="431" t="s">
        <v>3173</v>
      </c>
      <c r="D583" s="436" t="str">
        <f>VLOOKUP(C583,param!$A$18:$B$220,2,FALSE)</f>
        <v>LOB1 - RN Meetings</v>
      </c>
      <c r="E583" s="437">
        <f>IF(INDEX(decR1Event2,1)=adj!$B583,K583,0)</f>
        <v>0</v>
      </c>
      <c r="F583" s="437"/>
      <c r="G583" s="156"/>
      <c r="J583" s="154">
        <v>0</v>
      </c>
      <c r="K583" s="429">
        <f t="shared" si="62"/>
        <v>0.02</v>
      </c>
      <c r="L583" s="429">
        <f t="shared" si="62"/>
        <v>0.02</v>
      </c>
      <c r="M583" s="8" t="s">
        <v>2927</v>
      </c>
    </row>
    <row r="584" spans="1:13">
      <c r="A584" s="476"/>
      <c r="B584" s="426">
        <v>55</v>
      </c>
      <c r="C584" s="431" t="s">
        <v>3174</v>
      </c>
      <c r="D584" s="436" t="str">
        <f>VLOOKUP(C584,param!$A$18:$B$220,2,FALSE)</f>
        <v>LOB1 - LPN Meetings</v>
      </c>
      <c r="E584" s="437">
        <f>IF(INDEX(decR1Event2,1)=adj!$B584,K584,0)</f>
        <v>0</v>
      </c>
      <c r="F584" s="437"/>
      <c r="G584" s="156"/>
      <c r="H584" s="153"/>
      <c r="I584" s="153"/>
      <c r="J584" s="154">
        <v>0</v>
      </c>
      <c r="K584" s="429">
        <f t="shared" si="62"/>
        <v>0.02</v>
      </c>
      <c r="L584" s="429">
        <f t="shared" si="62"/>
        <v>0.02</v>
      </c>
      <c r="M584" s="8" t="s">
        <v>2927</v>
      </c>
    </row>
    <row r="585" spans="1:13">
      <c r="A585" s="476"/>
      <c r="B585" s="426">
        <v>55</v>
      </c>
      <c r="C585" s="431" t="s">
        <v>3175</v>
      </c>
      <c r="D585" s="436" t="str">
        <f>VLOOKUP(C585,param!$A$18:$B$220,2,FALSE)</f>
        <v>LOB1 - PT Meetings</v>
      </c>
      <c r="E585" s="437">
        <f>IF(INDEX(decR1Event2,1)=adj!$B585,K585,0)</f>
        <v>0</v>
      </c>
      <c r="F585" s="437"/>
      <c r="G585" s="156"/>
      <c r="J585" s="154">
        <v>0</v>
      </c>
      <c r="K585" s="429">
        <f t="shared" si="62"/>
        <v>0.02</v>
      </c>
      <c r="L585" s="429">
        <f t="shared" si="62"/>
        <v>0.02</v>
      </c>
      <c r="M585" s="8" t="s">
        <v>2927</v>
      </c>
    </row>
    <row r="586" spans="1:13">
      <c r="A586" s="476"/>
      <c r="B586" s="426">
        <v>55</v>
      </c>
      <c r="C586" s="431" t="s">
        <v>3176</v>
      </c>
      <c r="D586" s="436" t="str">
        <f>VLOOKUP(C586,param!$A$18:$B$220,2,FALSE)</f>
        <v>LOB1 - OT Meetings</v>
      </c>
      <c r="E586" s="437">
        <f>IF(INDEX(decR1Event2,1)=adj!$B586,K586,0)</f>
        <v>0</v>
      </c>
      <c r="F586" s="437"/>
      <c r="G586" s="156"/>
      <c r="H586" s="153"/>
      <c r="I586" s="153"/>
      <c r="J586" s="154">
        <v>0</v>
      </c>
      <c r="K586" s="429">
        <f t="shared" si="62"/>
        <v>0.02</v>
      </c>
      <c r="L586" s="429">
        <f t="shared" si="62"/>
        <v>0.02</v>
      </c>
      <c r="M586" s="8" t="s">
        <v>2927</v>
      </c>
    </row>
    <row r="587" spans="1:13">
      <c r="A587" s="476"/>
      <c r="B587" s="426">
        <v>55</v>
      </c>
      <c r="C587" s="431" t="s">
        <v>3251</v>
      </c>
      <c r="D587" s="436" t="str">
        <f>VLOOKUP(C587,param!$A$18:$B$220,2,FALSE)</f>
        <v>LOB2 - RN Meetings</v>
      </c>
      <c r="E587" s="437">
        <f>IF(INDEX(decR1Event2,1)=adj!$B587,K587,0)</f>
        <v>0</v>
      </c>
      <c r="F587" s="437"/>
      <c r="G587" s="156"/>
      <c r="J587" s="154">
        <v>0</v>
      </c>
      <c r="K587" s="429">
        <f t="shared" si="62"/>
        <v>0.02</v>
      </c>
      <c r="L587" s="429">
        <f t="shared" si="62"/>
        <v>0.02</v>
      </c>
      <c r="M587" s="8" t="s">
        <v>2927</v>
      </c>
    </row>
    <row r="588" spans="1:13">
      <c r="A588" s="476"/>
      <c r="B588" s="426">
        <v>55</v>
      </c>
      <c r="C588" s="431" t="s">
        <v>3253</v>
      </c>
      <c r="D588" s="436" t="str">
        <f>VLOOKUP(C588,param!$A$18:$B$220,2,FALSE)</f>
        <v>LOB2 - LPN Meetings</v>
      </c>
      <c r="E588" s="437">
        <f>IF(INDEX(decR1Event2,1)=adj!$B588,K588,0)</f>
        <v>0</v>
      </c>
      <c r="F588" s="437"/>
      <c r="G588" s="156"/>
      <c r="H588" s="153"/>
      <c r="I588" s="153"/>
      <c r="J588" s="154">
        <v>0</v>
      </c>
      <c r="K588" s="429">
        <f t="shared" si="62"/>
        <v>0.02</v>
      </c>
      <c r="L588" s="429">
        <f t="shared" si="62"/>
        <v>0.02</v>
      </c>
      <c r="M588" s="8" t="s">
        <v>2927</v>
      </c>
    </row>
    <row r="589" spans="1:13">
      <c r="A589" s="476"/>
      <c r="B589" s="426">
        <v>55</v>
      </c>
      <c r="C589" s="431" t="s">
        <v>3255</v>
      </c>
      <c r="D589" s="436" t="str">
        <f>VLOOKUP(C589,param!$A$18:$B$220,2,FALSE)</f>
        <v>LOB2 - PT Meetings</v>
      </c>
      <c r="E589" s="437">
        <f>IF(INDEX(decR1Event2,1)=adj!$B589,K589,0)</f>
        <v>0</v>
      </c>
      <c r="F589" s="437"/>
      <c r="G589" s="156"/>
      <c r="J589" s="154">
        <v>0</v>
      </c>
      <c r="K589" s="429">
        <f t="shared" si="62"/>
        <v>0.02</v>
      </c>
      <c r="L589" s="429">
        <f t="shared" si="62"/>
        <v>0.02</v>
      </c>
      <c r="M589" s="8" t="s">
        <v>2927</v>
      </c>
    </row>
    <row r="590" spans="1:13">
      <c r="A590" s="476"/>
      <c r="B590" s="426">
        <v>55</v>
      </c>
      <c r="C590" s="431" t="s">
        <v>3257</v>
      </c>
      <c r="D590" s="436" t="str">
        <f>VLOOKUP(C590,param!$A$18:$B$220,2,FALSE)</f>
        <v>LOB2 - OT Meetings</v>
      </c>
      <c r="E590" s="437">
        <f>IF(INDEX(decR1Event2,1)=adj!$B590,K590,0)</f>
        <v>0</v>
      </c>
      <c r="F590" s="437"/>
      <c r="G590" s="156"/>
      <c r="H590" s="153"/>
      <c r="I590" s="153"/>
      <c r="J590" s="154">
        <v>0</v>
      </c>
      <c r="K590" s="429">
        <f t="shared" si="62"/>
        <v>0.02</v>
      </c>
      <c r="L590" s="429">
        <f t="shared" si="62"/>
        <v>0.02</v>
      </c>
      <c r="M590" s="8" t="s">
        <v>2927</v>
      </c>
    </row>
    <row r="591" spans="1:13">
      <c r="A591" s="476"/>
      <c r="B591" s="426"/>
      <c r="C591" s="431"/>
      <c r="D591" s="436"/>
      <c r="E591" s="437"/>
      <c r="F591" s="437"/>
      <c r="G591" s="156"/>
      <c r="J591" s="154"/>
      <c r="K591" s="429"/>
      <c r="L591" s="429"/>
      <c r="M591" s="8"/>
    </row>
    <row r="592" spans="1:13" ht="10.5">
      <c r="B592" s="67" t="s">
        <v>4683</v>
      </c>
    </row>
    <row r="593" spans="1:13" ht="10.5">
      <c r="A593" s="476"/>
      <c r="B593" s="426">
        <v>56</v>
      </c>
      <c r="C593" s="427" t="s">
        <v>4684</v>
      </c>
      <c r="D593" s="436"/>
      <c r="E593" s="435"/>
      <c r="F593" s="435"/>
      <c r="G593" s="149"/>
    </row>
    <row r="594" spans="1:13">
      <c r="A594" s="476"/>
      <c r="B594" s="426">
        <v>55</v>
      </c>
      <c r="C594" s="431" t="s">
        <v>3150</v>
      </c>
      <c r="D594" s="436" t="str">
        <f>VLOOKUP(C594,param!$A$18:$B$220,2,FALSE)</f>
        <v>LOB1 - Operations Time</v>
      </c>
      <c r="E594" s="437">
        <f>IF(INDEX(decR1Event3,1)=adj!$B594,K594,0)</f>
        <v>0</v>
      </c>
      <c r="F594" s="437"/>
      <c r="G594" s="156"/>
      <c r="J594" s="154">
        <v>0</v>
      </c>
      <c r="K594" s="429">
        <f t="shared" ref="K594:L595" si="63">VLOOKUP($M594,$O$189:$P$193,2,FALSE)</f>
        <v>0.02</v>
      </c>
      <c r="L594" s="429">
        <f t="shared" si="63"/>
        <v>0.02</v>
      </c>
      <c r="M594" s="8" t="s">
        <v>2927</v>
      </c>
    </row>
    <row r="595" spans="1:13">
      <c r="A595" s="476"/>
      <c r="B595" s="426">
        <v>55</v>
      </c>
      <c r="C595" s="431" t="s">
        <v>3150</v>
      </c>
      <c r="D595" s="436" t="str">
        <f>VLOOKUP(C595,param!$A$18:$B$220,2,FALSE)</f>
        <v>LOB1 - Operations Time</v>
      </c>
      <c r="E595" s="437">
        <f>IF(INDEX(decR1Event3,1)=adj!$B595,K595,0)</f>
        <v>0</v>
      </c>
      <c r="F595" s="437"/>
      <c r="G595" s="156"/>
      <c r="H595" s="153"/>
      <c r="I595" s="153"/>
      <c r="J595" s="154">
        <v>0</v>
      </c>
      <c r="K595" s="429">
        <f t="shared" si="63"/>
        <v>0.02</v>
      </c>
      <c r="L595" s="429">
        <f t="shared" si="63"/>
        <v>0.02</v>
      </c>
      <c r="M595" s="8" t="s">
        <v>2927</v>
      </c>
    </row>
    <row r="596" spans="1:13">
      <c r="A596" s="476"/>
      <c r="B596" s="426">
        <v>56</v>
      </c>
      <c r="C596" s="431" t="s">
        <v>3172</v>
      </c>
      <c r="D596" s="436" t="str">
        <f>VLOOKUP(C596,param!$A$18:$B$220,2,FALSE)</f>
        <v>LOB1 - Clinical Quality</v>
      </c>
      <c r="E596" s="437">
        <f>IF(INDEX(decR1Event3,1)=adj!$B596,K596,0)</f>
        <v>0</v>
      </c>
      <c r="F596" s="437"/>
      <c r="G596" s="156"/>
      <c r="J596" s="154">
        <v>0</v>
      </c>
      <c r="K596" s="429">
        <f>-1*VLOOKUP($M596,$O$189:$P$193,2,FALSE)</f>
        <v>-0.02</v>
      </c>
      <c r="L596" s="429">
        <f>-1*VLOOKUP($M596,$O$189:$P$193,2,FALSE)</f>
        <v>-0.02</v>
      </c>
      <c r="M596" s="8" t="s">
        <v>2927</v>
      </c>
    </row>
    <row r="597" spans="1:13">
      <c r="A597" s="476"/>
      <c r="B597" s="426">
        <v>56</v>
      </c>
      <c r="C597" s="431" t="s">
        <v>3249</v>
      </c>
      <c r="D597" s="436" t="str">
        <f>VLOOKUP(C597,param!$A$18:$B$220,2,FALSE)</f>
        <v>LOB2 - Clinical Quality</v>
      </c>
      <c r="E597" s="437">
        <f>IF(INDEX(decR1Event3,1)=adj!$B597,K597,0)</f>
        <v>0</v>
      </c>
      <c r="F597" s="437"/>
      <c r="G597" s="156"/>
      <c r="J597" s="154">
        <v>0</v>
      </c>
      <c r="K597" s="429">
        <f>-1*VLOOKUP($M597,$O$189:$P$193,2,FALSE)</f>
        <v>-0.02</v>
      </c>
      <c r="L597" s="429">
        <f>-1*VLOOKUP($M597,$O$189:$P$193,2,FALSE)</f>
        <v>-0.02</v>
      </c>
      <c r="M597" s="8" t="s">
        <v>2927</v>
      </c>
    </row>
    <row r="599" spans="1:13" ht="10.5">
      <c r="A599" s="476"/>
      <c r="B599" s="426">
        <v>57</v>
      </c>
      <c r="C599" s="427" t="s">
        <v>4685</v>
      </c>
      <c r="D599" s="436"/>
      <c r="E599" s="435"/>
      <c r="F599" s="435"/>
      <c r="G599" s="149"/>
    </row>
    <row r="600" spans="1:13">
      <c r="A600" s="476"/>
      <c r="B600" s="426">
        <v>55</v>
      </c>
      <c r="C600" s="431" t="s">
        <v>3150</v>
      </c>
      <c r="D600" s="436" t="str">
        <f>VLOOKUP(C600,param!$A$18:$B$220,2,FALSE)</f>
        <v>LOB1 - Operations Time</v>
      </c>
      <c r="E600" s="437">
        <f>IF(INDEX(decR1Event3,1)=adj!$B600,K600,0)</f>
        <v>0</v>
      </c>
      <c r="F600" s="437"/>
      <c r="G600" s="156"/>
      <c r="J600" s="154">
        <v>0</v>
      </c>
      <c r="K600" s="429">
        <f t="shared" ref="K600:L601" si="64">VLOOKUP($M600,$O$189:$P$193,2,FALSE)</f>
        <v>0.02</v>
      </c>
      <c r="L600" s="429">
        <f t="shared" si="64"/>
        <v>0.02</v>
      </c>
      <c r="M600" s="8" t="s">
        <v>2927</v>
      </c>
    </row>
    <row r="601" spans="1:13">
      <c r="A601" s="476"/>
      <c r="B601" s="426">
        <v>55</v>
      </c>
      <c r="C601" s="431" t="s">
        <v>3150</v>
      </c>
      <c r="D601" s="436" t="str">
        <f>VLOOKUP(C601,param!$A$18:$B$220,2,FALSE)</f>
        <v>LOB1 - Operations Time</v>
      </c>
      <c r="E601" s="437">
        <f>IF(INDEX(decR1Event3,1)=adj!$B601,K601,0)</f>
        <v>0</v>
      </c>
      <c r="F601" s="437"/>
      <c r="G601" s="156"/>
      <c r="H601" s="153"/>
      <c r="I601" s="153"/>
      <c r="J601" s="154">
        <v>0</v>
      </c>
      <c r="K601" s="429">
        <f t="shared" si="64"/>
        <v>0.02</v>
      </c>
      <c r="L601" s="429">
        <f t="shared" si="64"/>
        <v>0.02</v>
      </c>
      <c r="M601" s="8" t="s">
        <v>2927</v>
      </c>
    </row>
    <row r="602" spans="1:13">
      <c r="A602" s="476"/>
      <c r="B602" s="426">
        <v>57</v>
      </c>
      <c r="C602" s="431" t="s">
        <v>3172</v>
      </c>
      <c r="D602" s="436" t="str">
        <f>VLOOKUP(C602,param!$A$18:$B$220,2,FALSE)</f>
        <v>LOB1 - Clinical Quality</v>
      </c>
      <c r="E602" s="437">
        <f>IF(INDEX(decR1Event3,1)=adj!$B602,K602,0)</f>
        <v>0</v>
      </c>
      <c r="F602" s="437"/>
      <c r="G602" s="156"/>
      <c r="J602" s="154">
        <v>0</v>
      </c>
      <c r="K602" s="429">
        <f t="shared" ref="K602:L611" si="65">VLOOKUP($M602,$O$189:$P$193,2,FALSE)</f>
        <v>0.02</v>
      </c>
      <c r="L602" s="429">
        <f t="shared" si="65"/>
        <v>0.02</v>
      </c>
      <c r="M602" s="8" t="s">
        <v>2927</v>
      </c>
    </row>
    <row r="603" spans="1:13">
      <c r="A603" s="476"/>
      <c r="B603" s="426">
        <v>57</v>
      </c>
      <c r="C603" s="431" t="s">
        <v>3249</v>
      </c>
      <c r="D603" s="436" t="str">
        <f>VLOOKUP(C603,param!$A$18:$B$220,2,FALSE)</f>
        <v>LOB2 - Clinical Quality</v>
      </c>
      <c r="E603" s="437">
        <f>IF(INDEX(decR1Event3,1)=adj!$B603,K603,0)</f>
        <v>0</v>
      </c>
      <c r="F603" s="437"/>
      <c r="G603" s="156"/>
      <c r="H603" s="153"/>
      <c r="I603" s="153"/>
      <c r="J603" s="154">
        <v>0</v>
      </c>
      <c r="K603" s="429">
        <f t="shared" si="65"/>
        <v>0.02</v>
      </c>
      <c r="L603" s="429">
        <f t="shared" si="65"/>
        <v>0.02</v>
      </c>
      <c r="M603" s="8" t="s">
        <v>2927</v>
      </c>
    </row>
    <row r="604" spans="1:13">
      <c r="A604" s="476"/>
      <c r="B604" s="426">
        <v>57</v>
      </c>
      <c r="C604" s="431" t="s">
        <v>3173</v>
      </c>
      <c r="D604" s="436" t="str">
        <f>VLOOKUP(C604,param!$A$18:$B$220,2,FALSE)</f>
        <v>LOB1 - RN Meetings</v>
      </c>
      <c r="E604" s="437">
        <f>IF(INDEX(decR1Event3,1)=adj!$B604,K604,0)</f>
        <v>0</v>
      </c>
      <c r="F604" s="437"/>
      <c r="G604" s="156"/>
      <c r="J604" s="154">
        <v>0</v>
      </c>
      <c r="K604" s="429">
        <f t="shared" si="65"/>
        <v>0.02</v>
      </c>
      <c r="L604" s="429">
        <f t="shared" si="65"/>
        <v>0.02</v>
      </c>
      <c r="M604" s="8" t="s">
        <v>2927</v>
      </c>
    </row>
    <row r="605" spans="1:13">
      <c r="A605" s="476"/>
      <c r="B605" s="426">
        <v>57</v>
      </c>
      <c r="C605" s="431" t="s">
        <v>3174</v>
      </c>
      <c r="D605" s="436" t="str">
        <f>VLOOKUP(C605,param!$A$18:$B$220,2,FALSE)</f>
        <v>LOB1 - LPN Meetings</v>
      </c>
      <c r="E605" s="437">
        <f>IF(INDEX(decR1Event3,1)=adj!$B605,K605,0)</f>
        <v>0</v>
      </c>
      <c r="F605" s="437"/>
      <c r="G605" s="156"/>
      <c r="H605" s="153"/>
      <c r="I605" s="153"/>
      <c r="J605" s="154">
        <v>0</v>
      </c>
      <c r="K605" s="429">
        <f t="shared" si="65"/>
        <v>0.02</v>
      </c>
      <c r="L605" s="429">
        <f t="shared" si="65"/>
        <v>0.02</v>
      </c>
      <c r="M605" s="8" t="s">
        <v>2927</v>
      </c>
    </row>
    <row r="606" spans="1:13">
      <c r="A606" s="476"/>
      <c r="B606" s="426">
        <v>57</v>
      </c>
      <c r="C606" s="431" t="s">
        <v>3175</v>
      </c>
      <c r="D606" s="436" t="str">
        <f>VLOOKUP(C606,param!$A$18:$B$220,2,FALSE)</f>
        <v>LOB1 - PT Meetings</v>
      </c>
      <c r="E606" s="437">
        <f>IF(INDEX(decR1Event3,1)=adj!$B606,K606,0)</f>
        <v>0</v>
      </c>
      <c r="F606" s="437"/>
      <c r="G606" s="156"/>
      <c r="J606" s="154">
        <v>0</v>
      </c>
      <c r="K606" s="429">
        <f t="shared" si="65"/>
        <v>0.02</v>
      </c>
      <c r="L606" s="429">
        <f t="shared" si="65"/>
        <v>0.02</v>
      </c>
      <c r="M606" s="8" t="s">
        <v>2927</v>
      </c>
    </row>
    <row r="607" spans="1:13">
      <c r="A607" s="476"/>
      <c r="B607" s="426">
        <v>57</v>
      </c>
      <c r="C607" s="431" t="s">
        <v>3176</v>
      </c>
      <c r="D607" s="436" t="str">
        <f>VLOOKUP(C607,param!$A$18:$B$220,2,FALSE)</f>
        <v>LOB1 - OT Meetings</v>
      </c>
      <c r="E607" s="437">
        <f>IF(INDEX(decR1Event3,1)=adj!$B607,K607,0)</f>
        <v>0</v>
      </c>
      <c r="F607" s="437"/>
      <c r="G607" s="156"/>
      <c r="H607" s="153"/>
      <c r="I607" s="153"/>
      <c r="J607" s="154">
        <v>0</v>
      </c>
      <c r="K607" s="429">
        <f t="shared" si="65"/>
        <v>0.02</v>
      </c>
      <c r="L607" s="429">
        <f t="shared" si="65"/>
        <v>0.02</v>
      </c>
      <c r="M607" s="8" t="s">
        <v>2927</v>
      </c>
    </row>
    <row r="608" spans="1:13">
      <c r="A608" s="476"/>
      <c r="B608" s="426">
        <v>57</v>
      </c>
      <c r="C608" s="431" t="s">
        <v>3251</v>
      </c>
      <c r="D608" s="436" t="str">
        <f>VLOOKUP(C608,param!$A$18:$B$220,2,FALSE)</f>
        <v>LOB2 - RN Meetings</v>
      </c>
      <c r="E608" s="437">
        <f>IF(INDEX(decR1Event3,1)=adj!$B608,K608,0)</f>
        <v>0</v>
      </c>
      <c r="F608" s="437"/>
      <c r="G608" s="156"/>
      <c r="J608" s="154">
        <v>0</v>
      </c>
      <c r="K608" s="429">
        <f t="shared" si="65"/>
        <v>0.02</v>
      </c>
      <c r="L608" s="429">
        <f t="shared" si="65"/>
        <v>0.02</v>
      </c>
      <c r="M608" s="8" t="s">
        <v>2927</v>
      </c>
    </row>
    <row r="609" spans="1:13">
      <c r="A609" s="476"/>
      <c r="B609" s="426">
        <v>57</v>
      </c>
      <c r="C609" s="431" t="s">
        <v>3253</v>
      </c>
      <c r="D609" s="436" t="str">
        <f>VLOOKUP(C609,param!$A$18:$B$220,2,FALSE)</f>
        <v>LOB2 - LPN Meetings</v>
      </c>
      <c r="E609" s="437">
        <f>IF(INDEX(decR1Event3,1)=adj!$B609,K609,0)</f>
        <v>0</v>
      </c>
      <c r="F609" s="437"/>
      <c r="G609" s="156"/>
      <c r="H609" s="153"/>
      <c r="I609" s="153"/>
      <c r="J609" s="154">
        <v>0</v>
      </c>
      <c r="K609" s="429">
        <f t="shared" si="65"/>
        <v>0.02</v>
      </c>
      <c r="L609" s="429">
        <f t="shared" si="65"/>
        <v>0.02</v>
      </c>
      <c r="M609" s="8" t="s">
        <v>2927</v>
      </c>
    </row>
    <row r="610" spans="1:13">
      <c r="A610" s="476"/>
      <c r="B610" s="426">
        <v>57</v>
      </c>
      <c r="C610" s="431" t="s">
        <v>3255</v>
      </c>
      <c r="D610" s="436" t="str">
        <f>VLOOKUP(C610,param!$A$18:$B$220,2,FALSE)</f>
        <v>LOB2 - PT Meetings</v>
      </c>
      <c r="E610" s="437">
        <f>IF(INDEX(decR1Event3,1)=adj!$B610,K610,0)</f>
        <v>0</v>
      </c>
      <c r="F610" s="437"/>
      <c r="G610" s="156"/>
      <c r="J610" s="154">
        <v>0</v>
      </c>
      <c r="K610" s="429">
        <f t="shared" si="65"/>
        <v>0.02</v>
      </c>
      <c r="L610" s="429">
        <f t="shared" si="65"/>
        <v>0.02</v>
      </c>
      <c r="M610" s="8" t="s">
        <v>2927</v>
      </c>
    </row>
    <row r="611" spans="1:13">
      <c r="A611" s="476"/>
      <c r="B611" s="426">
        <v>57</v>
      </c>
      <c r="C611" s="431" t="s">
        <v>3257</v>
      </c>
      <c r="D611" s="436" t="str">
        <f>VLOOKUP(C611,param!$A$18:$B$220,2,FALSE)</f>
        <v>LOB2 - OT Meetings</v>
      </c>
      <c r="E611" s="437">
        <f>IF(INDEX(decR1Event3,1)=adj!$B611,K611,0)</f>
        <v>0</v>
      </c>
      <c r="F611" s="437"/>
      <c r="G611" s="156"/>
      <c r="H611" s="153"/>
      <c r="I611" s="153"/>
      <c r="J611" s="154">
        <v>0</v>
      </c>
      <c r="K611" s="429">
        <f t="shared" si="65"/>
        <v>0.02</v>
      </c>
      <c r="L611" s="429">
        <f t="shared" si="65"/>
        <v>0.02</v>
      </c>
      <c r="M611" s="8" t="s">
        <v>2927</v>
      </c>
    </row>
    <row r="612" spans="1:13">
      <c r="A612" s="476"/>
      <c r="B612" s="426"/>
      <c r="C612" s="431"/>
      <c r="D612" s="436"/>
      <c r="E612" s="437"/>
      <c r="F612" s="437"/>
      <c r="G612" s="156"/>
      <c r="J612" s="154"/>
      <c r="K612" s="429"/>
      <c r="L612" s="429"/>
      <c r="M612" s="8"/>
    </row>
    <row r="613" spans="1:13" ht="10.5">
      <c r="A613" s="476"/>
      <c r="B613" s="426">
        <v>58</v>
      </c>
      <c r="C613" s="427" t="s">
        <v>4685</v>
      </c>
      <c r="D613" s="436"/>
      <c r="E613" s="435"/>
      <c r="F613" s="435"/>
      <c r="G613" s="149"/>
    </row>
    <row r="614" spans="1:13">
      <c r="A614" s="476"/>
      <c r="B614" s="426">
        <v>55</v>
      </c>
      <c r="C614" s="431" t="s">
        <v>3150</v>
      </c>
      <c r="D614" s="436" t="str">
        <f>VLOOKUP(C614,param!$A$18:$B$220,2,FALSE)</f>
        <v>LOB1 - Operations Time</v>
      </c>
      <c r="E614" s="437">
        <f>IF(INDEX(decR1Event3,1)=adj!$B614,K614,0)</f>
        <v>0</v>
      </c>
      <c r="F614" s="437"/>
      <c r="G614" s="156"/>
      <c r="J614" s="154">
        <v>0</v>
      </c>
      <c r="K614" s="429">
        <f t="shared" ref="K614:L615" si="66">VLOOKUP($M614,$O$189:$P$193,2,FALSE)</f>
        <v>0.01</v>
      </c>
      <c r="L614" s="429">
        <f t="shared" si="66"/>
        <v>0.01</v>
      </c>
      <c r="M614" s="8" t="s">
        <v>2929</v>
      </c>
    </row>
    <row r="615" spans="1:13">
      <c r="A615" s="476"/>
      <c r="B615" s="426">
        <v>55</v>
      </c>
      <c r="C615" s="431" t="s">
        <v>3150</v>
      </c>
      <c r="D615" s="436" t="str">
        <f>VLOOKUP(C615,param!$A$18:$B$220,2,FALSE)</f>
        <v>LOB1 - Operations Time</v>
      </c>
      <c r="E615" s="437">
        <f>IF(INDEX(decR1Event3,1)=adj!$B615,K615,0)</f>
        <v>0</v>
      </c>
      <c r="F615" s="437"/>
      <c r="G615" s="156"/>
      <c r="H615" s="153"/>
      <c r="I615" s="153"/>
      <c r="J615" s="154">
        <v>0</v>
      </c>
      <c r="K615" s="429">
        <f t="shared" si="66"/>
        <v>0.01</v>
      </c>
      <c r="L615" s="429">
        <f t="shared" si="66"/>
        <v>0.01</v>
      </c>
      <c r="M615" s="8" t="s">
        <v>2929</v>
      </c>
    </row>
    <row r="616" spans="1:13">
      <c r="A616" s="476"/>
      <c r="B616" s="426">
        <v>58</v>
      </c>
      <c r="C616" s="431" t="s">
        <v>3172</v>
      </c>
      <c r="D616" s="436" t="str">
        <f>VLOOKUP(C616,param!$A$18:$B$220,2,FALSE)</f>
        <v>LOB1 - Clinical Quality</v>
      </c>
      <c r="E616" s="437">
        <f>IF(INDEX(decR1Event3,1)=adj!$B616,K616,0)</f>
        <v>0</v>
      </c>
      <c r="F616" s="437"/>
      <c r="G616" s="156"/>
      <c r="J616" s="154">
        <v>0</v>
      </c>
      <c r="K616" s="429">
        <f>-1*VLOOKUP($M616,$O$189:$P$193,2,FALSE)</f>
        <v>-0.02</v>
      </c>
      <c r="L616" s="429">
        <f>-1*VLOOKUP($M616,$O$189:$P$193,2,FALSE)</f>
        <v>-0.02</v>
      </c>
      <c r="M616" s="8" t="s">
        <v>2927</v>
      </c>
    </row>
    <row r="617" spans="1:13">
      <c r="A617" s="476"/>
      <c r="B617" s="426">
        <v>58</v>
      </c>
      <c r="C617" s="431" t="s">
        <v>3249</v>
      </c>
      <c r="D617" s="436" t="str">
        <f>VLOOKUP(C617,param!$A$18:$B$220,2,FALSE)</f>
        <v>LOB2 - Clinical Quality</v>
      </c>
      <c r="E617" s="437">
        <f>IF(INDEX(decR1Event3,1)=adj!$B617,K617,0)</f>
        <v>0</v>
      </c>
      <c r="F617" s="437"/>
      <c r="G617" s="156"/>
      <c r="H617" s="153"/>
      <c r="I617" s="153"/>
      <c r="J617" s="154">
        <v>0</v>
      </c>
      <c r="K617" s="429">
        <f t="shared" ref="K617:L625" si="67">-1*VLOOKUP($M617,$O$189:$P$193,2,FALSE)</f>
        <v>-0.02</v>
      </c>
      <c r="L617" s="429">
        <f t="shared" si="67"/>
        <v>-0.02</v>
      </c>
      <c r="M617" s="8" t="s">
        <v>2927</v>
      </c>
    </row>
    <row r="618" spans="1:13">
      <c r="A618" s="476"/>
      <c r="B618" s="426">
        <v>58</v>
      </c>
      <c r="C618" s="431" t="s">
        <v>3173</v>
      </c>
      <c r="D618" s="436" t="str">
        <f>VLOOKUP(C618,param!$A$18:$B$220,2,FALSE)</f>
        <v>LOB1 - RN Meetings</v>
      </c>
      <c r="E618" s="437">
        <f>IF(INDEX(decR1Event3,1)=adj!$B618,K618,0)</f>
        <v>0</v>
      </c>
      <c r="F618" s="437"/>
      <c r="G618" s="156"/>
      <c r="J618" s="154">
        <v>0</v>
      </c>
      <c r="K618" s="429">
        <f t="shared" si="67"/>
        <v>-0.02</v>
      </c>
      <c r="L618" s="429">
        <f t="shared" si="67"/>
        <v>-0.02</v>
      </c>
      <c r="M618" s="8" t="s">
        <v>2927</v>
      </c>
    </row>
    <row r="619" spans="1:13">
      <c r="A619" s="476"/>
      <c r="B619" s="426">
        <v>58</v>
      </c>
      <c r="C619" s="431" t="s">
        <v>3174</v>
      </c>
      <c r="D619" s="436" t="str">
        <f>VLOOKUP(C619,param!$A$18:$B$220,2,FALSE)</f>
        <v>LOB1 - LPN Meetings</v>
      </c>
      <c r="E619" s="437">
        <f>IF(INDEX(decR1Event3,1)=adj!$B619,K619,0)</f>
        <v>0</v>
      </c>
      <c r="F619" s="437"/>
      <c r="G619" s="156"/>
      <c r="H619" s="153"/>
      <c r="I619" s="153"/>
      <c r="J619" s="154">
        <v>0</v>
      </c>
      <c r="K619" s="429">
        <f t="shared" si="67"/>
        <v>-0.02</v>
      </c>
      <c r="L619" s="429">
        <f t="shared" si="67"/>
        <v>-0.02</v>
      </c>
      <c r="M619" s="8" t="s">
        <v>2927</v>
      </c>
    </row>
    <row r="620" spans="1:13">
      <c r="A620" s="476"/>
      <c r="B620" s="426">
        <v>58</v>
      </c>
      <c r="C620" s="431" t="s">
        <v>3175</v>
      </c>
      <c r="D620" s="436" t="str">
        <f>VLOOKUP(C620,param!$A$18:$B$220,2,FALSE)</f>
        <v>LOB1 - PT Meetings</v>
      </c>
      <c r="E620" s="437">
        <f>IF(INDEX(decR1Event3,1)=adj!$B620,K620,0)</f>
        <v>0</v>
      </c>
      <c r="F620" s="437"/>
      <c r="G620" s="156"/>
      <c r="J620" s="154">
        <v>0</v>
      </c>
      <c r="K620" s="429">
        <f t="shared" si="67"/>
        <v>-0.02</v>
      </c>
      <c r="L620" s="429">
        <f t="shared" si="67"/>
        <v>-0.02</v>
      </c>
      <c r="M620" s="8" t="s">
        <v>2927</v>
      </c>
    </row>
    <row r="621" spans="1:13">
      <c r="A621" s="476"/>
      <c r="B621" s="426">
        <v>58</v>
      </c>
      <c r="C621" s="431" t="s">
        <v>3176</v>
      </c>
      <c r="D621" s="436" t="str">
        <f>VLOOKUP(C621,param!$A$18:$B$220,2,FALSE)</f>
        <v>LOB1 - OT Meetings</v>
      </c>
      <c r="E621" s="437">
        <f>IF(INDEX(decR1Event3,1)=adj!$B621,K621,0)</f>
        <v>0</v>
      </c>
      <c r="F621" s="437"/>
      <c r="G621" s="156"/>
      <c r="H621" s="153"/>
      <c r="I621" s="153"/>
      <c r="J621" s="154">
        <v>0</v>
      </c>
      <c r="K621" s="429">
        <f t="shared" si="67"/>
        <v>-0.02</v>
      </c>
      <c r="L621" s="429">
        <f t="shared" si="67"/>
        <v>-0.02</v>
      </c>
      <c r="M621" s="8" t="s">
        <v>2927</v>
      </c>
    </row>
    <row r="622" spans="1:13">
      <c r="A622" s="476"/>
      <c r="B622" s="426">
        <v>58</v>
      </c>
      <c r="C622" s="431" t="s">
        <v>3251</v>
      </c>
      <c r="D622" s="436" t="str">
        <f>VLOOKUP(C622,param!$A$18:$B$220,2,FALSE)</f>
        <v>LOB2 - RN Meetings</v>
      </c>
      <c r="E622" s="437">
        <f>IF(INDEX(decR1Event3,1)=adj!$B622,K622,0)</f>
        <v>0</v>
      </c>
      <c r="F622" s="437"/>
      <c r="G622" s="156"/>
      <c r="J622" s="154">
        <v>0</v>
      </c>
      <c r="K622" s="429">
        <f t="shared" si="67"/>
        <v>-0.02</v>
      </c>
      <c r="L622" s="429">
        <f t="shared" si="67"/>
        <v>-0.02</v>
      </c>
      <c r="M622" s="8" t="s">
        <v>2927</v>
      </c>
    </row>
    <row r="623" spans="1:13">
      <c r="A623" s="476"/>
      <c r="B623" s="426">
        <v>58</v>
      </c>
      <c r="C623" s="431" t="s">
        <v>3253</v>
      </c>
      <c r="D623" s="436" t="str">
        <f>VLOOKUP(C623,param!$A$18:$B$220,2,FALSE)</f>
        <v>LOB2 - LPN Meetings</v>
      </c>
      <c r="E623" s="437">
        <f>IF(INDEX(decR1Event3,1)=adj!$B623,K623,0)</f>
        <v>0</v>
      </c>
      <c r="F623" s="437"/>
      <c r="G623" s="156"/>
      <c r="H623" s="153"/>
      <c r="I623" s="153"/>
      <c r="J623" s="154">
        <v>0</v>
      </c>
      <c r="K623" s="429">
        <f t="shared" si="67"/>
        <v>-0.02</v>
      </c>
      <c r="L623" s="429">
        <f t="shared" si="67"/>
        <v>-0.02</v>
      </c>
      <c r="M623" s="8" t="s">
        <v>2927</v>
      </c>
    </row>
    <row r="624" spans="1:13">
      <c r="A624" s="476"/>
      <c r="B624" s="426">
        <v>58</v>
      </c>
      <c r="C624" s="431" t="s">
        <v>3255</v>
      </c>
      <c r="D624" s="436" t="str">
        <f>VLOOKUP(C624,param!$A$18:$B$220,2,FALSE)</f>
        <v>LOB2 - PT Meetings</v>
      </c>
      <c r="E624" s="437">
        <f>IF(INDEX(decR1Event3,1)=adj!$B624,K624,0)</f>
        <v>0</v>
      </c>
      <c r="F624" s="437"/>
      <c r="G624" s="156"/>
      <c r="J624" s="154">
        <v>0</v>
      </c>
      <c r="K624" s="429">
        <f t="shared" si="67"/>
        <v>-0.02</v>
      </c>
      <c r="L624" s="429">
        <f t="shared" si="67"/>
        <v>-0.02</v>
      </c>
      <c r="M624" s="8" t="s">
        <v>2927</v>
      </c>
    </row>
    <row r="625" spans="1:13">
      <c r="A625" s="476"/>
      <c r="B625" s="426">
        <v>58</v>
      </c>
      <c r="C625" s="431" t="s">
        <v>3257</v>
      </c>
      <c r="D625" s="436" t="str">
        <f>VLOOKUP(C625,param!$A$18:$B$220,2,FALSE)</f>
        <v>LOB2 - OT Meetings</v>
      </c>
      <c r="E625" s="437">
        <f>IF(INDEX(decR1Event3,1)=adj!$B625,K625,0)</f>
        <v>0</v>
      </c>
      <c r="F625" s="437"/>
      <c r="G625" s="156"/>
      <c r="H625" s="153"/>
      <c r="I625" s="153"/>
      <c r="J625" s="154">
        <v>0</v>
      </c>
      <c r="K625" s="429">
        <f t="shared" si="67"/>
        <v>-0.02</v>
      </c>
      <c r="L625" s="429">
        <f t="shared" si="67"/>
        <v>-0.02</v>
      </c>
      <c r="M625" s="8" t="s">
        <v>2927</v>
      </c>
    </row>
    <row r="627" spans="1:13" ht="10.5">
      <c r="B627" s="67" t="s">
        <v>7902</v>
      </c>
    </row>
    <row r="628" spans="1:13" ht="10.5">
      <c r="B628" s="182">
        <v>59</v>
      </c>
      <c r="C628" s="722" t="s">
        <v>7903</v>
      </c>
    </row>
    <row r="629" spans="1:13">
      <c r="A629" s="476"/>
      <c r="B629" s="182">
        <v>59</v>
      </c>
      <c r="C629" s="431" t="s">
        <v>3148</v>
      </c>
      <c r="D629" s="436" t="str">
        <f>VLOOKUP(C629,param!$A$18:$B$220,2,FALSE)</f>
        <v>LOB1 - People Development Time</v>
      </c>
      <c r="E629" s="437"/>
      <c r="F629" s="437">
        <f>IF(INDEX(decR2Event1,1)=adj!$B629,L629,0)</f>
        <v>0</v>
      </c>
      <c r="G629" s="156"/>
      <c r="J629" s="154">
        <v>0</v>
      </c>
      <c r="K629" s="429">
        <f t="shared" ref="K629:L640" si="68">VLOOKUP($M629,$O$189:$P$193,2,FALSE)</f>
        <v>0.01</v>
      </c>
      <c r="L629" s="429">
        <f t="shared" si="68"/>
        <v>0.01</v>
      </c>
      <c r="M629" s="8" t="s">
        <v>2929</v>
      </c>
    </row>
    <row r="630" spans="1:13">
      <c r="A630" s="476"/>
      <c r="B630" s="182">
        <v>59</v>
      </c>
      <c r="C630" s="431" t="s">
        <v>3213</v>
      </c>
      <c r="D630" s="436" t="str">
        <f>VLOOKUP(C630,param!$A$18:$B$220,2,FALSE)</f>
        <v>LOB2 - People Development Time</v>
      </c>
      <c r="E630" s="437"/>
      <c r="F630" s="437">
        <f>IF(INDEX(decR2Event1,1)=adj!$B630,L630,0)</f>
        <v>0</v>
      </c>
      <c r="G630" s="156"/>
      <c r="H630" s="153"/>
      <c r="I630" s="153"/>
      <c r="J630" s="154">
        <v>0</v>
      </c>
      <c r="K630" s="429">
        <f t="shared" si="68"/>
        <v>0.01</v>
      </c>
      <c r="L630" s="429">
        <f t="shared" si="68"/>
        <v>0.01</v>
      </c>
      <c r="M630" s="8" t="s">
        <v>2929</v>
      </c>
    </row>
    <row r="631" spans="1:13">
      <c r="A631" s="476"/>
      <c r="B631" s="182">
        <v>59</v>
      </c>
      <c r="C631" s="431" t="s">
        <v>3162</v>
      </c>
      <c r="D631" s="436" t="str">
        <f>VLOOKUP(C631,param!$A$18:$B$220,2,FALSE)</f>
        <v>LOB1 - Employee Engagment</v>
      </c>
      <c r="E631" s="437"/>
      <c r="F631" s="437">
        <f>IF(INDEX(decR2Event1,1)=adj!$B631,L631,0)</f>
        <v>0</v>
      </c>
      <c r="G631" s="156"/>
      <c r="J631" s="154">
        <v>0</v>
      </c>
      <c r="K631" s="429">
        <f t="shared" si="68"/>
        <v>0.03</v>
      </c>
      <c r="L631" s="429">
        <f t="shared" si="68"/>
        <v>0.03</v>
      </c>
      <c r="M631" s="8" t="s">
        <v>2926</v>
      </c>
    </row>
    <row r="632" spans="1:13">
      <c r="A632" s="476"/>
      <c r="B632" s="182">
        <v>59</v>
      </c>
      <c r="C632" s="431" t="s">
        <v>3234</v>
      </c>
      <c r="D632" s="436" t="str">
        <f>VLOOKUP(C632,param!$A$18:$B$220,2,FALSE)</f>
        <v>LOB2 - Employee Engagment</v>
      </c>
      <c r="E632" s="437"/>
      <c r="F632" s="437">
        <f>IF(INDEX(decR2Event1,1)=adj!$B632,L632,0)</f>
        <v>0</v>
      </c>
      <c r="G632" s="156"/>
      <c r="H632" s="153"/>
      <c r="I632" s="153"/>
      <c r="J632" s="154">
        <v>0</v>
      </c>
      <c r="K632" s="429">
        <f t="shared" si="68"/>
        <v>0.03</v>
      </c>
      <c r="L632" s="429">
        <f t="shared" si="68"/>
        <v>0.03</v>
      </c>
      <c r="M632" s="8" t="s">
        <v>2926</v>
      </c>
    </row>
    <row r="633" spans="1:13">
      <c r="A633" s="476"/>
      <c r="B633" s="182">
        <v>59</v>
      </c>
      <c r="C633" s="431" t="s">
        <v>3173</v>
      </c>
      <c r="D633" s="436" t="str">
        <f>VLOOKUP(C633,param!$A$18:$B$220,2,FALSE)</f>
        <v>LOB1 - RN Meetings</v>
      </c>
      <c r="E633" s="437"/>
      <c r="F633" s="437">
        <f>IF(INDEX(decR2Event1,1)=adj!$B633,L633,0)</f>
        <v>0</v>
      </c>
      <c r="G633" s="156"/>
      <c r="J633" s="154">
        <v>0</v>
      </c>
      <c r="K633" s="429">
        <f t="shared" si="68"/>
        <v>0.02</v>
      </c>
      <c r="L633" s="429">
        <f t="shared" si="68"/>
        <v>0.02</v>
      </c>
      <c r="M633" s="8" t="s">
        <v>2927</v>
      </c>
    </row>
    <row r="634" spans="1:13">
      <c r="A634" s="476"/>
      <c r="B634" s="182">
        <v>59</v>
      </c>
      <c r="C634" s="431" t="s">
        <v>3174</v>
      </c>
      <c r="D634" s="436" t="str">
        <f>VLOOKUP(C634,param!$A$18:$B$220,2,FALSE)</f>
        <v>LOB1 - LPN Meetings</v>
      </c>
      <c r="E634" s="437"/>
      <c r="F634" s="437">
        <f>IF(INDEX(decR2Event1,1)=adj!$B634,L634,0)</f>
        <v>0</v>
      </c>
      <c r="G634" s="156"/>
      <c r="H634" s="153"/>
      <c r="I634" s="153"/>
      <c r="J634" s="154">
        <v>0</v>
      </c>
      <c r="K634" s="429">
        <f t="shared" si="68"/>
        <v>0.02</v>
      </c>
      <c r="L634" s="429">
        <f t="shared" si="68"/>
        <v>0.02</v>
      </c>
      <c r="M634" s="8" t="s">
        <v>2927</v>
      </c>
    </row>
    <row r="635" spans="1:13">
      <c r="A635" s="476"/>
      <c r="B635" s="182">
        <v>59</v>
      </c>
      <c r="C635" s="431" t="s">
        <v>3175</v>
      </c>
      <c r="D635" s="436" t="str">
        <f>VLOOKUP(C635,param!$A$18:$B$220,2,FALSE)</f>
        <v>LOB1 - PT Meetings</v>
      </c>
      <c r="E635" s="437"/>
      <c r="F635" s="437">
        <f>IF(INDEX(decR2Event1,1)=adj!$B635,L635,0)</f>
        <v>0</v>
      </c>
      <c r="G635" s="156"/>
      <c r="J635" s="154">
        <v>0</v>
      </c>
      <c r="K635" s="429">
        <f t="shared" si="68"/>
        <v>0.02</v>
      </c>
      <c r="L635" s="429">
        <f t="shared" si="68"/>
        <v>0.02</v>
      </c>
      <c r="M635" s="8" t="s">
        <v>2927</v>
      </c>
    </row>
    <row r="636" spans="1:13">
      <c r="A636" s="476"/>
      <c r="B636" s="182">
        <v>59</v>
      </c>
      <c r="C636" s="431" t="s">
        <v>3176</v>
      </c>
      <c r="D636" s="436" t="str">
        <f>VLOOKUP(C636,param!$A$18:$B$220,2,FALSE)</f>
        <v>LOB1 - OT Meetings</v>
      </c>
      <c r="E636" s="437"/>
      <c r="F636" s="437">
        <f>IF(INDEX(decR2Event1,1)=adj!$B636,L636,0)</f>
        <v>0</v>
      </c>
      <c r="G636" s="156"/>
      <c r="H636" s="153"/>
      <c r="I636" s="153"/>
      <c r="J636" s="154">
        <v>0</v>
      </c>
      <c r="K636" s="429">
        <f t="shared" si="68"/>
        <v>0.02</v>
      </c>
      <c r="L636" s="429">
        <f t="shared" si="68"/>
        <v>0.02</v>
      </c>
      <c r="M636" s="8" t="s">
        <v>2927</v>
      </c>
    </row>
    <row r="637" spans="1:13">
      <c r="A637" s="476"/>
      <c r="B637" s="182">
        <v>59</v>
      </c>
      <c r="C637" s="431" t="s">
        <v>3251</v>
      </c>
      <c r="D637" s="436" t="str">
        <f>VLOOKUP(C637,param!$A$18:$B$220,2,FALSE)</f>
        <v>LOB2 - RN Meetings</v>
      </c>
      <c r="E637" s="437"/>
      <c r="F637" s="437">
        <f>IF(INDEX(decR2Event1,1)=adj!$B637,L637,0)</f>
        <v>0</v>
      </c>
      <c r="G637" s="156"/>
      <c r="J637" s="154">
        <v>0</v>
      </c>
      <c r="K637" s="429">
        <f t="shared" si="68"/>
        <v>0.02</v>
      </c>
      <c r="L637" s="429">
        <f t="shared" si="68"/>
        <v>0.02</v>
      </c>
      <c r="M637" s="8" t="s">
        <v>2927</v>
      </c>
    </row>
    <row r="638" spans="1:13">
      <c r="A638" s="476"/>
      <c r="B638" s="182">
        <v>59</v>
      </c>
      <c r="C638" s="431" t="s">
        <v>3253</v>
      </c>
      <c r="D638" s="436" t="str">
        <f>VLOOKUP(C638,param!$A$18:$B$220,2,FALSE)</f>
        <v>LOB2 - LPN Meetings</v>
      </c>
      <c r="E638" s="437"/>
      <c r="F638" s="437">
        <f>IF(INDEX(decR2Event1,1)=adj!$B638,L638,0)</f>
        <v>0</v>
      </c>
      <c r="G638" s="156"/>
      <c r="H638" s="153"/>
      <c r="I638" s="153"/>
      <c r="J638" s="154">
        <v>0</v>
      </c>
      <c r="K638" s="429">
        <f t="shared" si="68"/>
        <v>0.02</v>
      </c>
      <c r="L638" s="429">
        <f t="shared" si="68"/>
        <v>0.02</v>
      </c>
      <c r="M638" s="8" t="s">
        <v>2927</v>
      </c>
    </row>
    <row r="639" spans="1:13">
      <c r="A639" s="476"/>
      <c r="B639" s="182">
        <v>59</v>
      </c>
      <c r="C639" s="431" t="s">
        <v>3255</v>
      </c>
      <c r="D639" s="436" t="str">
        <f>VLOOKUP(C639,param!$A$18:$B$220,2,FALSE)</f>
        <v>LOB2 - PT Meetings</v>
      </c>
      <c r="E639" s="437"/>
      <c r="F639" s="437">
        <f>IF(INDEX(decR2Event1,1)=adj!$B639,L639,0)</f>
        <v>0</v>
      </c>
      <c r="G639" s="156"/>
      <c r="J639" s="154">
        <v>0</v>
      </c>
      <c r="K639" s="429">
        <f t="shared" si="68"/>
        <v>0.02</v>
      </c>
      <c r="L639" s="429">
        <f t="shared" si="68"/>
        <v>0.02</v>
      </c>
      <c r="M639" s="8" t="s">
        <v>2927</v>
      </c>
    </row>
    <row r="640" spans="1:13">
      <c r="A640" s="476"/>
      <c r="B640" s="182">
        <v>59</v>
      </c>
      <c r="C640" s="431" t="s">
        <v>3257</v>
      </c>
      <c r="D640" s="436" t="str">
        <f>VLOOKUP(C640,param!$A$18:$B$220,2,FALSE)</f>
        <v>LOB2 - OT Meetings</v>
      </c>
      <c r="E640" s="437"/>
      <c r="F640" s="437">
        <f>IF(INDEX(decR2Event1,1)=adj!$B640,L640,0)</f>
        <v>0</v>
      </c>
      <c r="G640" s="156"/>
      <c r="H640" s="153"/>
      <c r="I640" s="153"/>
      <c r="J640" s="154">
        <v>0</v>
      </c>
      <c r="K640" s="429">
        <f t="shared" si="68"/>
        <v>0.02</v>
      </c>
      <c r="L640" s="429">
        <f t="shared" si="68"/>
        <v>0.02</v>
      </c>
      <c r="M640" s="8" t="s">
        <v>2927</v>
      </c>
    </row>
    <row r="642" spans="1:13" ht="10.5">
      <c r="B642" s="182">
        <v>60</v>
      </c>
      <c r="C642" s="722" t="s">
        <v>7904</v>
      </c>
    </row>
    <row r="643" spans="1:13">
      <c r="A643" s="476"/>
      <c r="B643" s="182">
        <v>60</v>
      </c>
      <c r="C643" s="431" t="s">
        <v>3148</v>
      </c>
      <c r="D643" s="436" t="str">
        <f>VLOOKUP(C643,param!$A$18:$B$220,2,FALSE)</f>
        <v>LOB1 - People Development Time</v>
      </c>
      <c r="E643" s="437"/>
      <c r="F643" s="437">
        <f>IF(INDEX(decR2Event1,1)=adj!$B643,L643,0)</f>
        <v>0</v>
      </c>
      <c r="G643" s="156"/>
      <c r="J643" s="154">
        <v>0</v>
      </c>
      <c r="K643" s="429">
        <f t="shared" ref="K643:L646" si="69">VLOOKUP($M643,$O$189:$P$193,2,FALSE)</f>
        <v>0.01</v>
      </c>
      <c r="L643" s="429">
        <f t="shared" si="69"/>
        <v>0.01</v>
      </c>
      <c r="M643" s="8" t="s">
        <v>2929</v>
      </c>
    </row>
    <row r="644" spans="1:13">
      <c r="A644" s="476"/>
      <c r="B644" s="182">
        <v>60</v>
      </c>
      <c r="C644" s="431" t="s">
        <v>3213</v>
      </c>
      <c r="D644" s="436" t="str">
        <f>VLOOKUP(C644,param!$A$18:$B$220,2,FALSE)</f>
        <v>LOB2 - People Development Time</v>
      </c>
      <c r="E644" s="437"/>
      <c r="F644" s="437">
        <f>IF(INDEX(decR2Event1,1)=adj!$B644,L644,0)</f>
        <v>0</v>
      </c>
      <c r="G644" s="156"/>
      <c r="H644" s="153"/>
      <c r="I644" s="153"/>
      <c r="J644" s="154">
        <v>0</v>
      </c>
      <c r="K644" s="429">
        <f t="shared" si="69"/>
        <v>0.01</v>
      </c>
      <c r="L644" s="429">
        <f t="shared" si="69"/>
        <v>0.01</v>
      </c>
      <c r="M644" s="8" t="s">
        <v>2929</v>
      </c>
    </row>
    <row r="645" spans="1:13">
      <c r="A645" s="476"/>
      <c r="B645" s="182">
        <v>60</v>
      </c>
      <c r="C645" s="431" t="s">
        <v>3152</v>
      </c>
      <c r="D645" s="436" t="str">
        <f>VLOOKUP(C645,param!$A$18:$B$220,2,FALSE)</f>
        <v>LOB1 - Clinical Time</v>
      </c>
      <c r="E645" s="437"/>
      <c r="F645" s="437">
        <f>IF(INDEX(decR2Event1,1)=adj!$B645,L645,0)</f>
        <v>0</v>
      </c>
      <c r="G645" s="156"/>
      <c r="J645" s="154">
        <v>0</v>
      </c>
      <c r="K645" s="429">
        <f t="shared" si="69"/>
        <v>0.02</v>
      </c>
      <c r="L645" s="429">
        <f t="shared" si="69"/>
        <v>0.02</v>
      </c>
      <c r="M645" s="8" t="s">
        <v>2927</v>
      </c>
    </row>
    <row r="646" spans="1:13">
      <c r="A646" s="476"/>
      <c r="B646" s="182">
        <v>60</v>
      </c>
      <c r="C646" s="431" t="s">
        <v>3219</v>
      </c>
      <c r="D646" s="436" t="str">
        <f>VLOOKUP(C646,param!$A$18:$B$220,2,FALSE)</f>
        <v>LOB2 - Clinical Time</v>
      </c>
      <c r="E646" s="437"/>
      <c r="F646" s="437">
        <f>IF(INDEX(decR2Event1,1)=adj!$B646,L646,0)</f>
        <v>0</v>
      </c>
      <c r="G646" s="156"/>
      <c r="H646" s="153"/>
      <c r="I646" s="153"/>
      <c r="J646" s="154">
        <v>0</v>
      </c>
      <c r="K646" s="429">
        <f t="shared" si="69"/>
        <v>0.02</v>
      </c>
      <c r="L646" s="429">
        <f t="shared" si="69"/>
        <v>0.02</v>
      </c>
      <c r="M646" s="8" t="s">
        <v>2927</v>
      </c>
    </row>
    <row r="647" spans="1:13">
      <c r="A647" s="476"/>
      <c r="B647" s="182">
        <v>60</v>
      </c>
      <c r="C647" s="431" t="s">
        <v>3173</v>
      </c>
      <c r="D647" s="436" t="str">
        <f>VLOOKUP(C647,param!$A$18:$B$220,2,FALSE)</f>
        <v>LOB1 - RN Meetings</v>
      </c>
      <c r="E647" s="437"/>
      <c r="F647" s="437">
        <f>IF(INDEX(decR2Event1,1)=adj!$B647,L647,0)</f>
        <v>0</v>
      </c>
      <c r="G647" s="156"/>
      <c r="J647" s="154">
        <v>0</v>
      </c>
      <c r="K647" s="429">
        <f>VLOOKUP($M647,$O$189:$P$193,2,FALSE)*-1</f>
        <v>-0.02</v>
      </c>
      <c r="L647" s="429">
        <f>VLOOKUP($M647,$O$189:$P$193,2,FALSE)*-1</f>
        <v>-0.02</v>
      </c>
      <c r="M647" s="8" t="s">
        <v>2927</v>
      </c>
    </row>
    <row r="648" spans="1:13">
      <c r="A648" s="476"/>
      <c r="B648" s="182">
        <v>60</v>
      </c>
      <c r="C648" s="431" t="s">
        <v>3174</v>
      </c>
      <c r="D648" s="436" t="str">
        <f>VLOOKUP(C648,param!$A$18:$B$220,2,FALSE)</f>
        <v>LOB1 - LPN Meetings</v>
      </c>
      <c r="E648" s="437"/>
      <c r="F648" s="437">
        <f>IF(INDEX(decR2Event1,1)=adj!$B648,L648,0)</f>
        <v>0</v>
      </c>
      <c r="G648" s="156"/>
      <c r="H648" s="153"/>
      <c r="I648" s="153"/>
      <c r="J648" s="154">
        <v>0</v>
      </c>
      <c r="K648" s="429">
        <f t="shared" ref="K648:L654" si="70">VLOOKUP($M648,$O$189:$P$193,2,FALSE)*-1</f>
        <v>-0.02</v>
      </c>
      <c r="L648" s="429">
        <f t="shared" si="70"/>
        <v>-0.02</v>
      </c>
      <c r="M648" s="8" t="s">
        <v>2927</v>
      </c>
    </row>
    <row r="649" spans="1:13">
      <c r="A649" s="476"/>
      <c r="B649" s="182">
        <v>60</v>
      </c>
      <c r="C649" s="431" t="s">
        <v>3175</v>
      </c>
      <c r="D649" s="436" t="str">
        <f>VLOOKUP(C649,param!$A$18:$B$220,2,FALSE)</f>
        <v>LOB1 - PT Meetings</v>
      </c>
      <c r="E649" s="437"/>
      <c r="F649" s="437">
        <f>IF(INDEX(decR2Event1,1)=adj!$B649,L649,0)</f>
        <v>0</v>
      </c>
      <c r="G649" s="156"/>
      <c r="J649" s="154">
        <v>0</v>
      </c>
      <c r="K649" s="429">
        <f t="shared" si="70"/>
        <v>-0.02</v>
      </c>
      <c r="L649" s="429">
        <f t="shared" si="70"/>
        <v>-0.02</v>
      </c>
      <c r="M649" s="8" t="s">
        <v>2927</v>
      </c>
    </row>
    <row r="650" spans="1:13">
      <c r="A650" s="476"/>
      <c r="B650" s="182">
        <v>60</v>
      </c>
      <c r="C650" s="431" t="s">
        <v>3176</v>
      </c>
      <c r="D650" s="436" t="str">
        <f>VLOOKUP(C650,param!$A$18:$B$220,2,FALSE)</f>
        <v>LOB1 - OT Meetings</v>
      </c>
      <c r="E650" s="437"/>
      <c r="F650" s="437">
        <f>IF(INDEX(decR2Event1,1)=adj!$B650,L650,0)</f>
        <v>0</v>
      </c>
      <c r="G650" s="156"/>
      <c r="H650" s="153"/>
      <c r="I650" s="153"/>
      <c r="J650" s="154">
        <v>0</v>
      </c>
      <c r="K650" s="429">
        <f t="shared" si="70"/>
        <v>-0.02</v>
      </c>
      <c r="L650" s="429">
        <f t="shared" si="70"/>
        <v>-0.02</v>
      </c>
      <c r="M650" s="8" t="s">
        <v>2927</v>
      </c>
    </row>
    <row r="651" spans="1:13">
      <c r="A651" s="476"/>
      <c r="B651" s="182">
        <v>60</v>
      </c>
      <c r="C651" s="431" t="s">
        <v>3251</v>
      </c>
      <c r="D651" s="436" t="str">
        <f>VLOOKUP(C651,param!$A$18:$B$220,2,FALSE)</f>
        <v>LOB2 - RN Meetings</v>
      </c>
      <c r="E651" s="437"/>
      <c r="F651" s="437">
        <f>IF(INDEX(decR2Event1,1)=adj!$B651,L651,0)</f>
        <v>0</v>
      </c>
      <c r="G651" s="156"/>
      <c r="J651" s="154">
        <v>0</v>
      </c>
      <c r="K651" s="429">
        <f t="shared" si="70"/>
        <v>-0.02</v>
      </c>
      <c r="L651" s="429">
        <f t="shared" si="70"/>
        <v>-0.02</v>
      </c>
      <c r="M651" s="8" t="s">
        <v>2927</v>
      </c>
    </row>
    <row r="652" spans="1:13">
      <c r="A652" s="476"/>
      <c r="B652" s="182">
        <v>60</v>
      </c>
      <c r="C652" s="431" t="s">
        <v>3253</v>
      </c>
      <c r="D652" s="436" t="str">
        <f>VLOOKUP(C652,param!$A$18:$B$220,2,FALSE)</f>
        <v>LOB2 - LPN Meetings</v>
      </c>
      <c r="E652" s="437"/>
      <c r="F652" s="437">
        <f>IF(INDEX(decR2Event1,1)=adj!$B652,L652,0)</f>
        <v>0</v>
      </c>
      <c r="G652" s="156"/>
      <c r="H652" s="153"/>
      <c r="I652" s="153"/>
      <c r="J652" s="154">
        <v>0</v>
      </c>
      <c r="K652" s="429">
        <f t="shared" si="70"/>
        <v>-0.02</v>
      </c>
      <c r="L652" s="429">
        <f t="shared" si="70"/>
        <v>-0.02</v>
      </c>
      <c r="M652" s="8" t="s">
        <v>2927</v>
      </c>
    </row>
    <row r="653" spans="1:13">
      <c r="A653" s="476"/>
      <c r="B653" s="182">
        <v>60</v>
      </c>
      <c r="C653" s="431" t="s">
        <v>3255</v>
      </c>
      <c r="D653" s="436" t="str">
        <f>VLOOKUP(C653,param!$A$18:$B$220,2,FALSE)</f>
        <v>LOB2 - PT Meetings</v>
      </c>
      <c r="E653" s="437"/>
      <c r="F653" s="437">
        <f>IF(INDEX(decR2Event1,1)=adj!$B653,L653,0)</f>
        <v>0</v>
      </c>
      <c r="G653" s="156"/>
      <c r="J653" s="154">
        <v>0</v>
      </c>
      <c r="K653" s="429">
        <f t="shared" si="70"/>
        <v>-0.02</v>
      </c>
      <c r="L653" s="429">
        <f t="shared" si="70"/>
        <v>-0.02</v>
      </c>
      <c r="M653" s="8" t="s">
        <v>2927</v>
      </c>
    </row>
    <row r="654" spans="1:13">
      <c r="A654" s="476"/>
      <c r="B654" s="182">
        <v>60</v>
      </c>
      <c r="C654" s="431" t="s">
        <v>3257</v>
      </c>
      <c r="D654" s="436" t="str">
        <f>VLOOKUP(C654,param!$A$18:$B$220,2,FALSE)</f>
        <v>LOB2 - OT Meetings</v>
      </c>
      <c r="E654" s="437"/>
      <c r="F654" s="437">
        <f>IF(INDEX(decR2Event1,1)=adj!$B654,L654,0)</f>
        <v>0</v>
      </c>
      <c r="G654" s="156"/>
      <c r="H654" s="153"/>
      <c r="I654" s="153"/>
      <c r="J654" s="154">
        <v>0</v>
      </c>
      <c r="K654" s="429">
        <f t="shared" si="70"/>
        <v>-0.02</v>
      </c>
      <c r="L654" s="429">
        <f t="shared" si="70"/>
        <v>-0.02</v>
      </c>
      <c r="M654" s="8" t="s">
        <v>2927</v>
      </c>
    </row>
    <row r="656" spans="1:13" ht="10.5">
      <c r="B656" s="182">
        <v>61</v>
      </c>
      <c r="C656" s="722" t="s">
        <v>7905</v>
      </c>
    </row>
    <row r="657" spans="1:13">
      <c r="A657" s="476"/>
      <c r="B657" s="182">
        <v>61</v>
      </c>
      <c r="C657" s="431" t="s">
        <v>3148</v>
      </c>
      <c r="D657" s="436" t="str">
        <f>VLOOKUP(C657,param!$A$18:$B$220,2,FALSE)</f>
        <v>LOB1 - People Development Time</v>
      </c>
      <c r="E657" s="437"/>
      <c r="F657" s="437">
        <f>IF(INDEX(decR2Event1,1)=adj!$B657,L657,0)</f>
        <v>0</v>
      </c>
      <c r="G657" s="156"/>
      <c r="J657" s="154">
        <v>0</v>
      </c>
      <c r="K657" s="429">
        <f t="shared" ref="K657:L658" si="71">VLOOKUP($M657,$O$189:$P$193,2,FALSE)</f>
        <v>0.02</v>
      </c>
      <c r="L657" s="429">
        <f t="shared" si="71"/>
        <v>0.02</v>
      </c>
      <c r="M657" s="8" t="s">
        <v>2927</v>
      </c>
    </row>
    <row r="658" spans="1:13">
      <c r="A658" s="476"/>
      <c r="B658" s="182">
        <v>61</v>
      </c>
      <c r="C658" s="431" t="s">
        <v>3213</v>
      </c>
      <c r="D658" s="436" t="str">
        <f>VLOOKUP(C658,param!$A$18:$B$220,2,FALSE)</f>
        <v>LOB2 - People Development Time</v>
      </c>
      <c r="E658" s="437"/>
      <c r="F658" s="437">
        <f>IF(INDEX(decR2Event1,1)=adj!$B658,L658,0)</f>
        <v>0</v>
      </c>
      <c r="G658" s="156"/>
      <c r="H658" s="153"/>
      <c r="I658" s="153"/>
      <c r="J658" s="154">
        <v>0</v>
      </c>
      <c r="K658" s="429">
        <f t="shared" si="71"/>
        <v>0.02</v>
      </c>
      <c r="L658" s="429">
        <f t="shared" si="71"/>
        <v>0.02</v>
      </c>
      <c r="M658" s="8" t="s">
        <v>2927</v>
      </c>
    </row>
    <row r="659" spans="1:13">
      <c r="A659" s="476"/>
      <c r="B659" s="182">
        <v>61</v>
      </c>
      <c r="C659" s="431" t="s">
        <v>3162</v>
      </c>
      <c r="D659" s="436" t="str">
        <f>VLOOKUP(C659,param!$A$18:$B$220,2,FALSE)</f>
        <v>LOB1 - Employee Engagment</v>
      </c>
      <c r="E659" s="437"/>
      <c r="F659" s="437">
        <f>IF(INDEX(decR2Event1,1)=adj!$B659,L659,0)</f>
        <v>0</v>
      </c>
      <c r="G659" s="156"/>
      <c r="J659" s="154">
        <v>0</v>
      </c>
      <c r="K659" s="429">
        <f t="shared" ref="K659:L661" si="72">VLOOKUP($M659,$O$189:$P$193,2,FALSE)*-1</f>
        <v>-0.02</v>
      </c>
      <c r="L659" s="429">
        <f t="shared" si="72"/>
        <v>-0.02</v>
      </c>
      <c r="M659" s="8" t="s">
        <v>2927</v>
      </c>
    </row>
    <row r="660" spans="1:13">
      <c r="A660" s="476"/>
      <c r="B660" s="182">
        <v>61</v>
      </c>
      <c r="C660" s="431" t="s">
        <v>3234</v>
      </c>
      <c r="D660" s="436" t="str">
        <f>VLOOKUP(C660,param!$A$18:$B$220,2,FALSE)</f>
        <v>LOB2 - Employee Engagment</v>
      </c>
      <c r="E660" s="437"/>
      <c r="F660" s="437">
        <f>IF(INDEX(decR2Event1,1)=adj!$B660,L660,0)</f>
        <v>0</v>
      </c>
      <c r="G660" s="156"/>
      <c r="H660" s="153"/>
      <c r="I660" s="153"/>
      <c r="J660" s="154">
        <v>0</v>
      </c>
      <c r="K660" s="429">
        <f t="shared" si="72"/>
        <v>-0.02</v>
      </c>
      <c r="L660" s="429">
        <f t="shared" si="72"/>
        <v>-0.02</v>
      </c>
      <c r="M660" s="8" t="s">
        <v>2927</v>
      </c>
    </row>
    <row r="661" spans="1:13">
      <c r="A661" s="476"/>
      <c r="B661" s="182">
        <v>61</v>
      </c>
      <c r="C661" s="431" t="s">
        <v>3173</v>
      </c>
      <c r="D661" s="436" t="str">
        <f>VLOOKUP(C661,param!$A$18:$B$220,2,FALSE)</f>
        <v>LOB1 - RN Meetings</v>
      </c>
      <c r="E661" s="437"/>
      <c r="F661" s="437">
        <f>IF(INDEX(decR2Event1,1)=adj!$B661,L661,0)</f>
        <v>0</v>
      </c>
      <c r="G661" s="156"/>
      <c r="J661" s="154">
        <v>0</v>
      </c>
      <c r="K661" s="429">
        <f t="shared" si="72"/>
        <v>-0.02</v>
      </c>
      <c r="L661" s="429">
        <f t="shared" si="72"/>
        <v>-0.02</v>
      </c>
      <c r="M661" s="8" t="s">
        <v>2927</v>
      </c>
    </row>
    <row r="662" spans="1:13">
      <c r="A662" s="476"/>
      <c r="B662" s="182">
        <v>61</v>
      </c>
      <c r="C662" s="431" t="s">
        <v>3174</v>
      </c>
      <c r="D662" s="436" t="str">
        <f>VLOOKUP(C662,param!$A$18:$B$220,2,FALSE)</f>
        <v>LOB1 - LPN Meetings</v>
      </c>
      <c r="E662" s="437"/>
      <c r="F662" s="437">
        <f>IF(INDEX(decR2Event1,1)=adj!$B662,L662,0)</f>
        <v>0</v>
      </c>
      <c r="G662" s="156"/>
      <c r="H662" s="153"/>
      <c r="I662" s="153"/>
      <c r="J662" s="154">
        <v>0</v>
      </c>
      <c r="K662" s="429">
        <f t="shared" ref="K662:L668" si="73">VLOOKUP($M662,$O$189:$P$193,2,FALSE)*-1</f>
        <v>-0.02</v>
      </c>
      <c r="L662" s="429">
        <f t="shared" si="73"/>
        <v>-0.02</v>
      </c>
      <c r="M662" s="8" t="s">
        <v>2927</v>
      </c>
    </row>
    <row r="663" spans="1:13">
      <c r="A663" s="476"/>
      <c r="B663" s="182">
        <v>61</v>
      </c>
      <c r="C663" s="431" t="s">
        <v>3175</v>
      </c>
      <c r="D663" s="436" t="str">
        <f>VLOOKUP(C663,param!$A$18:$B$220,2,FALSE)</f>
        <v>LOB1 - PT Meetings</v>
      </c>
      <c r="E663" s="437"/>
      <c r="F663" s="437">
        <f>IF(INDEX(decR2Event1,1)=adj!$B663,L663,0)</f>
        <v>0</v>
      </c>
      <c r="G663" s="156"/>
      <c r="J663" s="154">
        <v>0</v>
      </c>
      <c r="K663" s="429">
        <f t="shared" si="73"/>
        <v>-0.02</v>
      </c>
      <c r="L663" s="429">
        <f t="shared" si="73"/>
        <v>-0.02</v>
      </c>
      <c r="M663" s="8" t="s">
        <v>2927</v>
      </c>
    </row>
    <row r="664" spans="1:13">
      <c r="A664" s="476"/>
      <c r="B664" s="182">
        <v>61</v>
      </c>
      <c r="C664" s="431" t="s">
        <v>3176</v>
      </c>
      <c r="D664" s="436" t="str">
        <f>VLOOKUP(C664,param!$A$18:$B$220,2,FALSE)</f>
        <v>LOB1 - OT Meetings</v>
      </c>
      <c r="E664" s="437"/>
      <c r="F664" s="437">
        <f>IF(INDEX(decR2Event1,1)=adj!$B664,L664,0)</f>
        <v>0</v>
      </c>
      <c r="G664" s="156"/>
      <c r="H664" s="153"/>
      <c r="I664" s="153"/>
      <c r="J664" s="154">
        <v>0</v>
      </c>
      <c r="K664" s="429">
        <f t="shared" si="73"/>
        <v>-0.02</v>
      </c>
      <c r="L664" s="429">
        <f t="shared" si="73"/>
        <v>-0.02</v>
      </c>
      <c r="M664" s="8" t="s">
        <v>2927</v>
      </c>
    </row>
    <row r="665" spans="1:13">
      <c r="A665" s="476"/>
      <c r="B665" s="182">
        <v>61</v>
      </c>
      <c r="C665" s="431" t="s">
        <v>3251</v>
      </c>
      <c r="D665" s="436" t="str">
        <f>VLOOKUP(C665,param!$A$18:$B$220,2,FALSE)</f>
        <v>LOB2 - RN Meetings</v>
      </c>
      <c r="E665" s="437"/>
      <c r="F665" s="437">
        <f>IF(INDEX(decR2Event1,1)=adj!$B665,L665,0)</f>
        <v>0</v>
      </c>
      <c r="G665" s="156"/>
      <c r="J665" s="154">
        <v>0</v>
      </c>
      <c r="K665" s="429">
        <f t="shared" si="73"/>
        <v>-0.02</v>
      </c>
      <c r="L665" s="429">
        <f t="shared" si="73"/>
        <v>-0.02</v>
      </c>
      <c r="M665" s="8" t="s">
        <v>2927</v>
      </c>
    </row>
    <row r="666" spans="1:13">
      <c r="A666" s="476"/>
      <c r="B666" s="182">
        <v>61</v>
      </c>
      <c r="C666" s="431" t="s">
        <v>3253</v>
      </c>
      <c r="D666" s="436" t="str">
        <f>VLOOKUP(C666,param!$A$18:$B$220,2,FALSE)</f>
        <v>LOB2 - LPN Meetings</v>
      </c>
      <c r="E666" s="437"/>
      <c r="F666" s="437">
        <f>IF(INDEX(decR2Event1,1)=adj!$B666,L666,0)</f>
        <v>0</v>
      </c>
      <c r="G666" s="156"/>
      <c r="H666" s="153"/>
      <c r="I666" s="153"/>
      <c r="J666" s="154">
        <v>0</v>
      </c>
      <c r="K666" s="429">
        <f t="shared" si="73"/>
        <v>-0.02</v>
      </c>
      <c r="L666" s="429">
        <f t="shared" si="73"/>
        <v>-0.02</v>
      </c>
      <c r="M666" s="8" t="s">
        <v>2927</v>
      </c>
    </row>
    <row r="667" spans="1:13">
      <c r="A667" s="476"/>
      <c r="B667" s="182">
        <v>61</v>
      </c>
      <c r="C667" s="431" t="s">
        <v>3255</v>
      </c>
      <c r="D667" s="436" t="str">
        <f>VLOOKUP(C667,param!$A$18:$B$220,2,FALSE)</f>
        <v>LOB2 - PT Meetings</v>
      </c>
      <c r="E667" s="437"/>
      <c r="F667" s="437">
        <f>IF(INDEX(decR2Event1,1)=adj!$B667,L667,0)</f>
        <v>0</v>
      </c>
      <c r="G667" s="156"/>
      <c r="J667" s="154">
        <v>0</v>
      </c>
      <c r="K667" s="429">
        <f t="shared" si="73"/>
        <v>-0.02</v>
      </c>
      <c r="L667" s="429">
        <f t="shared" si="73"/>
        <v>-0.02</v>
      </c>
      <c r="M667" s="8" t="s">
        <v>2927</v>
      </c>
    </row>
    <row r="668" spans="1:13">
      <c r="A668" s="476"/>
      <c r="B668" s="182">
        <v>61</v>
      </c>
      <c r="C668" s="431" t="s">
        <v>3257</v>
      </c>
      <c r="D668" s="436" t="str">
        <f>VLOOKUP(C668,param!$A$18:$B$220,2,FALSE)</f>
        <v>LOB2 - OT Meetings</v>
      </c>
      <c r="E668" s="437"/>
      <c r="F668" s="437">
        <f>IF(INDEX(decR2Event1,1)=adj!$B668,L668,0)</f>
        <v>0</v>
      </c>
      <c r="G668" s="156"/>
      <c r="H668" s="153"/>
      <c r="I668" s="153"/>
      <c r="J668" s="154">
        <v>0</v>
      </c>
      <c r="K668" s="429">
        <f t="shared" si="73"/>
        <v>-0.02</v>
      </c>
      <c r="L668" s="429">
        <f t="shared" si="73"/>
        <v>-0.02</v>
      </c>
      <c r="M668" s="8" t="s">
        <v>2927</v>
      </c>
    </row>
    <row r="670" spans="1:13" ht="10.5">
      <c r="B670" s="67" t="s">
        <v>7906</v>
      </c>
    </row>
    <row r="671" spans="1:13" ht="10.5">
      <c r="B671" s="182">
        <v>62</v>
      </c>
      <c r="C671" s="722" t="s">
        <v>7907</v>
      </c>
    </row>
    <row r="672" spans="1:13">
      <c r="A672" s="476"/>
      <c r="B672" s="182">
        <v>62</v>
      </c>
      <c r="C672" s="431" t="s">
        <v>3150</v>
      </c>
      <c r="D672" s="436" t="str">
        <f>VLOOKUP(C672,param!$A$18:$B$220,2,FALSE)</f>
        <v>LOB1 - Operations Time</v>
      </c>
      <c r="E672" s="437"/>
      <c r="F672" s="437">
        <f>IF(INDEX(decR2Event2,1)=adj!$B672,L672,0)</f>
        <v>0</v>
      </c>
      <c r="G672" s="156"/>
      <c r="J672" s="154">
        <v>0</v>
      </c>
      <c r="K672" s="429">
        <f t="shared" ref="K672:L673" si="74">VLOOKUP($M672,$O$189:$P$193,2,FALSE)</f>
        <v>0.02</v>
      </c>
      <c r="L672" s="429">
        <f t="shared" si="74"/>
        <v>0.02</v>
      </c>
      <c r="M672" s="8" t="s">
        <v>2927</v>
      </c>
    </row>
    <row r="673" spans="1:13">
      <c r="A673" s="476"/>
      <c r="B673" s="182">
        <v>62</v>
      </c>
      <c r="C673" s="431" t="s">
        <v>3216</v>
      </c>
      <c r="D673" s="436" t="str">
        <f>VLOOKUP(C673,param!$A$18:$B$220,2,FALSE)</f>
        <v>LOB2 - Operations Time</v>
      </c>
      <c r="E673" s="437"/>
      <c r="F673" s="437">
        <f>IF(INDEX(decR2Event2,1)=adj!$B673,L673,0)</f>
        <v>0</v>
      </c>
      <c r="G673" s="156"/>
      <c r="H673" s="153"/>
      <c r="I673" s="153"/>
      <c r="J673" s="154">
        <v>0</v>
      </c>
      <c r="K673" s="429">
        <f t="shared" si="74"/>
        <v>0.02</v>
      </c>
      <c r="L673" s="429">
        <f t="shared" si="74"/>
        <v>0.02</v>
      </c>
      <c r="M673" s="8" t="s">
        <v>2927</v>
      </c>
    </row>
    <row r="674" spans="1:13">
      <c r="A674" s="476"/>
      <c r="B674" s="182">
        <v>62</v>
      </c>
      <c r="C674" s="431" t="s">
        <v>3162</v>
      </c>
      <c r="D674" s="436" t="str">
        <f>VLOOKUP(C674,param!$A$18:$B$220,2,FALSE)</f>
        <v>LOB1 - Employee Engagment</v>
      </c>
      <c r="E674" s="437"/>
      <c r="F674" s="437">
        <f>IF(INDEX(decR2Event2,1)=adj!$B674,L674,0)</f>
        <v>0</v>
      </c>
      <c r="G674" s="156"/>
      <c r="J674" s="154">
        <v>0</v>
      </c>
      <c r="K674" s="429">
        <f>VLOOKUP($M674,$O$189:$P$193,2,FALSE)*-1</f>
        <v>-0.02</v>
      </c>
      <c r="L674" s="429">
        <f>VLOOKUP($M674,$O$189:$P$193,2,FALSE)*-1</f>
        <v>-0.02</v>
      </c>
      <c r="M674" s="8" t="s">
        <v>2927</v>
      </c>
    </row>
    <row r="675" spans="1:13">
      <c r="A675" s="476"/>
      <c r="B675" s="182">
        <v>62</v>
      </c>
      <c r="C675" s="431" t="s">
        <v>3234</v>
      </c>
      <c r="D675" s="436" t="str">
        <f>VLOOKUP(C675,param!$A$18:$B$220,2,FALSE)</f>
        <v>LOB2 - Employee Engagment</v>
      </c>
      <c r="E675" s="437"/>
      <c r="F675" s="437">
        <f>IF(INDEX(decR2Event2,1)=adj!$B675,L675,0)</f>
        <v>0</v>
      </c>
      <c r="G675" s="156"/>
      <c r="H675" s="153"/>
      <c r="I675" s="153"/>
      <c r="J675" s="154">
        <v>0</v>
      </c>
      <c r="K675" s="429">
        <f>VLOOKUP($M675,$O$189:$P$193,2,FALSE)*-1</f>
        <v>-0.02</v>
      </c>
      <c r="L675" s="429">
        <f>VLOOKUP($M675,$O$189:$P$193,2,FALSE)*-1</f>
        <v>-0.02</v>
      </c>
      <c r="M675" s="8" t="s">
        <v>2927</v>
      </c>
    </row>
    <row r="676" spans="1:13">
      <c r="B676" s="182">
        <v>62</v>
      </c>
      <c r="C676" s="63" t="s">
        <v>4500</v>
      </c>
      <c r="D676" s="436" t="str">
        <f>VLOOKUP(C676,param!$A$18:$B$220,2,FALSE)</f>
        <v>LOB1-Clinician 1 Admin</v>
      </c>
      <c r="E676" s="437"/>
      <c r="F676" s="437">
        <f>IF(INDEX(decR2Event2,1)=adj!$B676,L676,0)</f>
        <v>0</v>
      </c>
      <c r="G676" s="156"/>
      <c r="H676" s="153"/>
      <c r="I676" s="153"/>
      <c r="J676" s="154">
        <v>1</v>
      </c>
      <c r="K676" s="429">
        <f>VLOOKUP($M676,$O$189:$P$193,2,FALSE)*5</f>
        <v>0.15</v>
      </c>
      <c r="L676" s="429">
        <f>VLOOKUP($M676,$O$189:$P$193,2,FALSE)*5</f>
        <v>0.15</v>
      </c>
      <c r="M676" s="8" t="s">
        <v>2926</v>
      </c>
    </row>
    <row r="677" spans="1:13">
      <c r="B677" s="182">
        <v>62</v>
      </c>
      <c r="C677" s="63" t="s">
        <v>4501</v>
      </c>
      <c r="D677" s="436" t="str">
        <f>VLOOKUP(C677,param!$A$18:$B$220,2,FALSE)</f>
        <v>LOB1-Clinician 2 Admin</v>
      </c>
      <c r="E677" s="437"/>
      <c r="F677" s="437">
        <f>IF(INDEX(decR2Event2,1)=adj!$B677,L677,0)</f>
        <v>0</v>
      </c>
      <c r="G677" s="156"/>
      <c r="H677" s="153"/>
      <c r="I677" s="153"/>
      <c r="J677" s="154">
        <v>2</v>
      </c>
      <c r="K677" s="429">
        <f t="shared" ref="K677:L692" si="75">VLOOKUP($M677,$O$189:$P$193,2,FALSE)*5</f>
        <v>0.15</v>
      </c>
      <c r="L677" s="429">
        <f t="shared" si="75"/>
        <v>0.15</v>
      </c>
      <c r="M677" s="8" t="s">
        <v>2926</v>
      </c>
    </row>
    <row r="678" spans="1:13">
      <c r="B678" s="182">
        <v>62</v>
      </c>
      <c r="C678" s="63" t="s">
        <v>4502</v>
      </c>
      <c r="D678" s="436" t="str">
        <f>VLOOKUP(C678,param!$A$18:$B$220,2,FALSE)</f>
        <v>LOB1-Clinician 3 Admin</v>
      </c>
      <c r="E678" s="437"/>
      <c r="F678" s="437">
        <f>IF(INDEX(decR2Event2,1)=adj!$B678,L678,0)</f>
        <v>0</v>
      </c>
      <c r="G678" s="156"/>
      <c r="H678" s="153"/>
      <c r="I678" s="153"/>
      <c r="J678" s="154">
        <v>3</v>
      </c>
      <c r="K678" s="429">
        <f t="shared" si="75"/>
        <v>0.15</v>
      </c>
      <c r="L678" s="429">
        <f t="shared" si="75"/>
        <v>0.15</v>
      </c>
      <c r="M678" s="8" t="s">
        <v>2926</v>
      </c>
    </row>
    <row r="679" spans="1:13">
      <c r="B679" s="182">
        <v>62</v>
      </c>
      <c r="C679" s="63" t="s">
        <v>4503</v>
      </c>
      <c r="D679" s="436" t="str">
        <f>VLOOKUP(C679,param!$A$18:$B$220,2,FALSE)</f>
        <v>LOB1-Clinician 4 Admin</v>
      </c>
      <c r="E679" s="437"/>
      <c r="F679" s="437">
        <f>IF(INDEX(decR2Event2,1)=adj!$B679,L679,0)</f>
        <v>0</v>
      </c>
      <c r="G679" s="156"/>
      <c r="H679" s="153"/>
      <c r="I679" s="153"/>
      <c r="J679" s="154">
        <v>4</v>
      </c>
      <c r="K679" s="429">
        <f t="shared" si="75"/>
        <v>0.15</v>
      </c>
      <c r="L679" s="429">
        <f t="shared" si="75"/>
        <v>0.15</v>
      </c>
      <c r="M679" s="8" t="s">
        <v>2926</v>
      </c>
    </row>
    <row r="680" spans="1:13">
      <c r="B680" s="182">
        <v>62</v>
      </c>
      <c r="C680" s="63" t="s">
        <v>4504</v>
      </c>
      <c r="D680" s="436" t="str">
        <f>VLOOKUP(C680,param!$A$18:$B$220,2,FALSE)</f>
        <v>LOB1-Clinician 5 Admin</v>
      </c>
      <c r="E680" s="437"/>
      <c r="F680" s="437">
        <f>IF(INDEX(decR2Event2,1)=adj!$B680,L680,0)</f>
        <v>0</v>
      </c>
      <c r="G680" s="156"/>
      <c r="H680" s="153"/>
      <c r="I680" s="153"/>
      <c r="J680" s="154">
        <v>5</v>
      </c>
      <c r="K680" s="429">
        <f t="shared" si="75"/>
        <v>0.15</v>
      </c>
      <c r="L680" s="429">
        <f t="shared" si="75"/>
        <v>0.15</v>
      </c>
      <c r="M680" s="8" t="s">
        <v>2926</v>
      </c>
    </row>
    <row r="681" spans="1:13">
      <c r="B681" s="182">
        <v>62</v>
      </c>
      <c r="C681" s="63" t="s">
        <v>4505</v>
      </c>
      <c r="D681" s="436" t="str">
        <f>VLOOKUP(C681,param!$A$18:$B$220,2,FALSE)</f>
        <v>LOB1-Clinician 6 Admin</v>
      </c>
      <c r="E681" s="437"/>
      <c r="F681" s="437">
        <f>IF(INDEX(decR2Event2,1)=adj!$B681,L681,0)</f>
        <v>0</v>
      </c>
      <c r="G681" s="156"/>
      <c r="H681" s="153"/>
      <c r="I681" s="153"/>
      <c r="J681" s="154">
        <v>6</v>
      </c>
      <c r="K681" s="429">
        <f t="shared" si="75"/>
        <v>0.15</v>
      </c>
      <c r="L681" s="429">
        <f t="shared" si="75"/>
        <v>0.15</v>
      </c>
      <c r="M681" s="8" t="s">
        <v>2926</v>
      </c>
    </row>
    <row r="682" spans="1:13">
      <c r="B682" s="182">
        <v>62</v>
      </c>
      <c r="C682" s="63" t="s">
        <v>4506</v>
      </c>
      <c r="D682" s="436" t="str">
        <f>VLOOKUP(C682,param!$A$18:$B$220,2,FALSE)</f>
        <v>LOB1-Clinician 7 Admin</v>
      </c>
      <c r="E682" s="437"/>
      <c r="F682" s="437">
        <f>IF(INDEX(decR2Event2,1)=adj!$B682,L682,0)</f>
        <v>0</v>
      </c>
      <c r="G682" s="156"/>
      <c r="H682" s="153"/>
      <c r="I682" s="153"/>
      <c r="J682" s="154">
        <v>7</v>
      </c>
      <c r="K682" s="429">
        <f t="shared" si="75"/>
        <v>0.15</v>
      </c>
      <c r="L682" s="429">
        <f t="shared" si="75"/>
        <v>0.15</v>
      </c>
      <c r="M682" s="8" t="s">
        <v>2926</v>
      </c>
    </row>
    <row r="683" spans="1:13">
      <c r="B683" s="182">
        <v>62</v>
      </c>
      <c r="C683" s="63" t="s">
        <v>4507</v>
      </c>
      <c r="D683" s="436" t="str">
        <f>VLOOKUP(C683,param!$A$18:$B$220,2,FALSE)</f>
        <v>LOB1-Clinician 8 Admin</v>
      </c>
      <c r="E683" s="437"/>
      <c r="F683" s="437">
        <f>IF(INDEX(decR2Event2,1)=adj!$B683,L683,0)</f>
        <v>0</v>
      </c>
      <c r="G683" s="156"/>
      <c r="H683" s="153"/>
      <c r="I683" s="153"/>
      <c r="J683" s="154">
        <v>8</v>
      </c>
      <c r="K683" s="429">
        <f t="shared" si="75"/>
        <v>0.15</v>
      </c>
      <c r="L683" s="429">
        <f t="shared" si="75"/>
        <v>0.15</v>
      </c>
      <c r="M683" s="8" t="s">
        <v>2926</v>
      </c>
    </row>
    <row r="684" spans="1:13">
      <c r="B684" s="182">
        <v>62</v>
      </c>
      <c r="C684" s="63" t="s">
        <v>4508</v>
      </c>
      <c r="D684" s="436" t="str">
        <f>VLOOKUP(C684,param!$A$18:$B$220,2,FALSE)</f>
        <v>LOB1-Clinician 9 Admin</v>
      </c>
      <c r="E684" s="437"/>
      <c r="F684" s="437">
        <f>IF(INDEX(decR2Event2,1)=adj!$B684,L684,0)</f>
        <v>0</v>
      </c>
      <c r="G684" s="156"/>
      <c r="H684" s="153"/>
      <c r="I684" s="153"/>
      <c r="J684" s="154">
        <v>9</v>
      </c>
      <c r="K684" s="429">
        <f t="shared" si="75"/>
        <v>0.15</v>
      </c>
      <c r="L684" s="429">
        <f t="shared" si="75"/>
        <v>0.15</v>
      </c>
      <c r="M684" s="8" t="s">
        <v>2926</v>
      </c>
    </row>
    <row r="685" spans="1:13">
      <c r="B685" s="182">
        <v>62</v>
      </c>
      <c r="C685" s="63" t="s">
        <v>4509</v>
      </c>
      <c r="D685" s="436" t="str">
        <f>VLOOKUP(C685,param!$A$18:$B$220,2,FALSE)</f>
        <v>LOB1-Clinician 10 Admin</v>
      </c>
      <c r="E685" s="437"/>
      <c r="F685" s="437">
        <f>IF(INDEX(decR2Event2,1)=adj!$B685,L685,0)</f>
        <v>0</v>
      </c>
      <c r="G685" s="156"/>
      <c r="H685" s="153"/>
      <c r="I685" s="153"/>
      <c r="J685" s="154">
        <v>10</v>
      </c>
      <c r="K685" s="429">
        <f t="shared" si="75"/>
        <v>0.15</v>
      </c>
      <c r="L685" s="429">
        <f t="shared" si="75"/>
        <v>0.15</v>
      </c>
      <c r="M685" s="8" t="s">
        <v>2926</v>
      </c>
    </row>
    <row r="686" spans="1:13">
      <c r="B686" s="182">
        <v>62</v>
      </c>
      <c r="C686" s="63" t="s">
        <v>4510</v>
      </c>
      <c r="D686" s="436" t="str">
        <f>VLOOKUP(C686,param!$A$18:$B$220,2,FALSE)</f>
        <v>LOB1-Clinician 11 Admin</v>
      </c>
      <c r="E686" s="437"/>
      <c r="F686" s="437">
        <f>IF(INDEX(decR2Event2,1)=adj!$B686,L686,0)</f>
        <v>0</v>
      </c>
      <c r="G686" s="156"/>
      <c r="H686" s="153"/>
      <c r="I686" s="153"/>
      <c r="J686" s="154">
        <v>11</v>
      </c>
      <c r="K686" s="429">
        <f t="shared" si="75"/>
        <v>0.15</v>
      </c>
      <c r="L686" s="429">
        <f t="shared" si="75"/>
        <v>0.15</v>
      </c>
      <c r="M686" s="8" t="s">
        <v>2926</v>
      </c>
    </row>
    <row r="687" spans="1:13">
      <c r="B687" s="182">
        <v>62</v>
      </c>
      <c r="C687" s="63" t="s">
        <v>4511</v>
      </c>
      <c r="D687" s="436" t="str">
        <f>VLOOKUP(C687,param!$A$18:$B$220,2,FALSE)</f>
        <v>LOB1-Clinician 12 Admin</v>
      </c>
      <c r="E687" s="437"/>
      <c r="F687" s="437">
        <f>IF(INDEX(decR2Event2,1)=adj!$B687,L687,0)</f>
        <v>0</v>
      </c>
      <c r="G687" s="156"/>
      <c r="H687" s="153"/>
      <c r="I687" s="153"/>
      <c r="J687" s="154">
        <v>12</v>
      </c>
      <c r="K687" s="429">
        <f t="shared" si="75"/>
        <v>0.15</v>
      </c>
      <c r="L687" s="429">
        <f t="shared" si="75"/>
        <v>0.15</v>
      </c>
      <c r="M687" s="8" t="s">
        <v>2926</v>
      </c>
    </row>
    <row r="688" spans="1:13">
      <c r="B688" s="182">
        <v>62</v>
      </c>
      <c r="C688" s="63" t="s">
        <v>4549</v>
      </c>
      <c r="D688" s="436" t="str">
        <f>VLOOKUP(C688,param!$A$18:$B$220,2,FALSE)</f>
        <v>LOB2-Clinician 1 Admin</v>
      </c>
      <c r="E688" s="437"/>
      <c r="F688" s="437">
        <f>IF(INDEX(decR2Event2,1)=adj!$B688,L688,0)</f>
        <v>0</v>
      </c>
      <c r="G688" s="156"/>
      <c r="H688" s="153"/>
      <c r="I688" s="153"/>
      <c r="J688" s="154">
        <v>1</v>
      </c>
      <c r="K688" s="429">
        <f>VLOOKUP($M688,$O$189:$P$193,2,FALSE)*5</f>
        <v>0.15</v>
      </c>
      <c r="L688" s="429">
        <f>VLOOKUP($M688,$O$189:$P$193,2,FALSE)*5</f>
        <v>0.15</v>
      </c>
      <c r="M688" s="8" t="s">
        <v>2926</v>
      </c>
    </row>
    <row r="689" spans="1:13">
      <c r="B689" s="182">
        <v>62</v>
      </c>
      <c r="C689" s="63" t="s">
        <v>4552</v>
      </c>
      <c r="D689" s="436" t="str">
        <f>VLOOKUP(C689,param!$A$18:$B$220,2,FALSE)</f>
        <v>LOB2-Clinician 2 Admin</v>
      </c>
      <c r="E689" s="437"/>
      <c r="F689" s="437">
        <f>IF(INDEX(decR2Event2,1)=adj!$B689,L689,0)</f>
        <v>0</v>
      </c>
      <c r="G689" s="156"/>
      <c r="H689" s="153"/>
      <c r="I689" s="153"/>
      <c r="J689" s="154">
        <v>2</v>
      </c>
      <c r="K689" s="429">
        <f t="shared" si="75"/>
        <v>0.15</v>
      </c>
      <c r="L689" s="429">
        <f t="shared" si="75"/>
        <v>0.15</v>
      </c>
      <c r="M689" s="8" t="s">
        <v>2926</v>
      </c>
    </row>
    <row r="690" spans="1:13">
      <c r="B690" s="182">
        <v>62</v>
      </c>
      <c r="C690" s="63" t="s">
        <v>4555</v>
      </c>
      <c r="D690" s="436" t="str">
        <f>VLOOKUP(C690,param!$A$18:$B$220,2,FALSE)</f>
        <v>LOB2-Clinician 3 Admin</v>
      </c>
      <c r="E690" s="437"/>
      <c r="F690" s="437">
        <f>IF(INDEX(decR2Event2,1)=adj!$B690,L690,0)</f>
        <v>0</v>
      </c>
      <c r="G690" s="156"/>
      <c r="H690" s="153"/>
      <c r="I690" s="153"/>
      <c r="J690" s="154">
        <v>3</v>
      </c>
      <c r="K690" s="429">
        <f t="shared" si="75"/>
        <v>0.15</v>
      </c>
      <c r="L690" s="429">
        <f t="shared" si="75"/>
        <v>0.15</v>
      </c>
      <c r="M690" s="8" t="s">
        <v>2926</v>
      </c>
    </row>
    <row r="691" spans="1:13">
      <c r="B691" s="182">
        <v>62</v>
      </c>
      <c r="C691" s="63" t="s">
        <v>4558</v>
      </c>
      <c r="D691" s="436" t="str">
        <f>VLOOKUP(C691,param!$A$18:$B$220,2,FALSE)</f>
        <v>LOB2-Clinician 4 Admin</v>
      </c>
      <c r="E691" s="437"/>
      <c r="F691" s="437">
        <f>IF(INDEX(decR2Event2,1)=adj!$B691,L691,0)</f>
        <v>0</v>
      </c>
      <c r="G691" s="156"/>
      <c r="H691" s="153"/>
      <c r="I691" s="153"/>
      <c r="J691" s="154">
        <v>4</v>
      </c>
      <c r="K691" s="429">
        <f t="shared" si="75"/>
        <v>0.15</v>
      </c>
      <c r="L691" s="429">
        <f t="shared" si="75"/>
        <v>0.15</v>
      </c>
      <c r="M691" s="8" t="s">
        <v>2926</v>
      </c>
    </row>
    <row r="692" spans="1:13">
      <c r="B692" s="182">
        <v>62</v>
      </c>
      <c r="C692" s="63" t="s">
        <v>4561</v>
      </c>
      <c r="D692" s="436" t="str">
        <f>VLOOKUP(C692,param!$A$18:$B$220,2,FALSE)</f>
        <v>LOB2-Clinician 5 Admin</v>
      </c>
      <c r="E692" s="437"/>
      <c r="F692" s="437">
        <f>IF(INDEX(decR2Event2,1)=adj!$B692,L692,0)</f>
        <v>0</v>
      </c>
      <c r="G692" s="156"/>
      <c r="H692" s="153"/>
      <c r="I692" s="153"/>
      <c r="J692" s="154">
        <v>5</v>
      </c>
      <c r="K692" s="429">
        <f t="shared" si="75"/>
        <v>0.15</v>
      </c>
      <c r="L692" s="429">
        <f t="shared" si="75"/>
        <v>0.15</v>
      </c>
      <c r="M692" s="8" t="s">
        <v>2926</v>
      </c>
    </row>
    <row r="693" spans="1:13">
      <c r="B693" s="182">
        <v>62</v>
      </c>
      <c r="C693" s="63" t="s">
        <v>4564</v>
      </c>
      <c r="D693" s="436" t="str">
        <f>VLOOKUP(C693,param!$A$18:$B$220,2,FALSE)</f>
        <v>LOB2-Clinician 6 Admin</v>
      </c>
      <c r="E693" s="437"/>
      <c r="F693" s="437">
        <f>IF(INDEX(decR2Event2,1)=adj!$B693,L693,0)</f>
        <v>0</v>
      </c>
      <c r="G693" s="156"/>
      <c r="H693" s="153"/>
      <c r="I693" s="153"/>
      <c r="J693" s="154">
        <v>6</v>
      </c>
      <c r="K693" s="429">
        <f t="shared" ref="K693:L699" si="76">VLOOKUP($M693,$O$189:$P$193,2,FALSE)*5</f>
        <v>0.15</v>
      </c>
      <c r="L693" s="429">
        <f t="shared" si="76"/>
        <v>0.15</v>
      </c>
      <c r="M693" s="8" t="s">
        <v>2926</v>
      </c>
    </row>
    <row r="694" spans="1:13">
      <c r="B694" s="182">
        <v>62</v>
      </c>
      <c r="C694" s="63" t="s">
        <v>4567</v>
      </c>
      <c r="D694" s="436" t="str">
        <f>VLOOKUP(C694,param!$A$18:$B$220,2,FALSE)</f>
        <v>LOB2-Clinician 7 Admin</v>
      </c>
      <c r="E694" s="437"/>
      <c r="F694" s="437">
        <f>IF(INDEX(decR2Event2,1)=adj!$B694,L694,0)</f>
        <v>0</v>
      </c>
      <c r="G694" s="156"/>
      <c r="H694" s="153"/>
      <c r="I694" s="153"/>
      <c r="J694" s="154">
        <v>7</v>
      </c>
      <c r="K694" s="429">
        <f t="shared" si="76"/>
        <v>0.15</v>
      </c>
      <c r="L694" s="429">
        <f t="shared" si="76"/>
        <v>0.15</v>
      </c>
      <c r="M694" s="8" t="s">
        <v>2926</v>
      </c>
    </row>
    <row r="695" spans="1:13">
      <c r="B695" s="182">
        <v>62</v>
      </c>
      <c r="C695" s="63" t="s">
        <v>4570</v>
      </c>
      <c r="D695" s="436" t="str">
        <f>VLOOKUP(C695,param!$A$18:$B$220,2,FALSE)</f>
        <v>LOB2-Clinician 8 Admin</v>
      </c>
      <c r="E695" s="437"/>
      <c r="F695" s="437">
        <f>IF(INDEX(decR2Event2,1)=adj!$B695,L695,0)</f>
        <v>0</v>
      </c>
      <c r="G695" s="156"/>
      <c r="H695" s="153"/>
      <c r="I695" s="153"/>
      <c r="J695" s="154">
        <v>8</v>
      </c>
      <c r="K695" s="429">
        <f t="shared" si="76"/>
        <v>0.15</v>
      </c>
      <c r="L695" s="429">
        <f t="shared" si="76"/>
        <v>0.15</v>
      </c>
      <c r="M695" s="8" t="s">
        <v>2926</v>
      </c>
    </row>
    <row r="696" spans="1:13">
      <c r="B696" s="182">
        <v>62</v>
      </c>
      <c r="C696" s="63" t="s">
        <v>4573</v>
      </c>
      <c r="D696" s="436" t="str">
        <f>VLOOKUP(C696,param!$A$18:$B$220,2,FALSE)</f>
        <v>LOB2-Clinician 9 Admin</v>
      </c>
      <c r="E696" s="437"/>
      <c r="F696" s="437">
        <f>IF(INDEX(decR2Event2,1)=adj!$B696,L696,0)</f>
        <v>0</v>
      </c>
      <c r="G696" s="156"/>
      <c r="H696" s="153"/>
      <c r="I696" s="153"/>
      <c r="J696" s="154">
        <v>9</v>
      </c>
      <c r="K696" s="429">
        <f t="shared" si="76"/>
        <v>0.15</v>
      </c>
      <c r="L696" s="429">
        <f t="shared" si="76"/>
        <v>0.15</v>
      </c>
      <c r="M696" s="8" t="s">
        <v>2926</v>
      </c>
    </row>
    <row r="697" spans="1:13">
      <c r="B697" s="182">
        <v>62</v>
      </c>
      <c r="C697" s="63" t="s">
        <v>4576</v>
      </c>
      <c r="D697" s="436" t="str">
        <f>VLOOKUP(C697,param!$A$18:$B$220,2,FALSE)</f>
        <v>LOB2-Clinician 10 Admin</v>
      </c>
      <c r="E697" s="437"/>
      <c r="F697" s="437">
        <f>IF(INDEX(decR2Event2,1)=adj!$B697,L697,0)</f>
        <v>0</v>
      </c>
      <c r="G697" s="156"/>
      <c r="H697" s="153"/>
      <c r="I697" s="153"/>
      <c r="J697" s="154">
        <v>10</v>
      </c>
      <c r="K697" s="429">
        <f t="shared" si="76"/>
        <v>0.15</v>
      </c>
      <c r="L697" s="429">
        <f t="shared" si="76"/>
        <v>0.15</v>
      </c>
      <c r="M697" s="8" t="s">
        <v>2926</v>
      </c>
    </row>
    <row r="698" spans="1:13">
      <c r="B698" s="182">
        <v>62</v>
      </c>
      <c r="C698" s="63" t="s">
        <v>4579</v>
      </c>
      <c r="D698" s="436" t="str">
        <f>VLOOKUP(C698,param!$A$18:$B$220,2,FALSE)</f>
        <v>LOB2-Clinician 11 Admin</v>
      </c>
      <c r="E698" s="437"/>
      <c r="F698" s="437">
        <f>IF(INDEX(decR2Event2,1)=adj!$B698,L698,0)</f>
        <v>0</v>
      </c>
      <c r="G698" s="156"/>
      <c r="H698" s="153"/>
      <c r="I698" s="153"/>
      <c r="J698" s="154">
        <v>11</v>
      </c>
      <c r="K698" s="429">
        <f t="shared" si="76"/>
        <v>0.15</v>
      </c>
      <c r="L698" s="429">
        <f t="shared" si="76"/>
        <v>0.15</v>
      </c>
      <c r="M698" s="8" t="s">
        <v>2926</v>
      </c>
    </row>
    <row r="699" spans="1:13">
      <c r="B699" s="182">
        <v>62</v>
      </c>
      <c r="C699" s="63" t="s">
        <v>4582</v>
      </c>
      <c r="D699" s="436" t="str">
        <f>VLOOKUP(C699,param!$A$18:$B$220,2,FALSE)</f>
        <v>LOB2-Clinician 12 Admin</v>
      </c>
      <c r="E699" s="437"/>
      <c r="F699" s="437">
        <f>IF(INDEX(decR2Event2,1)=adj!$B699,L699,0)</f>
        <v>0</v>
      </c>
      <c r="G699" s="156"/>
      <c r="H699" s="153"/>
      <c r="I699" s="153"/>
      <c r="J699" s="154">
        <v>12</v>
      </c>
      <c r="K699" s="429">
        <f t="shared" si="76"/>
        <v>0.15</v>
      </c>
      <c r="L699" s="429">
        <f t="shared" si="76"/>
        <v>0.15</v>
      </c>
      <c r="M699" s="8" t="s">
        <v>2926</v>
      </c>
    </row>
    <row r="700" spans="1:13">
      <c r="A700" s="476"/>
      <c r="B700" s="182">
        <v>62</v>
      </c>
      <c r="C700" s="431" t="s">
        <v>3173</v>
      </c>
      <c r="D700" s="436" t="str">
        <f>VLOOKUP(C700,param!$A$18:$B$220,2,FALSE)</f>
        <v>LOB1 - RN Meetings</v>
      </c>
      <c r="E700" s="437"/>
      <c r="F700" s="437">
        <f>IF(INDEX(decR2Event2,1)=adj!$B700,L700,0)</f>
        <v>0</v>
      </c>
      <c r="G700" s="156"/>
      <c r="J700" s="154">
        <v>0</v>
      </c>
      <c r="K700" s="429">
        <f>VLOOKUP($M700,$O$189:$P$193,2,FALSE)*-1</f>
        <v>-0.02</v>
      </c>
      <c r="L700" s="429">
        <f>VLOOKUP($M700,$O$189:$P$193,2,FALSE)*-1</f>
        <v>-0.02</v>
      </c>
      <c r="M700" s="8" t="s">
        <v>2927</v>
      </c>
    </row>
    <row r="701" spans="1:13">
      <c r="A701" s="476"/>
      <c r="B701" s="182">
        <v>62</v>
      </c>
      <c r="C701" s="431" t="s">
        <v>3174</v>
      </c>
      <c r="D701" s="436" t="str">
        <f>VLOOKUP(C701,param!$A$18:$B$220,2,FALSE)</f>
        <v>LOB1 - LPN Meetings</v>
      </c>
      <c r="E701" s="437"/>
      <c r="F701" s="437">
        <f>IF(INDEX(decR2Event2,1)=adj!$B701,L701,0)</f>
        <v>0</v>
      </c>
      <c r="G701" s="156"/>
      <c r="H701" s="153"/>
      <c r="I701" s="153"/>
      <c r="J701" s="154">
        <v>0</v>
      </c>
      <c r="K701" s="429">
        <f t="shared" ref="K701:L707" si="77">VLOOKUP($M701,$O$189:$P$193,2,FALSE)*-1</f>
        <v>-0.02</v>
      </c>
      <c r="L701" s="429">
        <f t="shared" si="77"/>
        <v>-0.02</v>
      </c>
      <c r="M701" s="8" t="s">
        <v>2927</v>
      </c>
    </row>
    <row r="702" spans="1:13">
      <c r="A702" s="476"/>
      <c r="B702" s="182">
        <v>62</v>
      </c>
      <c r="C702" s="431" t="s">
        <v>3175</v>
      </c>
      <c r="D702" s="436" t="str">
        <f>VLOOKUP(C702,param!$A$18:$B$220,2,FALSE)</f>
        <v>LOB1 - PT Meetings</v>
      </c>
      <c r="E702" s="437"/>
      <c r="F702" s="437">
        <f>IF(INDEX(decR2Event2,1)=adj!$B702,L702,0)</f>
        <v>0</v>
      </c>
      <c r="G702" s="156"/>
      <c r="J702" s="154">
        <v>0</v>
      </c>
      <c r="K702" s="429">
        <f t="shared" si="77"/>
        <v>-0.02</v>
      </c>
      <c r="L702" s="429">
        <f t="shared" si="77"/>
        <v>-0.02</v>
      </c>
      <c r="M702" s="8" t="s">
        <v>2927</v>
      </c>
    </row>
    <row r="703" spans="1:13">
      <c r="A703" s="476"/>
      <c r="B703" s="182">
        <v>62</v>
      </c>
      <c r="C703" s="431" t="s">
        <v>3176</v>
      </c>
      <c r="D703" s="436" t="str">
        <f>VLOOKUP(C703,param!$A$18:$B$220,2,FALSE)</f>
        <v>LOB1 - OT Meetings</v>
      </c>
      <c r="E703" s="437"/>
      <c r="F703" s="437">
        <f>IF(INDEX(decR2Event2,1)=adj!$B703,L703,0)</f>
        <v>0</v>
      </c>
      <c r="G703" s="156"/>
      <c r="H703" s="153"/>
      <c r="I703" s="153"/>
      <c r="J703" s="154">
        <v>0</v>
      </c>
      <c r="K703" s="429">
        <f t="shared" si="77"/>
        <v>-0.02</v>
      </c>
      <c r="L703" s="429">
        <f t="shared" si="77"/>
        <v>-0.02</v>
      </c>
      <c r="M703" s="8" t="s">
        <v>2927</v>
      </c>
    </row>
    <row r="704" spans="1:13">
      <c r="A704" s="476"/>
      <c r="B704" s="182">
        <v>62</v>
      </c>
      <c r="C704" s="431" t="s">
        <v>3251</v>
      </c>
      <c r="D704" s="436" t="str">
        <f>VLOOKUP(C704,param!$A$18:$B$220,2,FALSE)</f>
        <v>LOB2 - RN Meetings</v>
      </c>
      <c r="E704" s="437"/>
      <c r="F704" s="437">
        <f>IF(INDEX(decR2Event2,1)=adj!$B704,L704,0)</f>
        <v>0</v>
      </c>
      <c r="G704" s="156"/>
      <c r="J704" s="154">
        <v>0</v>
      </c>
      <c r="K704" s="429">
        <f t="shared" si="77"/>
        <v>-0.02</v>
      </c>
      <c r="L704" s="429">
        <f t="shared" si="77"/>
        <v>-0.02</v>
      </c>
      <c r="M704" s="8" t="s">
        <v>2927</v>
      </c>
    </row>
    <row r="705" spans="1:13">
      <c r="A705" s="476"/>
      <c r="B705" s="182">
        <v>62</v>
      </c>
      <c r="C705" s="431" t="s">
        <v>3253</v>
      </c>
      <c r="D705" s="436" t="str">
        <f>VLOOKUP(C705,param!$A$18:$B$220,2,FALSE)</f>
        <v>LOB2 - LPN Meetings</v>
      </c>
      <c r="E705" s="437"/>
      <c r="F705" s="437">
        <f>IF(INDEX(decR2Event2,1)=adj!$B705,L705,0)</f>
        <v>0</v>
      </c>
      <c r="G705" s="156"/>
      <c r="H705" s="153"/>
      <c r="I705" s="153"/>
      <c r="J705" s="154">
        <v>0</v>
      </c>
      <c r="K705" s="429">
        <f t="shared" si="77"/>
        <v>-0.02</v>
      </c>
      <c r="L705" s="429">
        <f t="shared" si="77"/>
        <v>-0.02</v>
      </c>
      <c r="M705" s="8" t="s">
        <v>2927</v>
      </c>
    </row>
    <row r="706" spans="1:13">
      <c r="A706" s="476"/>
      <c r="B706" s="182">
        <v>62</v>
      </c>
      <c r="C706" s="431" t="s">
        <v>3255</v>
      </c>
      <c r="D706" s="436" t="str">
        <f>VLOOKUP(C706,param!$A$18:$B$220,2,FALSE)</f>
        <v>LOB2 - PT Meetings</v>
      </c>
      <c r="E706" s="437"/>
      <c r="F706" s="437">
        <f>IF(INDEX(decR2Event2,1)=adj!$B706,L706,0)</f>
        <v>0</v>
      </c>
      <c r="G706" s="156"/>
      <c r="J706" s="154">
        <v>0</v>
      </c>
      <c r="K706" s="429">
        <f t="shared" si="77"/>
        <v>-0.02</v>
      </c>
      <c r="L706" s="429">
        <f t="shared" si="77"/>
        <v>-0.02</v>
      </c>
      <c r="M706" s="8" t="s">
        <v>2927</v>
      </c>
    </row>
    <row r="707" spans="1:13">
      <c r="A707" s="476"/>
      <c r="B707" s="182">
        <v>62</v>
      </c>
      <c r="C707" s="431" t="s">
        <v>3257</v>
      </c>
      <c r="D707" s="436" t="str">
        <f>VLOOKUP(C707,param!$A$18:$B$220,2,FALSE)</f>
        <v>LOB2 - OT Meetings</v>
      </c>
      <c r="E707" s="437"/>
      <c r="F707" s="437">
        <f>IF(INDEX(decR2Event2,1)=adj!$B707,L707,0)</f>
        <v>0</v>
      </c>
      <c r="G707" s="156"/>
      <c r="H707" s="153"/>
      <c r="I707" s="153"/>
      <c r="J707" s="154">
        <v>0</v>
      </c>
      <c r="K707" s="429">
        <f t="shared" si="77"/>
        <v>-0.02</v>
      </c>
      <c r="L707" s="429">
        <f t="shared" si="77"/>
        <v>-0.02</v>
      </c>
      <c r="M707" s="8" t="s">
        <v>2927</v>
      </c>
    </row>
    <row r="709" spans="1:13" ht="10.5">
      <c r="B709" s="182">
        <v>63</v>
      </c>
      <c r="C709" s="722" t="s">
        <v>7908</v>
      </c>
    </row>
    <row r="710" spans="1:13">
      <c r="A710" s="476"/>
      <c r="B710" s="182">
        <v>63</v>
      </c>
      <c r="C710" s="431" t="s">
        <v>3150</v>
      </c>
      <c r="D710" s="436" t="str">
        <f>VLOOKUP(C710,param!$A$18:$B$220,2,FALSE)</f>
        <v>LOB1 - Operations Time</v>
      </c>
      <c r="E710" s="437"/>
      <c r="F710" s="437">
        <f>IF(INDEX(decR2Event2,1)=adj!$B710,L710,0)</f>
        <v>0</v>
      </c>
      <c r="G710" s="156"/>
      <c r="J710" s="154">
        <v>0</v>
      </c>
      <c r="K710" s="429">
        <f t="shared" ref="K710:L711" si="78">VLOOKUP($M710,$O$189:$P$193,2,FALSE)</f>
        <v>0.03</v>
      </c>
      <c r="L710" s="429">
        <f t="shared" si="78"/>
        <v>0.03</v>
      </c>
      <c r="M710" s="8" t="s">
        <v>2926</v>
      </c>
    </row>
    <row r="711" spans="1:13">
      <c r="A711" s="476"/>
      <c r="B711" s="182">
        <v>63</v>
      </c>
      <c r="C711" s="431" t="s">
        <v>3216</v>
      </c>
      <c r="D711" s="436" t="str">
        <f>VLOOKUP(C711,param!$A$18:$B$220,2,FALSE)</f>
        <v>LOB2 - Operations Time</v>
      </c>
      <c r="E711" s="437"/>
      <c r="F711" s="437">
        <f>IF(INDEX(decR2Event2,1)=adj!$B711,L711,0)</f>
        <v>0</v>
      </c>
      <c r="G711" s="156"/>
      <c r="H711" s="153"/>
      <c r="I711" s="153"/>
      <c r="J711" s="154">
        <v>0</v>
      </c>
      <c r="K711" s="429">
        <f t="shared" si="78"/>
        <v>0.03</v>
      </c>
      <c r="L711" s="429">
        <f t="shared" si="78"/>
        <v>0.03</v>
      </c>
      <c r="M711" s="8" t="s">
        <v>2926</v>
      </c>
    </row>
    <row r="712" spans="1:13">
      <c r="A712" s="476"/>
      <c r="B712" s="182">
        <v>63</v>
      </c>
      <c r="C712" s="431" t="s">
        <v>3173</v>
      </c>
      <c r="D712" s="436" t="str">
        <f>VLOOKUP(C712,param!$A$18:$B$220,2,FALSE)</f>
        <v>LOB1 - RN Meetings</v>
      </c>
      <c r="E712" s="437"/>
      <c r="F712" s="437">
        <f>IF(INDEX(decR2Event2,1)=adj!$B712,L712,0)</f>
        <v>0</v>
      </c>
      <c r="G712" s="156"/>
      <c r="J712" s="154">
        <v>0</v>
      </c>
      <c r="K712" s="429">
        <f>VLOOKUP($M712,$O$189:$P$193,2,FALSE)*-1</f>
        <v>-0.02</v>
      </c>
      <c r="L712" s="429">
        <f>VLOOKUP($M712,$O$189:$P$193,2,FALSE)*-1</f>
        <v>-0.02</v>
      </c>
      <c r="M712" s="8" t="s">
        <v>2927</v>
      </c>
    </row>
    <row r="713" spans="1:13">
      <c r="A713" s="476"/>
      <c r="B713" s="182">
        <v>63</v>
      </c>
      <c r="C713" s="431" t="s">
        <v>3174</v>
      </c>
      <c r="D713" s="436" t="str">
        <f>VLOOKUP(C713,param!$A$18:$B$220,2,FALSE)</f>
        <v>LOB1 - LPN Meetings</v>
      </c>
      <c r="E713" s="437"/>
      <c r="F713" s="437">
        <f>IF(INDEX(decR2Event2,1)=adj!$B713,L713,0)</f>
        <v>0</v>
      </c>
      <c r="G713" s="156"/>
      <c r="H713" s="153"/>
      <c r="I713" s="153"/>
      <c r="J713" s="154">
        <v>0</v>
      </c>
      <c r="K713" s="429">
        <f t="shared" ref="K713:L719" si="79">VLOOKUP($M713,$O$189:$P$193,2,FALSE)*-1</f>
        <v>-0.02</v>
      </c>
      <c r="L713" s="429">
        <f t="shared" si="79"/>
        <v>-0.02</v>
      </c>
      <c r="M713" s="8" t="s">
        <v>2927</v>
      </c>
    </row>
    <row r="714" spans="1:13">
      <c r="A714" s="476"/>
      <c r="B714" s="182">
        <v>63</v>
      </c>
      <c r="C714" s="431" t="s">
        <v>3175</v>
      </c>
      <c r="D714" s="436" t="str">
        <f>VLOOKUP(C714,param!$A$18:$B$220,2,FALSE)</f>
        <v>LOB1 - PT Meetings</v>
      </c>
      <c r="E714" s="437"/>
      <c r="F714" s="437">
        <f>IF(INDEX(decR2Event2,1)=adj!$B714,L714,0)</f>
        <v>0</v>
      </c>
      <c r="G714" s="156"/>
      <c r="J714" s="154">
        <v>0</v>
      </c>
      <c r="K714" s="429">
        <f t="shared" si="79"/>
        <v>-0.02</v>
      </c>
      <c r="L714" s="429">
        <f t="shared" si="79"/>
        <v>-0.02</v>
      </c>
      <c r="M714" s="8" t="s">
        <v>2927</v>
      </c>
    </row>
    <row r="715" spans="1:13">
      <c r="A715" s="476"/>
      <c r="B715" s="182">
        <v>63</v>
      </c>
      <c r="C715" s="431" t="s">
        <v>3176</v>
      </c>
      <c r="D715" s="436" t="str">
        <f>VLOOKUP(C715,param!$A$18:$B$220,2,FALSE)</f>
        <v>LOB1 - OT Meetings</v>
      </c>
      <c r="E715" s="437"/>
      <c r="F715" s="437">
        <f>IF(INDEX(decR2Event2,1)=adj!$B715,L715,0)</f>
        <v>0</v>
      </c>
      <c r="G715" s="156"/>
      <c r="H715" s="153"/>
      <c r="I715" s="153"/>
      <c r="J715" s="154">
        <v>0</v>
      </c>
      <c r="K715" s="429">
        <f t="shared" si="79"/>
        <v>-0.02</v>
      </c>
      <c r="L715" s="429">
        <f t="shared" si="79"/>
        <v>-0.02</v>
      </c>
      <c r="M715" s="8" t="s">
        <v>2927</v>
      </c>
    </row>
    <row r="716" spans="1:13">
      <c r="A716" s="476"/>
      <c r="B716" s="182">
        <v>63</v>
      </c>
      <c r="C716" s="431" t="s">
        <v>3251</v>
      </c>
      <c r="D716" s="436" t="str">
        <f>VLOOKUP(C716,param!$A$18:$B$220,2,FALSE)</f>
        <v>LOB2 - RN Meetings</v>
      </c>
      <c r="E716" s="437"/>
      <c r="F716" s="437">
        <f>IF(INDEX(decR2Event2,1)=adj!$B716,L716,0)</f>
        <v>0</v>
      </c>
      <c r="G716" s="156"/>
      <c r="J716" s="154">
        <v>0</v>
      </c>
      <c r="K716" s="429">
        <f t="shared" si="79"/>
        <v>-0.02</v>
      </c>
      <c r="L716" s="429">
        <f t="shared" si="79"/>
        <v>-0.02</v>
      </c>
      <c r="M716" s="8" t="s">
        <v>2927</v>
      </c>
    </row>
    <row r="717" spans="1:13">
      <c r="A717" s="476"/>
      <c r="B717" s="182">
        <v>63</v>
      </c>
      <c r="C717" s="431" t="s">
        <v>3253</v>
      </c>
      <c r="D717" s="436" t="str">
        <f>VLOOKUP(C717,param!$A$18:$B$220,2,FALSE)</f>
        <v>LOB2 - LPN Meetings</v>
      </c>
      <c r="E717" s="437"/>
      <c r="F717" s="437">
        <f>IF(INDEX(decR2Event2,1)=adj!$B717,L717,0)</f>
        <v>0</v>
      </c>
      <c r="G717" s="156"/>
      <c r="H717" s="153"/>
      <c r="I717" s="153"/>
      <c r="J717" s="154">
        <v>0</v>
      </c>
      <c r="K717" s="429">
        <f t="shared" si="79"/>
        <v>-0.02</v>
      </c>
      <c r="L717" s="429">
        <f t="shared" si="79"/>
        <v>-0.02</v>
      </c>
      <c r="M717" s="8" t="s">
        <v>2927</v>
      </c>
    </row>
    <row r="718" spans="1:13">
      <c r="A718" s="476"/>
      <c r="B718" s="182">
        <v>63</v>
      </c>
      <c r="C718" s="431" t="s">
        <v>3255</v>
      </c>
      <c r="D718" s="436" t="str">
        <f>VLOOKUP(C718,param!$A$18:$B$220,2,FALSE)</f>
        <v>LOB2 - PT Meetings</v>
      </c>
      <c r="E718" s="437"/>
      <c r="F718" s="437">
        <f>IF(INDEX(decR2Event2,1)=adj!$B718,L718,0)</f>
        <v>0</v>
      </c>
      <c r="G718" s="156"/>
      <c r="J718" s="154">
        <v>0</v>
      </c>
      <c r="K718" s="429">
        <f t="shared" si="79"/>
        <v>-0.02</v>
      </c>
      <c r="L718" s="429">
        <f t="shared" si="79"/>
        <v>-0.02</v>
      </c>
      <c r="M718" s="8" t="s">
        <v>2927</v>
      </c>
    </row>
    <row r="719" spans="1:13">
      <c r="A719" s="476"/>
      <c r="B719" s="182">
        <v>63</v>
      </c>
      <c r="C719" s="431" t="s">
        <v>3257</v>
      </c>
      <c r="D719" s="436" t="str">
        <f>VLOOKUP(C719,param!$A$18:$B$220,2,FALSE)</f>
        <v>LOB2 - OT Meetings</v>
      </c>
      <c r="E719" s="437"/>
      <c r="F719" s="437">
        <f>IF(INDEX(decR2Event2,1)=adj!$B719,L719,0)</f>
        <v>0</v>
      </c>
      <c r="G719" s="156"/>
      <c r="H719" s="153"/>
      <c r="I719" s="153"/>
      <c r="J719" s="154">
        <v>0</v>
      </c>
      <c r="K719" s="429">
        <f t="shared" si="79"/>
        <v>-0.02</v>
      </c>
      <c r="L719" s="429">
        <f t="shared" si="79"/>
        <v>-0.02</v>
      </c>
      <c r="M719" s="8" t="s">
        <v>2927</v>
      </c>
    </row>
    <row r="721" spans="1:13" ht="10.5">
      <c r="B721" s="182">
        <v>64</v>
      </c>
      <c r="C721" s="722" t="s">
        <v>7909</v>
      </c>
    </row>
    <row r="722" spans="1:13">
      <c r="A722" s="476"/>
      <c r="B722" s="182">
        <v>64</v>
      </c>
      <c r="C722" s="431" t="s">
        <v>3162</v>
      </c>
      <c r="D722" s="436" t="str">
        <f>VLOOKUP(C722,param!$A$18:$B$220,2,FALSE)</f>
        <v>LOB1 - Employee Engagment</v>
      </c>
      <c r="E722" s="437"/>
      <c r="F722" s="437">
        <f>IF(INDEX(decR2Event2,1)=adj!$B722,L722,0)</f>
        <v>0</v>
      </c>
      <c r="G722" s="156"/>
      <c r="J722" s="154">
        <v>0</v>
      </c>
      <c r="K722" s="429">
        <f t="shared" ref="K722:L730" si="80">VLOOKUP($M722,$O$189:$P$193,2,FALSE)</f>
        <v>0.03</v>
      </c>
      <c r="L722" s="429">
        <f t="shared" si="80"/>
        <v>0.03</v>
      </c>
      <c r="M722" s="8" t="s">
        <v>2926</v>
      </c>
    </row>
    <row r="723" spans="1:13">
      <c r="A723" s="476"/>
      <c r="B723" s="182">
        <v>64</v>
      </c>
      <c r="C723" s="431" t="s">
        <v>3234</v>
      </c>
      <c r="D723" s="436" t="str">
        <f>VLOOKUP(C723,param!$A$18:$B$220,2,FALSE)</f>
        <v>LOB2 - Employee Engagment</v>
      </c>
      <c r="E723" s="437"/>
      <c r="F723" s="437">
        <f>IF(INDEX(decR2Event2,1)=adj!$B723,L723,0)</f>
        <v>0</v>
      </c>
      <c r="G723" s="156"/>
      <c r="H723" s="153"/>
      <c r="I723" s="153"/>
      <c r="J723" s="154">
        <v>0</v>
      </c>
      <c r="K723" s="429">
        <f t="shared" si="80"/>
        <v>0.03</v>
      </c>
      <c r="L723" s="429">
        <f t="shared" si="80"/>
        <v>0.03</v>
      </c>
      <c r="M723" s="8" t="s">
        <v>2926</v>
      </c>
    </row>
    <row r="724" spans="1:13">
      <c r="A724" s="476"/>
      <c r="B724" s="182">
        <v>64</v>
      </c>
      <c r="C724" s="431" t="s">
        <v>3174</v>
      </c>
      <c r="D724" s="436" t="str">
        <f>VLOOKUP(C724,param!$A$18:$B$220,2,FALSE)</f>
        <v>LOB1 - LPN Meetings</v>
      </c>
      <c r="E724" s="437"/>
      <c r="F724" s="437">
        <f>IF(INDEX(decR2Event2,1)=adj!$B724,L724,0)</f>
        <v>0</v>
      </c>
      <c r="G724" s="156"/>
      <c r="H724" s="153"/>
      <c r="I724" s="153"/>
      <c r="J724" s="154">
        <v>0</v>
      </c>
      <c r="K724" s="429">
        <f t="shared" si="80"/>
        <v>0.02</v>
      </c>
      <c r="L724" s="429">
        <f t="shared" si="80"/>
        <v>0.02</v>
      </c>
      <c r="M724" s="8" t="s">
        <v>2927</v>
      </c>
    </row>
    <row r="725" spans="1:13">
      <c r="A725" s="476"/>
      <c r="B725" s="182">
        <v>64</v>
      </c>
      <c r="C725" s="431" t="s">
        <v>3175</v>
      </c>
      <c r="D725" s="436" t="str">
        <f>VLOOKUP(C725,param!$A$18:$B$220,2,FALSE)</f>
        <v>LOB1 - PT Meetings</v>
      </c>
      <c r="E725" s="437"/>
      <c r="F725" s="437">
        <f>IF(INDEX(decR2Event2,1)=adj!$B725,L725,0)</f>
        <v>0</v>
      </c>
      <c r="G725" s="156"/>
      <c r="J725" s="154">
        <v>0</v>
      </c>
      <c r="K725" s="429">
        <f t="shared" si="80"/>
        <v>0.02</v>
      </c>
      <c r="L725" s="429">
        <f t="shared" si="80"/>
        <v>0.02</v>
      </c>
      <c r="M725" s="8" t="s">
        <v>2927</v>
      </c>
    </row>
    <row r="726" spans="1:13">
      <c r="A726" s="476"/>
      <c r="B726" s="182">
        <v>64</v>
      </c>
      <c r="C726" s="431" t="s">
        <v>3176</v>
      </c>
      <c r="D726" s="436" t="str">
        <f>VLOOKUP(C726,param!$A$18:$B$220,2,FALSE)</f>
        <v>LOB1 - OT Meetings</v>
      </c>
      <c r="E726" s="437"/>
      <c r="F726" s="437">
        <f>IF(INDEX(decR2Event2,1)=adj!$B726,L726,0)</f>
        <v>0</v>
      </c>
      <c r="G726" s="156"/>
      <c r="H726" s="153"/>
      <c r="I726" s="153"/>
      <c r="J726" s="154">
        <v>0</v>
      </c>
      <c r="K726" s="429">
        <f t="shared" si="80"/>
        <v>0.02</v>
      </c>
      <c r="L726" s="429">
        <f t="shared" si="80"/>
        <v>0.02</v>
      </c>
      <c r="M726" s="8" t="s">
        <v>2927</v>
      </c>
    </row>
    <row r="727" spans="1:13">
      <c r="A727" s="476"/>
      <c r="B727" s="182">
        <v>64</v>
      </c>
      <c r="C727" s="431" t="s">
        <v>3251</v>
      </c>
      <c r="D727" s="436" t="str">
        <f>VLOOKUP(C727,param!$A$18:$B$220,2,FALSE)</f>
        <v>LOB2 - RN Meetings</v>
      </c>
      <c r="E727" s="437"/>
      <c r="F727" s="437">
        <f>IF(INDEX(decR2Event2,1)=adj!$B727,L727,0)</f>
        <v>0</v>
      </c>
      <c r="G727" s="156"/>
      <c r="J727" s="154">
        <v>0</v>
      </c>
      <c r="K727" s="429">
        <f t="shared" si="80"/>
        <v>0.02</v>
      </c>
      <c r="L727" s="429">
        <f t="shared" si="80"/>
        <v>0.02</v>
      </c>
      <c r="M727" s="8" t="s">
        <v>2927</v>
      </c>
    </row>
    <row r="728" spans="1:13">
      <c r="A728" s="476"/>
      <c r="B728" s="182">
        <v>64</v>
      </c>
      <c r="C728" s="431" t="s">
        <v>3253</v>
      </c>
      <c r="D728" s="436" t="str">
        <f>VLOOKUP(C728,param!$A$18:$B$220,2,FALSE)</f>
        <v>LOB2 - LPN Meetings</v>
      </c>
      <c r="E728" s="437"/>
      <c r="F728" s="437">
        <f>IF(INDEX(decR2Event2,1)=adj!$B728,L728,0)</f>
        <v>0</v>
      </c>
      <c r="G728" s="156"/>
      <c r="H728" s="153"/>
      <c r="I728" s="153"/>
      <c r="J728" s="154">
        <v>0</v>
      </c>
      <c r="K728" s="429">
        <f t="shared" si="80"/>
        <v>0.02</v>
      </c>
      <c r="L728" s="429">
        <f t="shared" si="80"/>
        <v>0.02</v>
      </c>
      <c r="M728" s="8" t="s">
        <v>2927</v>
      </c>
    </row>
    <row r="729" spans="1:13">
      <c r="A729" s="476"/>
      <c r="B729" s="182">
        <v>64</v>
      </c>
      <c r="C729" s="431" t="s">
        <v>3255</v>
      </c>
      <c r="D729" s="436" t="str">
        <f>VLOOKUP(C729,param!$A$18:$B$220,2,FALSE)</f>
        <v>LOB2 - PT Meetings</v>
      </c>
      <c r="E729" s="437"/>
      <c r="F729" s="437">
        <f>IF(INDEX(decR2Event2,1)=adj!$B729,L729,0)</f>
        <v>0</v>
      </c>
      <c r="G729" s="156"/>
      <c r="J729" s="154">
        <v>0</v>
      </c>
      <c r="K729" s="429">
        <f t="shared" si="80"/>
        <v>0.02</v>
      </c>
      <c r="L729" s="429">
        <f t="shared" si="80"/>
        <v>0.02</v>
      </c>
      <c r="M729" s="8" t="s">
        <v>2927</v>
      </c>
    </row>
    <row r="730" spans="1:13">
      <c r="A730" s="476"/>
      <c r="B730" s="182">
        <v>64</v>
      </c>
      <c r="C730" s="431" t="s">
        <v>3257</v>
      </c>
      <c r="D730" s="436" t="str">
        <f>VLOOKUP(C730,param!$A$18:$B$220,2,FALSE)</f>
        <v>LOB2 - OT Meetings</v>
      </c>
      <c r="E730" s="437"/>
      <c r="F730" s="437">
        <f>IF(INDEX(decR2Event2,1)=adj!$B730,L730,0)</f>
        <v>0</v>
      </c>
      <c r="G730" s="156"/>
      <c r="H730" s="153"/>
      <c r="I730" s="153"/>
      <c r="J730" s="154">
        <v>0</v>
      </c>
      <c r="K730" s="429">
        <f t="shared" si="80"/>
        <v>0.02</v>
      </c>
      <c r="L730" s="429">
        <f t="shared" si="80"/>
        <v>0.02</v>
      </c>
      <c r="M730" s="8" t="s">
        <v>2927</v>
      </c>
    </row>
    <row r="732" spans="1:13" ht="10.5">
      <c r="B732" s="67" t="s">
        <v>7910</v>
      </c>
    </row>
    <row r="733" spans="1:13" ht="10.5">
      <c r="B733" s="182">
        <v>65</v>
      </c>
      <c r="C733" s="722" t="s">
        <v>7911</v>
      </c>
    </row>
    <row r="734" spans="1:13">
      <c r="A734" s="476"/>
      <c r="B734" s="182">
        <v>65</v>
      </c>
      <c r="C734" s="431" t="s">
        <v>3148</v>
      </c>
      <c r="D734" s="436" t="str">
        <f>VLOOKUP(C734,param!$A$18:$B$220,2,FALSE)</f>
        <v>LOB1 - People Development Time</v>
      </c>
      <c r="E734" s="437"/>
      <c r="F734" s="437">
        <f>IF(INDEX(decR2Event3,1)=adj!$B734,L734,0)</f>
        <v>0</v>
      </c>
      <c r="G734" s="156"/>
      <c r="J734" s="154">
        <v>0</v>
      </c>
      <c r="K734" s="429">
        <f t="shared" ref="K734:L735" si="81">VLOOKUP($M734,$O$189:$P$193,2,FALSE)</f>
        <v>0.02</v>
      </c>
      <c r="L734" s="429">
        <f t="shared" si="81"/>
        <v>0.02</v>
      </c>
      <c r="M734" s="8" t="s">
        <v>2927</v>
      </c>
    </row>
    <row r="735" spans="1:13">
      <c r="A735" s="476"/>
      <c r="B735" s="182">
        <v>65</v>
      </c>
      <c r="C735" s="431" t="s">
        <v>3213</v>
      </c>
      <c r="D735" s="436" t="str">
        <f>VLOOKUP(C735,param!$A$18:$B$220,2,FALSE)</f>
        <v>LOB2 - People Development Time</v>
      </c>
      <c r="E735" s="437"/>
      <c r="F735" s="437">
        <f>IF(INDEX(decR2Event3,1)=adj!$B735,L735,0)</f>
        <v>0</v>
      </c>
      <c r="G735" s="156"/>
      <c r="H735" s="153"/>
      <c r="I735" s="153"/>
      <c r="J735" s="154">
        <v>0</v>
      </c>
      <c r="K735" s="429">
        <f t="shared" si="81"/>
        <v>0.02</v>
      </c>
      <c r="L735" s="429">
        <f t="shared" si="81"/>
        <v>0.02</v>
      </c>
      <c r="M735" s="8" t="s">
        <v>2927</v>
      </c>
    </row>
    <row r="736" spans="1:13">
      <c r="A736" s="476"/>
      <c r="B736" s="182">
        <v>65</v>
      </c>
      <c r="C736" s="431" t="s">
        <v>3162</v>
      </c>
      <c r="D736" s="436" t="str">
        <f>VLOOKUP(C736,param!$A$18:$B$220,2,FALSE)</f>
        <v>LOB1 - Employee Engagment</v>
      </c>
      <c r="E736" s="437"/>
      <c r="F736" s="437">
        <f>IF(INDEX(decR2Event3,1)=adj!$B736,L736,0)</f>
        <v>0</v>
      </c>
      <c r="G736" s="156"/>
      <c r="H736" s="153"/>
      <c r="I736" s="153"/>
      <c r="J736" s="154">
        <v>0</v>
      </c>
      <c r="K736" s="429">
        <f>VLOOKUP($M736,$O$189:$P$193,2,FALSE)*-1</f>
        <v>-0.02</v>
      </c>
      <c r="L736" s="429">
        <f>VLOOKUP($M736,$O$189:$P$193,2,FALSE)*-1</f>
        <v>-0.02</v>
      </c>
      <c r="M736" s="8" t="s">
        <v>2927</v>
      </c>
    </row>
    <row r="737" spans="1:13">
      <c r="A737" s="476"/>
      <c r="B737" s="182">
        <v>65</v>
      </c>
      <c r="C737" s="431" t="s">
        <v>3234</v>
      </c>
      <c r="D737" s="436" t="str">
        <f>VLOOKUP(C737,param!$A$18:$B$220,2,FALSE)</f>
        <v>LOB2 - Employee Engagment</v>
      </c>
      <c r="E737" s="437"/>
      <c r="F737" s="437">
        <f>IF(INDEX(decR2Event3,1)=adj!$B737,L737,0)</f>
        <v>0</v>
      </c>
      <c r="G737" s="156"/>
      <c r="J737" s="154">
        <v>0</v>
      </c>
      <c r="K737" s="429">
        <f>VLOOKUP($M737,$O$189:$P$193,2,FALSE)*-1</f>
        <v>-0.02</v>
      </c>
      <c r="L737" s="429">
        <f>VLOOKUP($M737,$O$189:$P$193,2,FALSE)*-1</f>
        <v>-0.02</v>
      </c>
      <c r="M737" s="8" t="s">
        <v>2927</v>
      </c>
    </row>
    <row r="739" spans="1:13" ht="10.5">
      <c r="B739" s="182">
        <v>66</v>
      </c>
      <c r="C739" s="722" t="s">
        <v>7912</v>
      </c>
    </row>
    <row r="740" spans="1:13">
      <c r="A740" s="476"/>
      <c r="B740" s="182">
        <v>66</v>
      </c>
      <c r="C740" s="431" t="s">
        <v>3148</v>
      </c>
      <c r="D740" s="436" t="str">
        <f>VLOOKUP(C740,param!$A$18:$B$220,2,FALSE)</f>
        <v>LOB1 - People Development Time</v>
      </c>
      <c r="E740" s="437"/>
      <c r="F740" s="437">
        <f>IF(INDEX(decR2Event3,1)=adj!$B740,L740,0)</f>
        <v>0</v>
      </c>
      <c r="G740" s="156"/>
      <c r="J740" s="154">
        <v>0</v>
      </c>
      <c r="K740" s="429">
        <f t="shared" ref="K740:L745" si="82">VLOOKUP($M740,$O$189:$P$193,2,FALSE)</f>
        <v>0.01</v>
      </c>
      <c r="L740" s="429">
        <f t="shared" si="82"/>
        <v>0.01</v>
      </c>
      <c r="M740" s="8" t="s">
        <v>2929</v>
      </c>
    </row>
    <row r="741" spans="1:13">
      <c r="A741" s="476"/>
      <c r="B741" s="182">
        <v>66</v>
      </c>
      <c r="C741" s="431" t="s">
        <v>3213</v>
      </c>
      <c r="D741" s="436" t="str">
        <f>VLOOKUP(C741,param!$A$18:$B$220,2,FALSE)</f>
        <v>LOB2 - People Development Time</v>
      </c>
      <c r="E741" s="437"/>
      <c r="F741" s="437">
        <f>IF(INDEX(decR2Event3,1)=adj!$B741,L741,0)</f>
        <v>0</v>
      </c>
      <c r="G741" s="156"/>
      <c r="H741" s="153"/>
      <c r="I741" s="153"/>
      <c r="J741" s="154">
        <v>0</v>
      </c>
      <c r="K741" s="429">
        <f t="shared" si="82"/>
        <v>0.01</v>
      </c>
      <c r="L741" s="429">
        <f t="shared" si="82"/>
        <v>0.01</v>
      </c>
      <c r="M741" s="8" t="s">
        <v>2929</v>
      </c>
    </row>
    <row r="742" spans="1:13">
      <c r="A742" s="476"/>
      <c r="B742" s="182">
        <v>66</v>
      </c>
      <c r="C742" s="431" t="s">
        <v>3150</v>
      </c>
      <c r="D742" s="436" t="str">
        <f>VLOOKUP(C742,param!$A$18:$B$220,2,FALSE)</f>
        <v>LOB1 - Operations Time</v>
      </c>
      <c r="E742" s="437"/>
      <c r="F742" s="437">
        <f>IF(INDEX(decR2Event3,1)=adj!$B742,L742,0)</f>
        <v>0</v>
      </c>
      <c r="G742" s="156"/>
      <c r="J742" s="154">
        <v>0</v>
      </c>
      <c r="K742" s="429">
        <f t="shared" si="82"/>
        <v>0.02</v>
      </c>
      <c r="L742" s="429">
        <f t="shared" si="82"/>
        <v>0.02</v>
      </c>
      <c r="M742" s="8" t="s">
        <v>2927</v>
      </c>
    </row>
    <row r="743" spans="1:13">
      <c r="A743" s="476"/>
      <c r="B743" s="182">
        <v>66</v>
      </c>
      <c r="C743" s="431" t="s">
        <v>3216</v>
      </c>
      <c r="D743" s="436" t="str">
        <f>VLOOKUP(C743,param!$A$18:$B$220,2,FALSE)</f>
        <v>LOB2 - Operations Time</v>
      </c>
      <c r="E743" s="437"/>
      <c r="F743" s="437">
        <f>IF(INDEX(decR2Event3,1)=adj!$B743,L743,0)</f>
        <v>0</v>
      </c>
      <c r="G743" s="156"/>
      <c r="H743" s="153"/>
      <c r="I743" s="153"/>
      <c r="J743" s="154">
        <v>0</v>
      </c>
      <c r="K743" s="429">
        <f t="shared" si="82"/>
        <v>0.02</v>
      </c>
      <c r="L743" s="429">
        <f t="shared" si="82"/>
        <v>0.02</v>
      </c>
      <c r="M743" s="8" t="s">
        <v>2927</v>
      </c>
    </row>
    <row r="744" spans="1:13">
      <c r="A744" s="476"/>
      <c r="B744" s="182">
        <v>66</v>
      </c>
      <c r="C744" s="431" t="s">
        <v>3162</v>
      </c>
      <c r="D744" s="436" t="str">
        <f>VLOOKUP(C744,param!$A$18:$B$220,2,FALSE)</f>
        <v>LOB1 - Employee Engagment</v>
      </c>
      <c r="E744" s="437"/>
      <c r="F744" s="437">
        <f>IF(INDEX(decR2Event3,1)=adj!$B744,L744,0)</f>
        <v>0</v>
      </c>
      <c r="G744" s="156"/>
      <c r="H744" s="153"/>
      <c r="I744" s="153"/>
      <c r="J744" s="154">
        <v>0</v>
      </c>
      <c r="K744" s="429">
        <f t="shared" si="82"/>
        <v>0.03</v>
      </c>
      <c r="L744" s="429">
        <f t="shared" si="82"/>
        <v>0.03</v>
      </c>
      <c r="M744" s="8" t="s">
        <v>2926</v>
      </c>
    </row>
    <row r="745" spans="1:13">
      <c r="A745" s="476"/>
      <c r="B745" s="182">
        <v>66</v>
      </c>
      <c r="C745" s="431" t="s">
        <v>3234</v>
      </c>
      <c r="D745" s="436" t="str">
        <f>VLOOKUP(C745,param!$A$18:$B$220,2,FALSE)</f>
        <v>LOB2 - Employee Engagment</v>
      </c>
      <c r="E745" s="437"/>
      <c r="F745" s="437">
        <f>IF(INDEX(decR2Event3,1)=adj!$B745,L745,0)</f>
        <v>0</v>
      </c>
      <c r="G745" s="156"/>
      <c r="J745" s="154">
        <v>0</v>
      </c>
      <c r="K745" s="429">
        <f t="shared" si="82"/>
        <v>0.03</v>
      </c>
      <c r="L745" s="429">
        <f t="shared" si="82"/>
        <v>0.03</v>
      </c>
      <c r="M745" s="8" t="s">
        <v>2926</v>
      </c>
    </row>
    <row r="747" spans="1:13" ht="10.5">
      <c r="B747" s="182">
        <v>67</v>
      </c>
      <c r="C747" s="722" t="s">
        <v>7913</v>
      </c>
    </row>
    <row r="748" spans="1:13">
      <c r="A748" s="476"/>
      <c r="B748" s="182">
        <v>67</v>
      </c>
      <c r="C748" s="431" t="s">
        <v>3150</v>
      </c>
      <c r="D748" s="436" t="str">
        <f>VLOOKUP(C748,param!$A$18:$B$220,2,FALSE)</f>
        <v>LOB1 - Operations Time</v>
      </c>
      <c r="E748" s="437"/>
      <c r="F748" s="437">
        <f>IF(INDEX(decR2Event3,1)=adj!$B748,L748,0)</f>
        <v>0</v>
      </c>
      <c r="G748" s="156"/>
      <c r="J748" s="154">
        <v>0</v>
      </c>
      <c r="K748" s="429">
        <f t="shared" ref="K748:L749" si="83">VLOOKUP($M748,$O$189:$P$193,2,FALSE)</f>
        <v>0.01</v>
      </c>
      <c r="L748" s="429">
        <f t="shared" si="83"/>
        <v>0.01</v>
      </c>
      <c r="M748" s="8" t="s">
        <v>2929</v>
      </c>
    </row>
    <row r="749" spans="1:13">
      <c r="A749" s="476"/>
      <c r="B749" s="182">
        <v>67</v>
      </c>
      <c r="C749" s="431" t="s">
        <v>3216</v>
      </c>
      <c r="D749" s="436" t="str">
        <f>VLOOKUP(C749,param!$A$18:$B$220,2,FALSE)</f>
        <v>LOB2 - Operations Time</v>
      </c>
      <c r="E749" s="437"/>
      <c r="F749" s="437">
        <f>IF(INDEX(decR2Event3,1)=adj!$B749,L749,0)</f>
        <v>0</v>
      </c>
      <c r="G749" s="156"/>
      <c r="H749" s="153"/>
      <c r="I749" s="153"/>
      <c r="J749" s="154">
        <v>0</v>
      </c>
      <c r="K749" s="429">
        <f t="shared" si="83"/>
        <v>0.01</v>
      </c>
      <c r="L749" s="429">
        <f t="shared" si="83"/>
        <v>0.01</v>
      </c>
      <c r="M749" s="8" t="s">
        <v>2929</v>
      </c>
    </row>
    <row r="750" spans="1:13">
      <c r="A750" s="476"/>
      <c r="B750" s="182">
        <v>67</v>
      </c>
      <c r="C750" s="431" t="s">
        <v>3162</v>
      </c>
      <c r="D750" s="436" t="str">
        <f>VLOOKUP(C750,param!$A$18:$B$220,2,FALSE)</f>
        <v>LOB1 - Employee Engagment</v>
      </c>
      <c r="E750" s="437"/>
      <c r="F750" s="437">
        <f>IF(INDEX(decR2Event3,1)=adj!$B750,L750,0)</f>
        <v>0</v>
      </c>
      <c r="G750" s="156"/>
      <c r="H750" s="153"/>
      <c r="I750" s="153"/>
      <c r="J750" s="154">
        <v>0</v>
      </c>
      <c r="K750" s="429">
        <f>VLOOKUP($M750,$O$189:$P$193,2,FALSE)*-1</f>
        <v>-0.03</v>
      </c>
      <c r="L750" s="429">
        <f>VLOOKUP($M750,$O$189:$P$193,2,FALSE)*-1</f>
        <v>-0.03</v>
      </c>
      <c r="M750" s="8" t="s">
        <v>2926</v>
      </c>
    </row>
    <row r="751" spans="1:13">
      <c r="A751" s="476"/>
      <c r="B751" s="182">
        <v>67</v>
      </c>
      <c r="C751" s="431" t="s">
        <v>3234</v>
      </c>
      <c r="D751" s="436" t="str">
        <f>VLOOKUP(C751,param!$A$18:$B$220,2,FALSE)</f>
        <v>LOB2 - Employee Engagment</v>
      </c>
      <c r="E751" s="437"/>
      <c r="F751" s="437">
        <f>IF(INDEX(decR2Event3,1)=adj!$B751,L751,0)</f>
        <v>0</v>
      </c>
      <c r="G751" s="156"/>
      <c r="J751" s="154">
        <v>0</v>
      </c>
      <c r="K751" s="429">
        <f>VLOOKUP($M751,$O$189:$P$193,2,FALSE)*-1</f>
        <v>-0.03</v>
      </c>
      <c r="L751" s="429">
        <f>VLOOKUP($M751,$O$189:$P$193,2,FALSE)*-1</f>
        <v>-0.03</v>
      </c>
      <c r="M751" s="8" t="s">
        <v>2926</v>
      </c>
    </row>
    <row r="753" spans="1:13" ht="10.5">
      <c r="B753" s="67" t="s">
        <v>8164</v>
      </c>
    </row>
    <row r="754" spans="1:13" ht="10.5">
      <c r="B754" s="182">
        <v>68</v>
      </c>
      <c r="C754" s="722" t="s">
        <v>8165</v>
      </c>
    </row>
    <row r="755" spans="1:13">
      <c r="A755" s="476"/>
      <c r="B755" s="182">
        <v>68</v>
      </c>
      <c r="C755" s="431" t="s">
        <v>3150</v>
      </c>
      <c r="D755" s="436" t="str">
        <f>VLOOKUP(C755,param!$A$18:$B$220,2,FALSE)</f>
        <v>LOB1 - Operations Time</v>
      </c>
      <c r="E755" s="437"/>
      <c r="F755" s="437">
        <f>IF(INDEX(decR2Event4,1)=adj!$B755,L755,0)</f>
        <v>0</v>
      </c>
      <c r="G755" s="156"/>
      <c r="J755" s="154">
        <v>0</v>
      </c>
      <c r="K755" s="429">
        <f t="shared" ref="K755:L756" si="84">VLOOKUP($M755,$O$189:$P$193,2,FALSE)</f>
        <v>0.03</v>
      </c>
      <c r="L755" s="429">
        <f t="shared" si="84"/>
        <v>0.03</v>
      </c>
      <c r="M755" s="8" t="s">
        <v>2926</v>
      </c>
    </row>
    <row r="756" spans="1:13">
      <c r="A756" s="476"/>
      <c r="B756" s="182">
        <v>68</v>
      </c>
      <c r="C756" s="431" t="s">
        <v>3216</v>
      </c>
      <c r="D756" s="436" t="str">
        <f>VLOOKUP(C756,param!$A$18:$B$220,2,FALSE)</f>
        <v>LOB2 - Operations Time</v>
      </c>
      <c r="E756" s="437"/>
      <c r="F756" s="437">
        <f>IF(INDEX(decR2Event4,1)=adj!$B756,L756,0)</f>
        <v>0</v>
      </c>
      <c r="G756" s="156"/>
      <c r="H756" s="153"/>
      <c r="I756" s="153"/>
      <c r="J756" s="154">
        <v>0</v>
      </c>
      <c r="K756" s="429">
        <f t="shared" si="84"/>
        <v>0.03</v>
      </c>
      <c r="L756" s="429">
        <f t="shared" si="84"/>
        <v>0.03</v>
      </c>
      <c r="M756" s="8" t="s">
        <v>2926</v>
      </c>
    </row>
    <row r="757" spans="1:13">
      <c r="A757" s="476"/>
      <c r="B757" s="182">
        <v>68</v>
      </c>
      <c r="C757" s="431" t="s">
        <v>3162</v>
      </c>
      <c r="D757" s="436" t="str">
        <f>VLOOKUP(C757,param!$A$18:$B$220,2,FALSE)</f>
        <v>LOB1 - Employee Engagment</v>
      </c>
      <c r="E757" s="437"/>
      <c r="F757" s="437">
        <f>IF(INDEX(decR2Event4,1)=adj!$B757,L757,0)</f>
        <v>0</v>
      </c>
      <c r="G757" s="156"/>
      <c r="H757" s="153"/>
      <c r="I757" s="153"/>
      <c r="J757" s="154">
        <v>0</v>
      </c>
      <c r="K757" s="429">
        <f>VLOOKUP($M757,$O$189:$P$193,2,FALSE)*-1</f>
        <v>-0.02</v>
      </c>
      <c r="L757" s="429">
        <f>VLOOKUP($M757,$O$189:$P$193,2,FALSE)*-1</f>
        <v>-0.02</v>
      </c>
      <c r="M757" s="8" t="s">
        <v>2927</v>
      </c>
    </row>
    <row r="758" spans="1:13">
      <c r="A758" s="476"/>
      <c r="B758" s="182">
        <v>68</v>
      </c>
      <c r="C758" s="431" t="s">
        <v>3234</v>
      </c>
      <c r="D758" s="436" t="str">
        <f>VLOOKUP(C758,param!$A$18:$B$220,2,FALSE)</f>
        <v>LOB2 - Employee Engagment</v>
      </c>
      <c r="E758" s="437"/>
      <c r="F758" s="437">
        <f>IF(INDEX(decR2Event4,1)=adj!$B758,L758,0)</f>
        <v>0</v>
      </c>
      <c r="G758" s="156"/>
      <c r="J758" s="154">
        <v>0</v>
      </c>
      <c r="K758" s="429">
        <f>VLOOKUP($M758,$O$189:$P$193,2,FALSE)*-1</f>
        <v>-0.02</v>
      </c>
      <c r="L758" s="429">
        <f>VLOOKUP($M758,$O$189:$P$193,2,FALSE)*-1</f>
        <v>-0.02</v>
      </c>
      <c r="M758" s="8" t="s">
        <v>2927</v>
      </c>
    </row>
    <row r="759" spans="1:13">
      <c r="A759" s="476"/>
      <c r="B759" s="182">
        <v>68</v>
      </c>
      <c r="C759" s="431" t="s">
        <v>3174</v>
      </c>
      <c r="D759" s="436" t="str">
        <f>VLOOKUP(C759,param!$A$18:$B$220,2,FALSE)</f>
        <v>LOB1 - LPN Meetings</v>
      </c>
      <c r="E759" s="437"/>
      <c r="F759" s="437">
        <f>IF(INDEX(decR2Event4,1)=adj!$B759,L759,0)</f>
        <v>0</v>
      </c>
      <c r="G759" s="156"/>
      <c r="H759" s="153"/>
      <c r="I759" s="153"/>
      <c r="J759" s="154">
        <v>0</v>
      </c>
      <c r="K759" s="429">
        <f t="shared" ref="K759:L765" si="85">VLOOKUP($M759,$O$189:$P$193,2,FALSE)*-1</f>
        <v>-0.01</v>
      </c>
      <c r="L759" s="429">
        <f t="shared" si="85"/>
        <v>-0.01</v>
      </c>
      <c r="M759" s="8" t="s">
        <v>2929</v>
      </c>
    </row>
    <row r="760" spans="1:13">
      <c r="A760" s="476"/>
      <c r="B760" s="182">
        <v>68</v>
      </c>
      <c r="C760" s="431" t="s">
        <v>3175</v>
      </c>
      <c r="D760" s="436" t="str">
        <f>VLOOKUP(C760,param!$A$18:$B$220,2,FALSE)</f>
        <v>LOB1 - PT Meetings</v>
      </c>
      <c r="E760" s="437"/>
      <c r="F760" s="437">
        <f>IF(INDEX(decR2Event4,1)=adj!$B760,L760,0)</f>
        <v>0</v>
      </c>
      <c r="G760" s="156"/>
      <c r="J760" s="154">
        <v>0</v>
      </c>
      <c r="K760" s="429">
        <f t="shared" si="85"/>
        <v>-0.01</v>
      </c>
      <c r="L760" s="429">
        <f t="shared" si="85"/>
        <v>-0.01</v>
      </c>
      <c r="M760" s="8" t="s">
        <v>2929</v>
      </c>
    </row>
    <row r="761" spans="1:13">
      <c r="A761" s="476"/>
      <c r="B761" s="182">
        <v>68</v>
      </c>
      <c r="C761" s="431" t="s">
        <v>3176</v>
      </c>
      <c r="D761" s="436" t="str">
        <f>VLOOKUP(C761,param!$A$18:$B$220,2,FALSE)</f>
        <v>LOB1 - OT Meetings</v>
      </c>
      <c r="E761" s="437"/>
      <c r="F761" s="437">
        <f>IF(INDEX(decR2Event4,1)=adj!$B761,L761,0)</f>
        <v>0</v>
      </c>
      <c r="G761" s="156"/>
      <c r="H761" s="153"/>
      <c r="I761" s="153"/>
      <c r="J761" s="154">
        <v>0</v>
      </c>
      <c r="K761" s="429">
        <f t="shared" si="85"/>
        <v>-0.01</v>
      </c>
      <c r="L761" s="429">
        <f t="shared" si="85"/>
        <v>-0.01</v>
      </c>
      <c r="M761" s="8" t="s">
        <v>2929</v>
      </c>
    </row>
    <row r="762" spans="1:13">
      <c r="A762" s="476"/>
      <c r="B762" s="182">
        <v>68</v>
      </c>
      <c r="C762" s="431" t="s">
        <v>3251</v>
      </c>
      <c r="D762" s="436" t="str">
        <f>VLOOKUP(C762,param!$A$18:$B$220,2,FALSE)</f>
        <v>LOB2 - RN Meetings</v>
      </c>
      <c r="E762" s="437"/>
      <c r="F762" s="437">
        <f>IF(INDEX(decR2Event4,1)=adj!$B762,L762,0)</f>
        <v>0</v>
      </c>
      <c r="G762" s="156"/>
      <c r="J762" s="154">
        <v>0</v>
      </c>
      <c r="K762" s="429">
        <f t="shared" si="85"/>
        <v>-0.01</v>
      </c>
      <c r="L762" s="429">
        <f t="shared" si="85"/>
        <v>-0.01</v>
      </c>
      <c r="M762" s="8" t="s">
        <v>2929</v>
      </c>
    </row>
    <row r="763" spans="1:13">
      <c r="A763" s="476"/>
      <c r="B763" s="182">
        <v>68</v>
      </c>
      <c r="C763" s="431" t="s">
        <v>3253</v>
      </c>
      <c r="D763" s="436" t="str">
        <f>VLOOKUP(C763,param!$A$18:$B$220,2,FALSE)</f>
        <v>LOB2 - LPN Meetings</v>
      </c>
      <c r="E763" s="437"/>
      <c r="F763" s="437">
        <f>IF(INDEX(decR2Event4,1)=adj!$B763,L763,0)</f>
        <v>0</v>
      </c>
      <c r="G763" s="156"/>
      <c r="H763" s="153"/>
      <c r="I763" s="153"/>
      <c r="J763" s="154">
        <v>0</v>
      </c>
      <c r="K763" s="429">
        <f t="shared" si="85"/>
        <v>-0.01</v>
      </c>
      <c r="L763" s="429">
        <f t="shared" si="85"/>
        <v>-0.01</v>
      </c>
      <c r="M763" s="8" t="s">
        <v>2929</v>
      </c>
    </row>
    <row r="764" spans="1:13">
      <c r="A764" s="476"/>
      <c r="B764" s="182">
        <v>68</v>
      </c>
      <c r="C764" s="431" t="s">
        <v>3255</v>
      </c>
      <c r="D764" s="436" t="str">
        <f>VLOOKUP(C764,param!$A$18:$B$220,2,FALSE)</f>
        <v>LOB2 - PT Meetings</v>
      </c>
      <c r="E764" s="437"/>
      <c r="F764" s="437">
        <f>IF(INDEX(decR2Event4,1)=adj!$B764,L764,0)</f>
        <v>0</v>
      </c>
      <c r="G764" s="156"/>
      <c r="J764" s="154">
        <v>0</v>
      </c>
      <c r="K764" s="429">
        <f t="shared" si="85"/>
        <v>-0.01</v>
      </c>
      <c r="L764" s="429">
        <f t="shared" si="85"/>
        <v>-0.01</v>
      </c>
      <c r="M764" s="8" t="s">
        <v>2929</v>
      </c>
    </row>
    <row r="765" spans="1:13">
      <c r="A765" s="476"/>
      <c r="B765" s="182">
        <v>68</v>
      </c>
      <c r="C765" s="431" t="s">
        <v>3257</v>
      </c>
      <c r="D765" s="436" t="str">
        <f>VLOOKUP(C765,param!$A$18:$B$220,2,FALSE)</f>
        <v>LOB2 - OT Meetings</v>
      </c>
      <c r="E765" s="437"/>
      <c r="F765" s="437">
        <f>IF(INDEX(decR2Event4,1)=adj!$B765,L765,0)</f>
        <v>0</v>
      </c>
      <c r="G765" s="156"/>
      <c r="H765" s="153"/>
      <c r="I765" s="153"/>
      <c r="J765" s="154">
        <v>0</v>
      </c>
      <c r="K765" s="429">
        <f t="shared" si="85"/>
        <v>-0.01</v>
      </c>
      <c r="L765" s="429">
        <f t="shared" si="85"/>
        <v>-0.01</v>
      </c>
      <c r="M765" s="8" t="s">
        <v>2929</v>
      </c>
    </row>
    <row r="767" spans="1:13" ht="10.5">
      <c r="B767" s="182">
        <v>69</v>
      </c>
      <c r="C767" s="722" t="s">
        <v>8166</v>
      </c>
    </row>
    <row r="768" spans="1:13">
      <c r="A768" s="476"/>
      <c r="B768" s="182">
        <v>69</v>
      </c>
      <c r="C768" s="431" t="s">
        <v>3150</v>
      </c>
      <c r="D768" s="436" t="str">
        <f>VLOOKUP(C768,param!$A$18:$B$220,2,FALSE)</f>
        <v>LOB1 - Operations Time</v>
      </c>
      <c r="E768" s="437"/>
      <c r="F768" s="437">
        <f>IF(INDEX(decR2Event4,1)=adj!$B768,L768,0)</f>
        <v>0</v>
      </c>
      <c r="G768" s="156"/>
      <c r="J768" s="154">
        <v>0</v>
      </c>
      <c r="K768" s="429">
        <f>VLOOKUP($M768,$O$189:$P$193,2,FALSE)*-1</f>
        <v>-0.02</v>
      </c>
      <c r="L768" s="429">
        <f>VLOOKUP($M768,$O$189:$P$193,2,FALSE)*-1</f>
        <v>-0.02</v>
      </c>
      <c r="M768" s="8" t="s">
        <v>2927</v>
      </c>
    </row>
    <row r="769" spans="1:13">
      <c r="A769" s="476"/>
      <c r="B769" s="182">
        <v>69</v>
      </c>
      <c r="C769" s="431" t="s">
        <v>3216</v>
      </c>
      <c r="D769" s="436" t="str">
        <f>VLOOKUP(C769,param!$A$18:$B$220,2,FALSE)</f>
        <v>LOB2 - Operations Time</v>
      </c>
      <c r="E769" s="437"/>
      <c r="F769" s="437">
        <f>IF(INDEX(decR2Event4,1)=adj!$B769,L769,0)</f>
        <v>0</v>
      </c>
      <c r="G769" s="156"/>
      <c r="H769" s="153"/>
      <c r="I769" s="153"/>
      <c r="J769" s="154">
        <v>0</v>
      </c>
      <c r="K769" s="429">
        <f>VLOOKUP($M769,$O$189:$P$193,2,FALSE)*-1</f>
        <v>-0.02</v>
      </c>
      <c r="L769" s="429">
        <f>VLOOKUP($M769,$O$189:$P$193,2,FALSE)*-1</f>
        <v>-0.02</v>
      </c>
      <c r="M769" s="8" t="s">
        <v>2927</v>
      </c>
    </row>
    <row r="770" spans="1:13">
      <c r="A770" s="476"/>
      <c r="B770" s="182">
        <v>69</v>
      </c>
      <c r="C770" s="431" t="s">
        <v>3162</v>
      </c>
      <c r="D770" s="436" t="str">
        <f>VLOOKUP(C770,param!$A$18:$B$220,2,FALSE)</f>
        <v>LOB1 - Employee Engagment</v>
      </c>
      <c r="E770" s="437"/>
      <c r="F770" s="437">
        <f>IF(INDEX(decR2Event4,1)=adj!$B770,L770,0)</f>
        <v>0</v>
      </c>
      <c r="G770" s="156"/>
      <c r="H770" s="153"/>
      <c r="I770" s="153"/>
      <c r="J770" s="154">
        <v>0</v>
      </c>
      <c r="K770" s="429">
        <f>VLOOKUP($M770,$O$189:$P$193,2,FALSE)</f>
        <v>0.03</v>
      </c>
      <c r="L770" s="429">
        <f>VLOOKUP($M770,$O$189:$P$193,2,FALSE)</f>
        <v>0.03</v>
      </c>
      <c r="M770" s="8" t="s">
        <v>2926</v>
      </c>
    </row>
    <row r="771" spans="1:13">
      <c r="A771" s="476"/>
      <c r="B771" s="182">
        <v>69</v>
      </c>
      <c r="C771" s="431" t="s">
        <v>3234</v>
      </c>
      <c r="D771" s="436" t="str">
        <f>VLOOKUP(C771,param!$A$18:$B$220,2,FALSE)</f>
        <v>LOB2 - Employee Engagment</v>
      </c>
      <c r="E771" s="437"/>
      <c r="F771" s="437">
        <f>IF(INDEX(decR2Event4,1)=adj!$B771,L771,0)</f>
        <v>0</v>
      </c>
      <c r="G771" s="156"/>
      <c r="J771" s="154">
        <v>0</v>
      </c>
      <c r="K771" s="429">
        <f>VLOOKUP($M771,$O$189:$P$193,2,FALSE)</f>
        <v>0.03</v>
      </c>
      <c r="L771" s="429">
        <f>VLOOKUP($M771,$O$189:$P$193,2,FALSE)</f>
        <v>0.03</v>
      </c>
      <c r="M771" s="8" t="s">
        <v>2926</v>
      </c>
    </row>
    <row r="772" spans="1:13">
      <c r="A772" s="476"/>
      <c r="B772" s="182">
        <v>69</v>
      </c>
      <c r="C772" s="431" t="s">
        <v>3174</v>
      </c>
      <c r="D772" s="436" t="str">
        <f>VLOOKUP(C772,param!$A$18:$B$220,2,FALSE)</f>
        <v>LOB1 - LPN Meetings</v>
      </c>
      <c r="E772" s="437"/>
      <c r="F772" s="437">
        <f>IF(INDEX(decR2Event4,1)=adj!$B772,L772,0)</f>
        <v>0</v>
      </c>
      <c r="G772" s="156"/>
      <c r="H772" s="153"/>
      <c r="I772" s="153"/>
      <c r="J772" s="154">
        <v>0</v>
      </c>
      <c r="K772" s="429">
        <f t="shared" ref="K772:L778" si="86">VLOOKUP($M772,$O$189:$P$193,2,FALSE)</f>
        <v>0.01</v>
      </c>
      <c r="L772" s="429">
        <f t="shared" si="86"/>
        <v>0.01</v>
      </c>
      <c r="M772" s="8" t="s">
        <v>2929</v>
      </c>
    </row>
    <row r="773" spans="1:13">
      <c r="A773" s="476"/>
      <c r="B773" s="182">
        <v>69</v>
      </c>
      <c r="C773" s="431" t="s">
        <v>3175</v>
      </c>
      <c r="D773" s="436" t="str">
        <f>VLOOKUP(C773,param!$A$18:$B$220,2,FALSE)</f>
        <v>LOB1 - PT Meetings</v>
      </c>
      <c r="E773" s="437"/>
      <c r="F773" s="437">
        <f>IF(INDEX(decR2Event4,1)=adj!$B773,L773,0)</f>
        <v>0</v>
      </c>
      <c r="G773" s="156"/>
      <c r="J773" s="154">
        <v>0</v>
      </c>
      <c r="K773" s="429">
        <f t="shared" si="86"/>
        <v>0.01</v>
      </c>
      <c r="L773" s="429">
        <f t="shared" si="86"/>
        <v>0.01</v>
      </c>
      <c r="M773" s="8" t="s">
        <v>2929</v>
      </c>
    </row>
    <row r="774" spans="1:13">
      <c r="A774" s="476"/>
      <c r="B774" s="182">
        <v>69</v>
      </c>
      <c r="C774" s="431" t="s">
        <v>3176</v>
      </c>
      <c r="D774" s="436" t="str">
        <f>VLOOKUP(C774,param!$A$18:$B$220,2,FALSE)</f>
        <v>LOB1 - OT Meetings</v>
      </c>
      <c r="E774" s="437"/>
      <c r="F774" s="437">
        <f>IF(INDEX(decR2Event4,1)=adj!$B774,L774,0)</f>
        <v>0</v>
      </c>
      <c r="G774" s="156"/>
      <c r="H774" s="153"/>
      <c r="I774" s="153"/>
      <c r="J774" s="154">
        <v>0</v>
      </c>
      <c r="K774" s="429">
        <f t="shared" si="86"/>
        <v>0.01</v>
      </c>
      <c r="L774" s="429">
        <f t="shared" si="86"/>
        <v>0.01</v>
      </c>
      <c r="M774" s="8" t="s">
        <v>2929</v>
      </c>
    </row>
    <row r="775" spans="1:13">
      <c r="A775" s="476"/>
      <c r="B775" s="182">
        <v>69</v>
      </c>
      <c r="C775" s="431" t="s">
        <v>3251</v>
      </c>
      <c r="D775" s="436" t="str">
        <f>VLOOKUP(C775,param!$A$18:$B$220,2,FALSE)</f>
        <v>LOB2 - RN Meetings</v>
      </c>
      <c r="E775" s="437"/>
      <c r="F775" s="437">
        <f>IF(INDEX(decR2Event4,1)=adj!$B775,L775,0)</f>
        <v>0</v>
      </c>
      <c r="G775" s="156"/>
      <c r="J775" s="154">
        <v>0</v>
      </c>
      <c r="K775" s="429">
        <f t="shared" si="86"/>
        <v>0.01</v>
      </c>
      <c r="L775" s="429">
        <f t="shared" si="86"/>
        <v>0.01</v>
      </c>
      <c r="M775" s="8" t="s">
        <v>2929</v>
      </c>
    </row>
    <row r="776" spans="1:13">
      <c r="A776" s="476"/>
      <c r="B776" s="182">
        <v>69</v>
      </c>
      <c r="C776" s="431" t="s">
        <v>3253</v>
      </c>
      <c r="D776" s="436" t="str">
        <f>VLOOKUP(C776,param!$A$18:$B$220,2,FALSE)</f>
        <v>LOB2 - LPN Meetings</v>
      </c>
      <c r="E776" s="437"/>
      <c r="F776" s="437">
        <f>IF(INDEX(decR2Event4,1)=adj!$B776,L776,0)</f>
        <v>0</v>
      </c>
      <c r="G776" s="156"/>
      <c r="H776" s="153"/>
      <c r="I776" s="153"/>
      <c r="J776" s="154">
        <v>0</v>
      </c>
      <c r="K776" s="429">
        <f t="shared" si="86"/>
        <v>0.01</v>
      </c>
      <c r="L776" s="429">
        <f t="shared" si="86"/>
        <v>0.01</v>
      </c>
      <c r="M776" s="8" t="s">
        <v>2929</v>
      </c>
    </row>
    <row r="777" spans="1:13">
      <c r="A777" s="476"/>
      <c r="B777" s="182">
        <v>69</v>
      </c>
      <c r="C777" s="431" t="s">
        <v>3255</v>
      </c>
      <c r="D777" s="436" t="str">
        <f>VLOOKUP(C777,param!$A$18:$B$220,2,FALSE)</f>
        <v>LOB2 - PT Meetings</v>
      </c>
      <c r="E777" s="437"/>
      <c r="F777" s="437">
        <f>IF(INDEX(decR2Event4,1)=adj!$B777,L777,0)</f>
        <v>0</v>
      </c>
      <c r="G777" s="156"/>
      <c r="J777" s="154">
        <v>0</v>
      </c>
      <c r="K777" s="429">
        <f t="shared" si="86"/>
        <v>0.01</v>
      </c>
      <c r="L777" s="429">
        <f t="shared" si="86"/>
        <v>0.01</v>
      </c>
      <c r="M777" s="8" t="s">
        <v>2929</v>
      </c>
    </row>
    <row r="778" spans="1:13">
      <c r="A778" s="476"/>
      <c r="B778" s="182">
        <v>69</v>
      </c>
      <c r="C778" s="431" t="s">
        <v>3257</v>
      </c>
      <c r="D778" s="436" t="str">
        <f>VLOOKUP(C778,param!$A$18:$B$220,2,FALSE)</f>
        <v>LOB2 - OT Meetings</v>
      </c>
      <c r="E778" s="437"/>
      <c r="F778" s="437">
        <f>IF(INDEX(decR2Event4,1)=adj!$B778,L778,0)</f>
        <v>0</v>
      </c>
      <c r="G778" s="156"/>
      <c r="H778" s="153"/>
      <c r="I778" s="153"/>
      <c r="J778" s="154">
        <v>0</v>
      </c>
      <c r="K778" s="429">
        <f t="shared" si="86"/>
        <v>0.01</v>
      </c>
      <c r="L778" s="429">
        <f t="shared" si="86"/>
        <v>0.01</v>
      </c>
      <c r="M778" s="8" t="s">
        <v>2929</v>
      </c>
    </row>
    <row r="780" spans="1:13" ht="10.5">
      <c r="B780" s="182">
        <v>70</v>
      </c>
      <c r="C780" s="722" t="s">
        <v>8167</v>
      </c>
    </row>
    <row r="781" spans="1:13">
      <c r="A781" s="476"/>
      <c r="B781" s="182">
        <v>70</v>
      </c>
      <c r="C781" s="431" t="s">
        <v>3150</v>
      </c>
      <c r="D781" s="436" t="str">
        <f>VLOOKUP(C781,param!$A$18:$B$220,2,FALSE)</f>
        <v>LOB1 - Operations Time</v>
      </c>
      <c r="E781" s="437"/>
      <c r="F781" s="437">
        <f>IF(INDEX(decR2Event4,1)=adj!$B781,L781,0)</f>
        <v>0</v>
      </c>
      <c r="G781" s="156"/>
      <c r="J781" s="154">
        <v>0</v>
      </c>
      <c r="K781" s="429">
        <f>VLOOKUP($M781,$O$189:$P$193,2,FALSE)</f>
        <v>0.02</v>
      </c>
      <c r="L781" s="429">
        <f>VLOOKUP($M781,$O$189:$P$193,2,FALSE)</f>
        <v>0.02</v>
      </c>
      <c r="M781" s="8" t="s">
        <v>2927</v>
      </c>
    </row>
    <row r="782" spans="1:13">
      <c r="A782" s="476"/>
      <c r="B782" s="182">
        <v>70</v>
      </c>
      <c r="C782" s="431" t="s">
        <v>3216</v>
      </c>
      <c r="D782" s="436" t="str">
        <f>VLOOKUP(C782,param!$A$18:$B$220,2,FALSE)</f>
        <v>LOB2 - Operations Time</v>
      </c>
      <c r="E782" s="437"/>
      <c r="F782" s="437">
        <f>IF(INDEX(decR2Event4,1)=adj!$B782,L782,0)</f>
        <v>0</v>
      </c>
      <c r="G782" s="156"/>
      <c r="H782" s="153"/>
      <c r="I782" s="153"/>
      <c r="J782" s="154">
        <v>0</v>
      </c>
      <c r="K782" s="429">
        <f>VLOOKUP($M782,$O$189:$P$193,2,FALSE)</f>
        <v>0.02</v>
      </c>
      <c r="L782" s="429">
        <f>VLOOKUP($M782,$O$189:$P$193,2,FALSE)</f>
        <v>0.02</v>
      </c>
      <c r="M782" s="8" t="s">
        <v>2927</v>
      </c>
    </row>
    <row r="783" spans="1:13">
      <c r="A783" s="476"/>
      <c r="B783" s="182">
        <v>70</v>
      </c>
      <c r="C783" s="431" t="s">
        <v>3162</v>
      </c>
      <c r="D783" s="436" t="str">
        <f>VLOOKUP(C783,param!$A$18:$B$220,2,FALSE)</f>
        <v>LOB1 - Employee Engagment</v>
      </c>
      <c r="E783" s="437"/>
      <c r="F783" s="437">
        <f>IF(INDEX(decR2Event4,1)=adj!$B783,L783,0)</f>
        <v>0</v>
      </c>
      <c r="G783" s="156"/>
      <c r="H783" s="153"/>
      <c r="I783" s="153"/>
      <c r="J783" s="154">
        <v>0</v>
      </c>
      <c r="K783" s="429">
        <f>VLOOKUP($M783,$O$189:$P$193,2,FALSE)*-1</f>
        <v>-0.02</v>
      </c>
      <c r="L783" s="429">
        <f>VLOOKUP($M783,$O$189:$P$193,2,FALSE)*-1</f>
        <v>-0.02</v>
      </c>
      <c r="M783" s="8" t="s">
        <v>2927</v>
      </c>
    </row>
    <row r="784" spans="1:13">
      <c r="A784" s="476"/>
      <c r="B784" s="182">
        <v>70</v>
      </c>
      <c r="C784" s="431" t="s">
        <v>3234</v>
      </c>
      <c r="D784" s="436" t="str">
        <f>VLOOKUP(C784,param!$A$18:$B$220,2,FALSE)</f>
        <v>LOB2 - Employee Engagment</v>
      </c>
      <c r="E784" s="437"/>
      <c r="F784" s="437">
        <f>IF(INDEX(decR2Event4,1)=adj!$B784,L784,0)</f>
        <v>0</v>
      </c>
      <c r="G784" s="156"/>
      <c r="J784" s="154">
        <v>0</v>
      </c>
      <c r="K784" s="429">
        <f>VLOOKUP($M784,$O$189:$P$193,2,FALSE)*-1</f>
        <v>-0.02</v>
      </c>
      <c r="L784" s="429">
        <f>VLOOKUP($M784,$O$189:$P$193,2,FALSE)*-1</f>
        <v>-0.02</v>
      </c>
      <c r="M784" s="8" t="s">
        <v>2927</v>
      </c>
    </row>
    <row r="786" spans="1:13" ht="10.5">
      <c r="B786" s="67" t="s">
        <v>8169</v>
      </c>
    </row>
    <row r="787" spans="1:13" ht="10.5">
      <c r="B787" s="182">
        <v>71</v>
      </c>
      <c r="C787" s="722" t="s">
        <v>8168</v>
      </c>
    </row>
    <row r="788" spans="1:13">
      <c r="A788" s="476"/>
      <c r="B788" s="182">
        <v>71</v>
      </c>
      <c r="C788" s="431" t="s">
        <v>3146</v>
      </c>
      <c r="D788" s="436" t="str">
        <f>VLOOKUP(C788,param!$A$18:$B$220,2,FALSE)</f>
        <v>LOB1 - Recruitment Time</v>
      </c>
      <c r="E788" s="437"/>
      <c r="F788" s="437">
        <f>IF(INDEX(decR2Event5,1)=adj!$B788,L788,0)</f>
        <v>0</v>
      </c>
      <c r="G788" s="156"/>
      <c r="J788" s="154">
        <v>0</v>
      </c>
      <c r="K788" s="429">
        <f t="shared" ref="K788:L791" si="87">VLOOKUP($M788,$O$189:$P$193,2,FALSE)</f>
        <v>0.03</v>
      </c>
      <c r="L788" s="429">
        <f t="shared" si="87"/>
        <v>0.03</v>
      </c>
      <c r="M788" s="8" t="s">
        <v>2926</v>
      </c>
    </row>
    <row r="789" spans="1:13">
      <c r="A789" s="476"/>
      <c r="B789" s="182">
        <v>71</v>
      </c>
      <c r="C789" s="431" t="s">
        <v>3210</v>
      </c>
      <c r="D789" s="436" t="str">
        <f>VLOOKUP(C789,param!$A$18:$B$220,2,FALSE)</f>
        <v>LOB2 - Recruitment Time</v>
      </c>
      <c r="E789" s="437"/>
      <c r="F789" s="437">
        <f>IF(INDEX(decR2Event5,1)=adj!$B789,L789,0)</f>
        <v>0</v>
      </c>
      <c r="G789" s="156"/>
      <c r="H789" s="153"/>
      <c r="I789" s="153"/>
      <c r="J789" s="154">
        <v>0</v>
      </c>
      <c r="K789" s="429">
        <f t="shared" si="87"/>
        <v>0.03</v>
      </c>
      <c r="L789" s="429">
        <f t="shared" si="87"/>
        <v>0.03</v>
      </c>
      <c r="M789" s="8" t="s">
        <v>2926</v>
      </c>
    </row>
    <row r="790" spans="1:13">
      <c r="A790" s="476"/>
      <c r="B790" s="182">
        <v>71</v>
      </c>
      <c r="C790" s="431" t="s">
        <v>3156</v>
      </c>
      <c r="D790" s="436" t="str">
        <f>VLOOKUP(C790,param!$A$18:$B$220,2,FALSE)</f>
        <v>LOB1 - Referrals Volume</v>
      </c>
      <c r="E790" s="437"/>
      <c r="F790" s="437">
        <f>IF(INDEX(decR2Event5,1)=adj!$B790,L790,0)</f>
        <v>0</v>
      </c>
      <c r="G790" s="156"/>
      <c r="H790" s="153"/>
      <c r="I790" s="153"/>
      <c r="J790" s="154">
        <v>0</v>
      </c>
      <c r="K790" s="429">
        <f t="shared" si="87"/>
        <v>0.03</v>
      </c>
      <c r="L790" s="429">
        <f t="shared" si="87"/>
        <v>0.03</v>
      </c>
      <c r="M790" s="8" t="s">
        <v>2926</v>
      </c>
    </row>
    <row r="791" spans="1:13">
      <c r="A791" s="476"/>
      <c r="B791" s="182">
        <v>71</v>
      </c>
      <c r="C791" s="431" t="s">
        <v>3225</v>
      </c>
      <c r="D791" s="436" t="str">
        <f>VLOOKUP(C791,param!$A$18:$B$220,2,FALSE)</f>
        <v>LOB2 - Referrals Volume</v>
      </c>
      <c r="E791" s="437"/>
      <c r="F791" s="437">
        <f>IF(INDEX(decR2Event5,1)=adj!$B791,L791,0)</f>
        <v>0</v>
      </c>
      <c r="G791" s="156"/>
      <c r="J791" s="154">
        <v>0</v>
      </c>
      <c r="K791" s="429">
        <f t="shared" si="87"/>
        <v>0.03</v>
      </c>
      <c r="L791" s="429">
        <f t="shared" si="87"/>
        <v>0.03</v>
      </c>
      <c r="M791" s="8" t="s">
        <v>2926</v>
      </c>
    </row>
    <row r="793" spans="1:13" ht="10.5">
      <c r="B793" s="182">
        <v>72</v>
      </c>
      <c r="C793" s="722" t="s">
        <v>8170</v>
      </c>
    </row>
    <row r="794" spans="1:13">
      <c r="A794" s="476"/>
      <c r="B794" s="182">
        <v>72</v>
      </c>
      <c r="C794" s="431" t="s">
        <v>3146</v>
      </c>
      <c r="D794" s="436" t="str">
        <f>VLOOKUP(C794,param!$A$18:$B$220,2,FALSE)</f>
        <v>LOB1 - Recruitment Time</v>
      </c>
      <c r="E794" s="437"/>
      <c r="F794" s="437">
        <f>IF(INDEX(decR2Event5,1)=adj!$B794,L794,0)</f>
        <v>0</v>
      </c>
      <c r="G794" s="156"/>
      <c r="J794" s="154">
        <v>0</v>
      </c>
      <c r="K794" s="429">
        <f t="shared" ref="K794:L799" si="88">VLOOKUP($M794,$O$189:$P$193,2,FALSE)</f>
        <v>0.03</v>
      </c>
      <c r="L794" s="429">
        <f t="shared" si="88"/>
        <v>0.03</v>
      </c>
      <c r="M794" s="8" t="s">
        <v>2926</v>
      </c>
    </row>
    <row r="795" spans="1:13">
      <c r="A795" s="476"/>
      <c r="B795" s="182">
        <v>72</v>
      </c>
      <c r="C795" s="431" t="s">
        <v>3210</v>
      </c>
      <c r="D795" s="436" t="str">
        <f>VLOOKUP(C795,param!$A$18:$B$220,2,FALSE)</f>
        <v>LOB2 - Recruitment Time</v>
      </c>
      <c r="E795" s="437"/>
      <c r="F795" s="437">
        <f>IF(INDEX(decR2Event5,1)=adj!$B795,L795,0)</f>
        <v>0</v>
      </c>
      <c r="G795" s="156"/>
      <c r="H795" s="153"/>
      <c r="I795" s="153"/>
      <c r="J795" s="154">
        <v>0</v>
      </c>
      <c r="K795" s="429">
        <f t="shared" si="88"/>
        <v>0.03</v>
      </c>
      <c r="L795" s="429">
        <f t="shared" si="88"/>
        <v>0.03</v>
      </c>
      <c r="M795" s="8" t="s">
        <v>2926</v>
      </c>
    </row>
    <row r="796" spans="1:13">
      <c r="A796" s="476"/>
      <c r="B796" s="182">
        <v>72</v>
      </c>
      <c r="C796" s="431" t="s">
        <v>3152</v>
      </c>
      <c r="D796" s="436" t="str">
        <f>VLOOKUP(C796,param!$A$18:$B$220,2,FALSE)</f>
        <v>LOB1 - Clinical Time</v>
      </c>
      <c r="E796" s="437"/>
      <c r="F796" s="437">
        <f>IF(INDEX(decR2Event5,1)=adj!$B796,L796,0)</f>
        <v>0</v>
      </c>
      <c r="G796" s="156"/>
      <c r="J796" s="154">
        <v>0</v>
      </c>
      <c r="K796" s="429">
        <f t="shared" si="88"/>
        <v>0.02</v>
      </c>
      <c r="L796" s="429">
        <f t="shared" si="88"/>
        <v>0.02</v>
      </c>
      <c r="M796" s="8" t="s">
        <v>2927</v>
      </c>
    </row>
    <row r="797" spans="1:13">
      <c r="A797" s="476"/>
      <c r="B797" s="182">
        <v>72</v>
      </c>
      <c r="C797" s="431" t="s">
        <v>3152</v>
      </c>
      <c r="D797" s="436" t="str">
        <f>VLOOKUP(C797,param!$A$18:$B$220,2,FALSE)</f>
        <v>LOB1 - Clinical Time</v>
      </c>
      <c r="E797" s="437"/>
      <c r="F797" s="437">
        <f>IF(INDEX(decR2Event5,1)=adj!$B797,L797,0)</f>
        <v>0</v>
      </c>
      <c r="G797" s="156"/>
      <c r="H797" s="153"/>
      <c r="I797" s="153"/>
      <c r="J797" s="154">
        <v>0</v>
      </c>
      <c r="K797" s="429">
        <f t="shared" si="88"/>
        <v>0.02</v>
      </c>
      <c r="L797" s="429">
        <f t="shared" si="88"/>
        <v>0.02</v>
      </c>
      <c r="M797" s="8" t="s">
        <v>2927</v>
      </c>
    </row>
    <row r="798" spans="1:13">
      <c r="A798" s="476"/>
      <c r="B798" s="182">
        <v>72</v>
      </c>
      <c r="C798" s="431" t="s">
        <v>3156</v>
      </c>
      <c r="D798" s="436" t="str">
        <f>VLOOKUP(C798,param!$A$18:$B$220,2,FALSE)</f>
        <v>LOB1 - Referrals Volume</v>
      </c>
      <c r="E798" s="437"/>
      <c r="F798" s="437">
        <f>IF(INDEX(decR2Event5,1)=adj!$B798,L798,0)</f>
        <v>0</v>
      </c>
      <c r="G798" s="156"/>
      <c r="H798" s="153"/>
      <c r="I798" s="153"/>
      <c r="J798" s="154">
        <v>0</v>
      </c>
      <c r="K798" s="429">
        <f t="shared" si="88"/>
        <v>0.03</v>
      </c>
      <c r="L798" s="429">
        <f t="shared" si="88"/>
        <v>0.03</v>
      </c>
      <c r="M798" s="8" t="s">
        <v>2926</v>
      </c>
    </row>
    <row r="799" spans="1:13">
      <c r="A799" s="476"/>
      <c r="B799" s="182">
        <v>72</v>
      </c>
      <c r="C799" s="431" t="s">
        <v>3225</v>
      </c>
      <c r="D799" s="436" t="str">
        <f>VLOOKUP(C799,param!$A$18:$B$220,2,FALSE)</f>
        <v>LOB2 - Referrals Volume</v>
      </c>
      <c r="E799" s="437"/>
      <c r="F799" s="437">
        <f>IF(INDEX(decR2Event5,1)=adj!$B799,L799,0)</f>
        <v>0</v>
      </c>
      <c r="G799" s="156"/>
      <c r="J799" s="154">
        <v>0</v>
      </c>
      <c r="K799" s="429">
        <f t="shared" si="88"/>
        <v>0.03</v>
      </c>
      <c r="L799" s="429">
        <f t="shared" si="88"/>
        <v>0.03</v>
      </c>
      <c r="M799" s="8" t="s">
        <v>2926</v>
      </c>
    </row>
    <row r="801" spans="1:13" ht="10.5">
      <c r="B801" s="182">
        <v>73</v>
      </c>
      <c r="C801" s="722" t="s">
        <v>8171</v>
      </c>
    </row>
    <row r="802" spans="1:13">
      <c r="A802" s="476"/>
      <c r="B802" s="182">
        <v>73</v>
      </c>
      <c r="C802" s="431" t="s">
        <v>3156</v>
      </c>
      <c r="D802" s="436" t="str">
        <f>VLOOKUP(C802,param!$A$18:$B$220,2,FALSE)</f>
        <v>LOB1 - Referrals Volume</v>
      </c>
      <c r="E802" s="437"/>
      <c r="F802" s="437">
        <f>IF(INDEX(decR2Event5,1)=adj!$B802,L802,0)</f>
        <v>0</v>
      </c>
      <c r="G802" s="156"/>
      <c r="H802" s="153"/>
      <c r="I802" s="153"/>
      <c r="J802" s="154">
        <v>0</v>
      </c>
      <c r="K802" s="429">
        <f t="shared" ref="K802:L805" si="89">VLOOKUP($M802,$O$189:$P$193,2,FALSE)*-1</f>
        <v>-0.02</v>
      </c>
      <c r="L802" s="429">
        <f t="shared" si="89"/>
        <v>-0.02</v>
      </c>
      <c r="M802" s="8" t="s">
        <v>2927</v>
      </c>
    </row>
    <row r="803" spans="1:13">
      <c r="A803" s="476"/>
      <c r="B803" s="182">
        <v>73</v>
      </c>
      <c r="C803" s="431" t="s">
        <v>3225</v>
      </c>
      <c r="D803" s="436" t="str">
        <f>VLOOKUP(C803,param!$A$18:$B$220,2,FALSE)</f>
        <v>LOB2 - Referrals Volume</v>
      </c>
      <c r="E803" s="437"/>
      <c r="F803" s="437">
        <f>IF(INDEX(decR2Event5,1)=adj!$B803,L803,0)</f>
        <v>0</v>
      </c>
      <c r="G803" s="156"/>
      <c r="J803" s="154">
        <v>0</v>
      </c>
      <c r="K803" s="429">
        <f t="shared" si="89"/>
        <v>-0.02</v>
      </c>
      <c r="L803" s="429">
        <f t="shared" si="89"/>
        <v>-0.02</v>
      </c>
      <c r="M803" s="8" t="s">
        <v>2927</v>
      </c>
    </row>
    <row r="804" spans="1:13">
      <c r="A804" s="476"/>
      <c r="B804" s="182">
        <v>73</v>
      </c>
      <c r="C804" s="431" t="s">
        <v>3158</v>
      </c>
      <c r="D804" s="436" t="str">
        <f>VLOOKUP(C804,param!$A$18:$B$220,2,FALSE)</f>
        <v>LOB1 - Referrals Satisfaction</v>
      </c>
      <c r="E804" s="437"/>
      <c r="F804" s="437">
        <f>IF(INDEX(decR2Event5,1)=adj!$B804,L804,0)</f>
        <v>0</v>
      </c>
      <c r="G804" s="156"/>
      <c r="H804" s="153"/>
      <c r="I804" s="153"/>
      <c r="J804" s="154">
        <v>0</v>
      </c>
      <c r="K804" s="429">
        <f t="shared" si="89"/>
        <v>-0.02</v>
      </c>
      <c r="L804" s="429">
        <f t="shared" si="89"/>
        <v>-0.02</v>
      </c>
      <c r="M804" s="8" t="s">
        <v>2927</v>
      </c>
    </row>
    <row r="805" spans="1:13">
      <c r="A805" s="476"/>
      <c r="B805" s="182">
        <v>73</v>
      </c>
      <c r="C805" s="431" t="s">
        <v>3228</v>
      </c>
      <c r="D805" s="436" t="str">
        <f>VLOOKUP(C805,param!$A$18:$B$220,2,FALSE)</f>
        <v>LOB2 - Referrals Satisfaction</v>
      </c>
      <c r="E805" s="437"/>
      <c r="F805" s="437">
        <f>IF(INDEX(decR2Event5,1)=adj!$B805,L805,0)</f>
        <v>0</v>
      </c>
      <c r="G805" s="156"/>
      <c r="J805" s="154">
        <v>0</v>
      </c>
      <c r="K805" s="429">
        <f t="shared" si="89"/>
        <v>-0.02</v>
      </c>
      <c r="L805" s="429">
        <f t="shared" si="89"/>
        <v>-0.02</v>
      </c>
      <c r="M805" s="8" t="s">
        <v>2927</v>
      </c>
    </row>
    <row r="810" spans="1:13" s="503" customFormat="1">
      <c r="E810" s="502"/>
      <c r="F810" s="502"/>
      <c r="G810" s="502"/>
    </row>
  </sheetData>
  <autoFilter ref="A13:N810"/>
  <hyperlinks>
    <hyperlink ref="D3" r:id="rId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S229"/>
  <sheetViews>
    <sheetView zoomScaleNormal="100" workbookViewId="0">
      <pane ySplit="14" topLeftCell="A200" activePane="bottomLeft" state="frozen"/>
      <selection activeCell="B801" sqref="B801:B805"/>
      <selection pane="bottomLeft" activeCell="K216" sqref="K216"/>
    </sheetView>
  </sheetViews>
  <sheetFormatPr defaultColWidth="9" defaultRowHeight="10"/>
  <cols>
    <col min="1" max="1" width="11.44140625" customWidth="1"/>
    <col min="2" max="2" width="31.33203125" style="148" customWidth="1"/>
    <col min="3" max="3" width="9" style="149"/>
    <col min="4" max="4" width="11" style="174" customWidth="1"/>
    <col min="5" max="7" width="10.44140625" style="149" bestFit="1" customWidth="1"/>
    <col min="8" max="8" width="30.109375" style="149" customWidth="1"/>
    <col min="9" max="10" width="4.44140625" style="149" customWidth="1"/>
    <col min="11" max="13" width="10.77734375" style="149" customWidth="1"/>
    <col min="14" max="14" width="32.109375" style="149" customWidth="1"/>
    <col min="15" max="15" width="7.77734375" style="149" customWidth="1"/>
    <col min="16" max="16" width="12.109375" style="149" customWidth="1"/>
    <col min="17" max="16384" width="9" style="149"/>
  </cols>
  <sheetData>
    <row r="1" spans="1:19" s="61" customFormat="1">
      <c r="A1" s="61" t="s">
        <v>165</v>
      </c>
      <c r="D1" s="176"/>
    </row>
    <row r="2" spans="1:19" s="83" customFormat="1" ht="12.75" customHeight="1">
      <c r="A2"/>
      <c r="C2" s="135"/>
      <c r="D2" s="177"/>
      <c r="F2" s="135"/>
    </row>
    <row r="3" spans="1:19" s="83" customFormat="1">
      <c r="A3"/>
      <c r="B3" s="83" t="s">
        <v>138</v>
      </c>
      <c r="D3" s="178" t="s">
        <v>123</v>
      </c>
      <c r="F3" s="137"/>
    </row>
    <row r="4" spans="1:19" s="63" customFormat="1" ht="12" customHeight="1">
      <c r="A4"/>
      <c r="B4" s="138"/>
      <c r="D4" s="159"/>
    </row>
    <row r="5" spans="1:19" s="70" customFormat="1">
      <c r="A5" s="307"/>
      <c r="B5" s="70" t="s">
        <v>137</v>
      </c>
      <c r="C5" s="71"/>
      <c r="D5" s="179"/>
      <c r="E5" s="71"/>
      <c r="F5" s="71"/>
    </row>
    <row r="6" spans="1:19" s="63" customFormat="1">
      <c r="A6"/>
      <c r="D6" s="159"/>
    </row>
    <row r="7" spans="1:19" s="63" customFormat="1" ht="10.5">
      <c r="A7"/>
      <c r="B7" s="67" t="s">
        <v>136</v>
      </c>
      <c r="D7" s="159"/>
    </row>
    <row r="8" spans="1:19" s="63" customFormat="1">
      <c r="A8"/>
      <c r="B8" s="139"/>
      <c r="C8" s="73" t="s">
        <v>110</v>
      </c>
      <c r="D8" s="159"/>
    </row>
    <row r="9" spans="1:19" s="63" customFormat="1">
      <c r="A9"/>
      <c r="B9" s="141"/>
      <c r="C9" s="73" t="s">
        <v>107</v>
      </c>
      <c r="D9" s="159"/>
    </row>
    <row r="10" spans="1:19" s="63" customFormat="1">
      <c r="A10"/>
      <c r="B10" s="142"/>
      <c r="C10" s="73" t="s">
        <v>164</v>
      </c>
      <c r="D10" s="159"/>
      <c r="E10" s="143"/>
    </row>
    <row r="11" spans="1:19" s="63" customFormat="1" ht="12" customHeight="1">
      <c r="A11"/>
      <c r="B11" s="138"/>
      <c r="D11" s="159"/>
    </row>
    <row r="12" spans="1:19" s="144" customFormat="1">
      <c r="A12" s="61" t="s">
        <v>163</v>
      </c>
      <c r="B12" s="145"/>
      <c r="D12" s="172"/>
      <c r="E12" s="172" t="s">
        <v>162</v>
      </c>
      <c r="F12" s="172" t="s">
        <v>161</v>
      </c>
      <c r="G12" s="172" t="s">
        <v>160</v>
      </c>
      <c r="Q12" s="144" t="s">
        <v>162</v>
      </c>
      <c r="R12" s="144" t="s">
        <v>161</v>
      </c>
      <c r="S12" s="144" t="s">
        <v>160</v>
      </c>
    </row>
    <row r="13" spans="1:19" s="146" customFormat="1">
      <c r="A13" s="70" t="s">
        <v>157</v>
      </c>
      <c r="B13" s="147" t="s">
        <v>156</v>
      </c>
      <c r="C13" s="146" t="s">
        <v>155</v>
      </c>
      <c r="D13" s="173" t="s">
        <v>154</v>
      </c>
      <c r="E13" s="173"/>
      <c r="F13" s="173"/>
      <c r="G13" s="173"/>
      <c r="H13" s="146" t="s">
        <v>153</v>
      </c>
      <c r="K13" s="646"/>
      <c r="L13" s="646"/>
      <c r="M13" s="646"/>
      <c r="N13" s="646"/>
      <c r="P13" s="146" t="s">
        <v>152</v>
      </c>
    </row>
    <row r="14" spans="1:19" s="328" customFormat="1">
      <c r="A14" s="14" t="s">
        <v>151</v>
      </c>
      <c r="B14" s="327"/>
      <c r="D14" s="319"/>
      <c r="E14" s="319"/>
      <c r="F14" s="319"/>
      <c r="G14" s="319"/>
    </row>
    <row r="15" spans="1:19">
      <c r="A15" s="14" t="s">
        <v>733</v>
      </c>
      <c r="B15" s="510" t="s">
        <v>1980</v>
      </c>
      <c r="C15" s="511" t="s">
        <v>150</v>
      </c>
      <c r="D15" s="445">
        <v>12</v>
      </c>
      <c r="E15" s="446">
        <f>IF($C15="R",$D15*(1+Q15),$D15+Q15)</f>
        <v>12</v>
      </c>
      <c r="F15" s="446">
        <f>$D15</f>
        <v>12</v>
      </c>
      <c r="G15" s="446">
        <f>$D15</f>
        <v>12</v>
      </c>
      <c r="H15" s="133" t="s">
        <v>734</v>
      </c>
      <c r="I15" s="133"/>
      <c r="J15" s="133"/>
      <c r="K15" s="446">
        <f>IF($C15="R",$E15*(1+R15),$E15+S15)</f>
        <v>12</v>
      </c>
      <c r="L15" s="446">
        <f>$D15</f>
        <v>12</v>
      </c>
      <c r="M15" s="446">
        <f>$D15</f>
        <v>12</v>
      </c>
      <c r="N15" s="133" t="s">
        <v>7398</v>
      </c>
      <c r="O15" s="133"/>
      <c r="P15" s="151">
        <f>COUNTIF(adj!$C$3:$C$74,$A15)</f>
        <v>0</v>
      </c>
      <c r="Q15" s="150">
        <f>SUMIF(adj!$C$3:$C$810,$A15,adj!E$3:E$810)</f>
        <v>0</v>
      </c>
      <c r="R15" s="150">
        <f>SUMIF(adj!$C$3:$C$810,$A15,adj!F$3:F$810)</f>
        <v>0</v>
      </c>
      <c r="S15" s="150">
        <f>SUMIF(adj!$C$3:$C$810,$A15,adj!G$3:G$810)</f>
        <v>0</v>
      </c>
    </row>
    <row r="16" spans="1:19">
      <c r="A16" s="14" t="s">
        <v>1619</v>
      </c>
      <c r="B16" s="510" t="s">
        <v>1620</v>
      </c>
      <c r="C16" s="511" t="s">
        <v>150</v>
      </c>
      <c r="D16" s="445">
        <v>48</v>
      </c>
      <c r="E16" s="446">
        <f>IF($C16="R",$D16*(1+Q16),$D16+Q16)</f>
        <v>48</v>
      </c>
      <c r="F16" s="446">
        <f>$D16</f>
        <v>48</v>
      </c>
      <c r="G16" s="446">
        <f>$D16</f>
        <v>48</v>
      </c>
      <c r="H16" s="133" t="s">
        <v>1621</v>
      </c>
      <c r="I16" s="133"/>
      <c r="J16" s="133"/>
      <c r="K16" s="446">
        <f t="shared" ref="K16:K79" si="0">IF($C16="R",$E16*(1+R16),$E16+S16)</f>
        <v>48</v>
      </c>
      <c r="L16" s="446">
        <f t="shared" ref="L16:M79" si="1">$D16</f>
        <v>48</v>
      </c>
      <c r="M16" s="446">
        <f t="shared" si="1"/>
        <v>48</v>
      </c>
      <c r="N16" s="133" t="s">
        <v>7399</v>
      </c>
      <c r="O16" s="133"/>
      <c r="P16" s="151">
        <f>COUNTIF(adj!$C$3:$C$74,$A16)</f>
        <v>0</v>
      </c>
      <c r="Q16" s="150">
        <f>SUMIF(adj!$C$3:$C$810,$A16,adj!E$3:E$810)</f>
        <v>0</v>
      </c>
      <c r="R16" s="150">
        <f>SUMIF(adj!$C$3:$C$810,$A16,adj!F$3:F$810)</f>
        <v>0</v>
      </c>
      <c r="S16" s="150">
        <f>SUMIF(adj!$C$3:$C$810,$A16,adj!G$3:G$810)</f>
        <v>0</v>
      </c>
    </row>
    <row r="17" spans="1:19">
      <c r="A17" s="14"/>
      <c r="B17" s="510"/>
      <c r="C17" s="511"/>
      <c r="D17" s="445"/>
      <c r="E17" s="446"/>
      <c r="F17" s="446"/>
      <c r="G17" s="446"/>
      <c r="H17" s="133"/>
      <c r="I17" s="133"/>
      <c r="J17" s="133"/>
      <c r="K17" s="446">
        <f t="shared" si="0"/>
        <v>0</v>
      </c>
      <c r="L17" s="446">
        <f t="shared" si="1"/>
        <v>0</v>
      </c>
      <c r="M17" s="446">
        <f t="shared" si="1"/>
        <v>0</v>
      </c>
      <c r="N17" s="133"/>
      <c r="O17" s="133"/>
      <c r="P17" s="151"/>
      <c r="Q17" s="150"/>
      <c r="R17" s="150"/>
      <c r="S17" s="150"/>
    </row>
    <row r="18" spans="1:19">
      <c r="A18" s="461" t="s">
        <v>3144</v>
      </c>
      <c r="B18" s="510" t="s">
        <v>3145</v>
      </c>
      <c r="C18" s="511" t="s">
        <v>150</v>
      </c>
      <c r="D18" s="428">
        <v>1</v>
      </c>
      <c r="E18" s="444">
        <f t="shared" ref="E18" si="2">IF($C18="R",$D18*(1+Q18),$D18+Q18)</f>
        <v>1</v>
      </c>
      <c r="F18" s="444">
        <f>$D18</f>
        <v>1</v>
      </c>
      <c r="G18" s="444">
        <f>$D18</f>
        <v>1</v>
      </c>
      <c r="H18" s="133" t="s">
        <v>3016</v>
      </c>
      <c r="I18" s="133"/>
      <c r="J18" s="133"/>
      <c r="K18" s="444">
        <f t="shared" si="0"/>
        <v>1</v>
      </c>
      <c r="L18" s="444">
        <f t="shared" si="1"/>
        <v>1</v>
      </c>
      <c r="M18" s="444">
        <f t="shared" si="1"/>
        <v>1</v>
      </c>
      <c r="N18" s="133" t="s">
        <v>7400</v>
      </c>
      <c r="O18" s="133"/>
      <c r="P18" s="151">
        <f>COUNTIF(adj!$C$3:$C$74,$A18)</f>
        <v>0</v>
      </c>
      <c r="Q18" s="150">
        <f>SUMIF(adj!$C$3:$C$810,$A18,adj!E$3:E$810)</f>
        <v>0</v>
      </c>
      <c r="R18" s="150">
        <f>SUMIF(adj!$C$3:$C$810,$A18,adj!F$3:F$810)</f>
        <v>0</v>
      </c>
      <c r="S18" s="150">
        <f>SUMIF(adj!$C$3:$C$810,$A18,adj!G$3:G$810)</f>
        <v>0</v>
      </c>
    </row>
    <row r="19" spans="1:19">
      <c r="A19" s="461" t="s">
        <v>3146</v>
      </c>
      <c r="B19" s="510" t="s">
        <v>3147</v>
      </c>
      <c r="C19" s="511" t="s">
        <v>150</v>
      </c>
      <c r="D19" s="428">
        <v>1</v>
      </c>
      <c r="E19" s="444">
        <f t="shared" ref="E19:E24" si="3">IF($C19="R",$D19*(1+Q19),$D19+Q19)</f>
        <v>1</v>
      </c>
      <c r="F19" s="444">
        <f t="shared" ref="F19:G50" si="4">$D19</f>
        <v>1</v>
      </c>
      <c r="G19" s="444">
        <f t="shared" si="4"/>
        <v>1</v>
      </c>
      <c r="H19" s="133" t="s">
        <v>3017</v>
      </c>
      <c r="I19" s="133"/>
      <c r="J19" s="133"/>
      <c r="K19" s="707">
        <f>IF($C19="R",$D19*(1+R19),$D19+S19)</f>
        <v>1</v>
      </c>
      <c r="L19" s="444">
        <f t="shared" si="1"/>
        <v>1</v>
      </c>
      <c r="M19" s="444">
        <f t="shared" si="1"/>
        <v>1</v>
      </c>
      <c r="N19" s="133" t="s">
        <v>7401</v>
      </c>
      <c r="O19" s="133"/>
      <c r="P19" s="151">
        <f>COUNTIF(adj!$C$3:$C$74,$A19)</f>
        <v>0</v>
      </c>
      <c r="Q19" s="150">
        <f>SUMIF(adj!$C$3:$C$810,$A19,adj!E$3:E$810)</f>
        <v>0</v>
      </c>
      <c r="R19" s="150">
        <f>SUMIF(adj!$C$3:$C$810,$A19,adj!F$3:F$810)</f>
        <v>0</v>
      </c>
      <c r="S19" s="150">
        <f>SUMIF(adj!$C$3:$C$810,$A19,adj!G$3:G$810)</f>
        <v>0</v>
      </c>
    </row>
    <row r="20" spans="1:19">
      <c r="A20" s="461" t="s">
        <v>3148</v>
      </c>
      <c r="B20" s="510" t="s">
        <v>3149</v>
      </c>
      <c r="C20" s="511" t="s">
        <v>150</v>
      </c>
      <c r="D20" s="428">
        <v>1</v>
      </c>
      <c r="E20" s="444">
        <f t="shared" si="3"/>
        <v>1</v>
      </c>
      <c r="F20" s="444">
        <f t="shared" si="4"/>
        <v>1</v>
      </c>
      <c r="G20" s="444">
        <f t="shared" si="4"/>
        <v>1</v>
      </c>
      <c r="H20" s="133" t="s">
        <v>3018</v>
      </c>
      <c r="I20" s="133"/>
      <c r="J20" s="133"/>
      <c r="K20" s="707">
        <f t="shared" ref="K20:K22" si="5">IF($C20="R",$D20*(1+R20),$D20+S20)</f>
        <v>1</v>
      </c>
      <c r="L20" s="444">
        <f t="shared" si="1"/>
        <v>1</v>
      </c>
      <c r="M20" s="444">
        <f t="shared" si="1"/>
        <v>1</v>
      </c>
      <c r="N20" s="133" t="s">
        <v>7402</v>
      </c>
      <c r="O20" s="133"/>
      <c r="P20" s="151">
        <f>COUNTIF(adj!$C$3:$C$74,$A20)</f>
        <v>0</v>
      </c>
      <c r="Q20" s="150">
        <f>SUMIF(adj!$C$3:$C$810,$A20,adj!E$3:E$810)</f>
        <v>0</v>
      </c>
      <c r="R20" s="150">
        <f>SUMIF(adj!$C$3:$C$810,$A20,adj!F$3:F$810)</f>
        <v>0</v>
      </c>
      <c r="S20" s="150">
        <f>SUMIF(adj!$C$3:$C$810,$A20,adj!G$3:G$810)</f>
        <v>0</v>
      </c>
    </row>
    <row r="21" spans="1:19">
      <c r="A21" s="461" t="s">
        <v>3150</v>
      </c>
      <c r="B21" s="510" t="s">
        <v>3151</v>
      </c>
      <c r="C21" s="511" t="s">
        <v>150</v>
      </c>
      <c r="D21" s="428">
        <v>1</v>
      </c>
      <c r="E21" s="444">
        <f t="shared" si="3"/>
        <v>1</v>
      </c>
      <c r="F21" s="444">
        <f t="shared" si="4"/>
        <v>1</v>
      </c>
      <c r="G21" s="444">
        <f t="shared" si="4"/>
        <v>1</v>
      </c>
      <c r="H21" s="133" t="s">
        <v>3019</v>
      </c>
      <c r="I21" s="133"/>
      <c r="J21" s="133"/>
      <c r="K21" s="707">
        <f t="shared" si="5"/>
        <v>1</v>
      </c>
      <c r="L21" s="444">
        <f t="shared" si="1"/>
        <v>1</v>
      </c>
      <c r="M21" s="444">
        <f t="shared" si="1"/>
        <v>1</v>
      </c>
      <c r="N21" s="133" t="s">
        <v>7403</v>
      </c>
      <c r="O21" s="133"/>
      <c r="P21" s="151">
        <f>COUNTIF(adj!$C$3:$C$74,$A21)</f>
        <v>0</v>
      </c>
      <c r="Q21" s="150">
        <f>SUMIF(adj!$C$3:$C$810,$A21,adj!E$3:E$810)</f>
        <v>0</v>
      </c>
      <c r="R21" s="150">
        <f>SUMIF(adj!$C$3:$C$810,$A21,adj!F$3:F$810)</f>
        <v>0</v>
      </c>
      <c r="S21" s="150">
        <f>SUMIF(adj!$C$3:$C$810,$A21,adj!G$3:G$810)</f>
        <v>0</v>
      </c>
    </row>
    <row r="22" spans="1:19">
      <c r="A22" s="461" t="s">
        <v>3152</v>
      </c>
      <c r="B22" s="510" t="s">
        <v>3153</v>
      </c>
      <c r="C22" s="511" t="s">
        <v>150</v>
      </c>
      <c r="D22" s="428">
        <v>1</v>
      </c>
      <c r="E22" s="444">
        <f t="shared" si="3"/>
        <v>1</v>
      </c>
      <c r="F22" s="444">
        <f t="shared" si="4"/>
        <v>1</v>
      </c>
      <c r="G22" s="444">
        <f t="shared" si="4"/>
        <v>1</v>
      </c>
      <c r="H22" s="133" t="s">
        <v>3020</v>
      </c>
      <c r="I22" s="133"/>
      <c r="J22" s="133"/>
      <c r="K22" s="707">
        <f t="shared" si="5"/>
        <v>1</v>
      </c>
      <c r="L22" s="444">
        <f t="shared" si="1"/>
        <v>1</v>
      </c>
      <c r="M22" s="444">
        <f t="shared" si="1"/>
        <v>1</v>
      </c>
      <c r="N22" s="133" t="s">
        <v>7404</v>
      </c>
      <c r="O22" s="133"/>
      <c r="P22" s="151">
        <f>COUNTIF(adj!$C$3:$C$74,$A22)</f>
        <v>0</v>
      </c>
      <c r="Q22" s="150">
        <f>SUMIF(adj!$C$3:$C$810,$A22,adj!E$3:E$810)</f>
        <v>0</v>
      </c>
      <c r="R22" s="150">
        <f>SUMIF(adj!$C$3:$C$810,$A22,adj!F$3:F$810)</f>
        <v>0</v>
      </c>
      <c r="S22" s="150">
        <f>SUMIF(adj!$C$3:$C$810,$A22,adj!G$3:G$810)</f>
        <v>0</v>
      </c>
    </row>
    <row r="23" spans="1:19">
      <c r="A23" s="461" t="s">
        <v>3154</v>
      </c>
      <c r="B23" s="510" t="s">
        <v>3155</v>
      </c>
      <c r="C23" s="511" t="s">
        <v>150</v>
      </c>
      <c r="D23" s="428">
        <v>1</v>
      </c>
      <c r="E23" s="444">
        <f t="shared" si="3"/>
        <v>1</v>
      </c>
      <c r="F23" s="444">
        <f t="shared" si="4"/>
        <v>1</v>
      </c>
      <c r="G23" s="444">
        <f t="shared" si="4"/>
        <v>1</v>
      </c>
      <c r="H23" s="133" t="s">
        <v>3021</v>
      </c>
      <c r="I23" s="133"/>
      <c r="J23" s="133"/>
      <c r="K23" s="707">
        <f>IF($C23="R",$D23*(1+R23),$D23+S23)</f>
        <v>1</v>
      </c>
      <c r="L23" s="444">
        <f t="shared" si="1"/>
        <v>1</v>
      </c>
      <c r="M23" s="444">
        <f t="shared" si="1"/>
        <v>1</v>
      </c>
      <c r="N23" s="133" t="s">
        <v>7405</v>
      </c>
      <c r="O23" s="133"/>
      <c r="P23" s="151">
        <f>COUNTIF(adj!$C$3:$C$74,$A23)</f>
        <v>0</v>
      </c>
      <c r="Q23" s="150">
        <f>SUMIF(adj!$C$3:$C$810,$A23,adj!E$3:E$810)</f>
        <v>0</v>
      </c>
      <c r="R23" s="150">
        <f>SUMIF(adj!$C$3:$C$810,$A23,adj!F$3:F$810)</f>
        <v>0</v>
      </c>
      <c r="S23" s="150">
        <f>SUMIF(adj!$C$3:$C$810,$A23,adj!G$3:G$810)</f>
        <v>0</v>
      </c>
    </row>
    <row r="24" spans="1:19">
      <c r="A24" s="461" t="s">
        <v>3156</v>
      </c>
      <c r="B24" s="510" t="s">
        <v>3157</v>
      </c>
      <c r="C24" s="511" t="s">
        <v>150</v>
      </c>
      <c r="D24" s="428">
        <v>1</v>
      </c>
      <c r="E24" s="444">
        <f t="shared" si="3"/>
        <v>1</v>
      </c>
      <c r="F24" s="684">
        <v>1.06</v>
      </c>
      <c r="G24" s="684">
        <v>0.95</v>
      </c>
      <c r="H24" s="133" t="s">
        <v>3022</v>
      </c>
      <c r="I24" s="133"/>
      <c r="J24" s="133"/>
      <c r="K24" s="444">
        <f t="shared" si="0"/>
        <v>1</v>
      </c>
      <c r="L24" s="684">
        <v>1.06</v>
      </c>
      <c r="M24" s="684">
        <v>1.01</v>
      </c>
      <c r="N24" s="133" t="s">
        <v>7406</v>
      </c>
      <c r="O24" s="133"/>
      <c r="P24" s="151">
        <f>COUNTIF(adj!$C$3:$C$74,$A24)</f>
        <v>0</v>
      </c>
      <c r="Q24" s="150">
        <f>SUMIF(adj!$C$3:$C$810,$A24,adj!E$3:E$810)</f>
        <v>0</v>
      </c>
      <c r="R24" s="150">
        <f>SUMIF(adj!$C$3:$C$810,$A24,adj!F$3:F$810)</f>
        <v>0</v>
      </c>
      <c r="S24" s="150">
        <f>SUMIF(adj!$C$3:$C$810,$A24,adj!G$3:G$810)</f>
        <v>0</v>
      </c>
    </row>
    <row r="25" spans="1:19">
      <c r="A25" s="461" t="s">
        <v>3158</v>
      </c>
      <c r="B25" s="510" t="s">
        <v>3159</v>
      </c>
      <c r="C25" s="511" t="s">
        <v>150</v>
      </c>
      <c r="D25" s="428">
        <v>1</v>
      </c>
      <c r="E25" s="444">
        <f t="shared" ref="E25:E29" si="6">IF($C25="R",$D25*(1+Q25),$D25+Q25)</f>
        <v>1</v>
      </c>
      <c r="F25" s="684">
        <v>1.05</v>
      </c>
      <c r="G25" s="684">
        <v>1.03</v>
      </c>
      <c r="H25" s="133" t="s">
        <v>3023</v>
      </c>
      <c r="I25" s="133"/>
      <c r="J25" s="133"/>
      <c r="K25" s="444">
        <f t="shared" si="0"/>
        <v>1</v>
      </c>
      <c r="L25" s="684">
        <v>1.1200000000000001</v>
      </c>
      <c r="M25" s="684">
        <v>1.1000000000000001</v>
      </c>
      <c r="N25" s="133" t="s">
        <v>7407</v>
      </c>
      <c r="O25" s="133"/>
      <c r="P25" s="151">
        <f>COUNTIF(adj!$C$3:$C$74,$A25)</f>
        <v>0</v>
      </c>
      <c r="Q25" s="150">
        <f>SUMIF(adj!$C$3:$C$810,$A25,adj!E$3:E$810)</f>
        <v>0</v>
      </c>
      <c r="R25" s="150">
        <f>SUMIF(adj!$C$3:$C$810,$A25,adj!F$3:F$810)</f>
        <v>0</v>
      </c>
      <c r="S25" s="150">
        <f>SUMIF(adj!$C$3:$C$810,$A25,adj!G$3:G$810)</f>
        <v>0</v>
      </c>
    </row>
    <row r="26" spans="1:19">
      <c r="A26" s="461" t="s">
        <v>3160</v>
      </c>
      <c r="B26" s="510" t="s">
        <v>3161</v>
      </c>
      <c r="C26" s="511" t="s">
        <v>150</v>
      </c>
      <c r="D26" s="428">
        <v>1</v>
      </c>
      <c r="E26" s="444">
        <f t="shared" si="6"/>
        <v>1</v>
      </c>
      <c r="F26" s="444">
        <f t="shared" si="4"/>
        <v>1</v>
      </c>
      <c r="G26" s="444">
        <f t="shared" si="4"/>
        <v>1</v>
      </c>
      <c r="H26" s="133" t="s">
        <v>3024</v>
      </c>
      <c r="I26" s="133"/>
      <c r="J26" s="133"/>
      <c r="K26" s="444">
        <f t="shared" si="0"/>
        <v>1</v>
      </c>
      <c r="L26" s="444">
        <f t="shared" si="1"/>
        <v>1</v>
      </c>
      <c r="M26" s="444">
        <f t="shared" si="1"/>
        <v>1</v>
      </c>
      <c r="N26" s="133" t="s">
        <v>7408</v>
      </c>
      <c r="O26" s="133"/>
      <c r="P26" s="151">
        <f>COUNTIF(adj!$C$3:$C$74,$A26)</f>
        <v>0</v>
      </c>
      <c r="Q26" s="150">
        <f>SUMIF(adj!$C$3:$C$810,$A26,adj!E$3:E$810)</f>
        <v>0</v>
      </c>
      <c r="R26" s="150">
        <f>SUMIF(adj!$C$3:$C$810,$A26,adj!F$3:F$810)</f>
        <v>0</v>
      </c>
      <c r="S26" s="150">
        <f>SUMIF(adj!$C$3:$C$810,$A26,adj!G$3:G$810)</f>
        <v>0</v>
      </c>
    </row>
    <row r="27" spans="1:19">
      <c r="A27" s="461" t="s">
        <v>3162</v>
      </c>
      <c r="B27" s="510" t="s">
        <v>3163</v>
      </c>
      <c r="C27" s="511" t="s">
        <v>150</v>
      </c>
      <c r="D27" s="428">
        <v>1</v>
      </c>
      <c r="E27" s="444">
        <f t="shared" si="6"/>
        <v>1</v>
      </c>
      <c r="F27" s="684">
        <v>1.03</v>
      </c>
      <c r="G27" s="684">
        <v>1.01</v>
      </c>
      <c r="H27" s="133" t="s">
        <v>3025</v>
      </c>
      <c r="I27" s="133"/>
      <c r="J27" s="133"/>
      <c r="K27" s="707">
        <f>IF($C27="R",$D27*(1+R27),$D27+S27)</f>
        <v>1</v>
      </c>
      <c r="L27" s="684">
        <v>1.03</v>
      </c>
      <c r="M27" s="684">
        <v>1.01</v>
      </c>
      <c r="N27" s="133" t="s">
        <v>7409</v>
      </c>
      <c r="O27" s="133"/>
      <c r="P27" s="151">
        <f>COUNTIF(adj!$C$3:$C$74,$A27)</f>
        <v>4</v>
      </c>
      <c r="Q27" s="150">
        <f>SUMIF(adj!$C$3:$C$810,$A27,adj!E$3:E$810)</f>
        <v>0</v>
      </c>
      <c r="R27" s="150">
        <f>SUMIF(adj!$C$3:$C$810,$A27,adj!F$3:F$810)</f>
        <v>0</v>
      </c>
      <c r="S27" s="150">
        <f>SUMIF(adj!$C$3:$C$810,$A27,adj!G$3:G$810)</f>
        <v>0</v>
      </c>
    </row>
    <row r="28" spans="1:19">
      <c r="A28" s="461" t="s">
        <v>3164</v>
      </c>
      <c r="B28" s="510" t="s">
        <v>3165</v>
      </c>
      <c r="C28" s="511" t="s">
        <v>150</v>
      </c>
      <c r="D28" s="428">
        <v>1</v>
      </c>
      <c r="E28" s="444">
        <f t="shared" si="6"/>
        <v>1</v>
      </c>
      <c r="F28" s="444">
        <f t="shared" si="4"/>
        <v>1</v>
      </c>
      <c r="G28" s="444">
        <f t="shared" si="4"/>
        <v>1</v>
      </c>
      <c r="H28" s="133" t="s">
        <v>3026</v>
      </c>
      <c r="I28" s="133"/>
      <c r="J28" s="133"/>
      <c r="K28" s="444">
        <f t="shared" si="0"/>
        <v>1</v>
      </c>
      <c r="L28" s="444">
        <f t="shared" si="1"/>
        <v>1</v>
      </c>
      <c r="M28" s="444">
        <f t="shared" si="1"/>
        <v>1</v>
      </c>
      <c r="N28" s="133" t="s">
        <v>7410</v>
      </c>
      <c r="O28" s="133"/>
      <c r="P28" s="151">
        <f>COUNTIF(adj!$C$3:$C$74,$A28)</f>
        <v>0</v>
      </c>
      <c r="Q28" s="150">
        <f>SUMIF(adj!$C$3:$C$810,$A28,adj!E$3:E$810)</f>
        <v>0</v>
      </c>
      <c r="R28" s="150">
        <f>SUMIF(adj!$C$3:$C$810,$A28,adj!F$3:F$810)</f>
        <v>0</v>
      </c>
      <c r="S28" s="150">
        <f>SUMIF(adj!$C$3:$C$810,$A28,adj!G$3:G$810)</f>
        <v>0</v>
      </c>
    </row>
    <row r="29" spans="1:19">
      <c r="A29" s="461" t="s">
        <v>3166</v>
      </c>
      <c r="B29" s="510" t="s">
        <v>3167</v>
      </c>
      <c r="C29" s="511" t="s">
        <v>150</v>
      </c>
      <c r="D29" s="428">
        <v>1</v>
      </c>
      <c r="E29" s="444">
        <f t="shared" si="6"/>
        <v>1</v>
      </c>
      <c r="F29" s="444">
        <f t="shared" si="4"/>
        <v>1</v>
      </c>
      <c r="G29" s="444">
        <f t="shared" si="4"/>
        <v>1</v>
      </c>
      <c r="H29" s="133" t="s">
        <v>3027</v>
      </c>
      <c r="I29" s="133"/>
      <c r="J29" s="133"/>
      <c r="K29" s="444">
        <f t="shared" si="0"/>
        <v>1</v>
      </c>
      <c r="L29" s="444">
        <f t="shared" si="1"/>
        <v>1</v>
      </c>
      <c r="M29" s="444">
        <f t="shared" si="1"/>
        <v>1</v>
      </c>
      <c r="N29" s="133" t="s">
        <v>7411</v>
      </c>
      <c r="O29" s="133"/>
      <c r="P29" s="151">
        <f>COUNTIF(adj!$C$3:$C$74,$A29)</f>
        <v>0</v>
      </c>
      <c r="Q29" s="150">
        <f>SUMIF(adj!$C$3:$C$810,$A29,adj!E$3:E$810)</f>
        <v>0</v>
      </c>
      <c r="R29" s="150">
        <f>SUMIF(adj!$C$3:$C$810,$A29,adj!F$3:F$810)</f>
        <v>0</v>
      </c>
      <c r="S29" s="150">
        <f>SUMIF(adj!$C$3:$C$810,$A29,adj!G$3:G$810)</f>
        <v>0</v>
      </c>
    </row>
    <row r="30" spans="1:19">
      <c r="A30" s="461" t="s">
        <v>3168</v>
      </c>
      <c r="B30" s="510" t="s">
        <v>3169</v>
      </c>
      <c r="C30" s="511" t="s">
        <v>150</v>
      </c>
      <c r="D30" s="428">
        <v>1</v>
      </c>
      <c r="E30" s="444">
        <f t="shared" ref="E30:E32" si="7">IF($C30="R",$D30*(1+Q30),$D30+Q30)</f>
        <v>1</v>
      </c>
      <c r="F30" s="444">
        <f t="shared" si="4"/>
        <v>1</v>
      </c>
      <c r="G30" s="444">
        <f t="shared" si="4"/>
        <v>1</v>
      </c>
      <c r="H30" s="133" t="s">
        <v>3028</v>
      </c>
      <c r="I30" s="133"/>
      <c r="J30" s="133"/>
      <c r="K30" s="707">
        <f>IF($C30="R",$D30*(1+R30),$D30+S30)</f>
        <v>1</v>
      </c>
      <c r="L30" s="444">
        <f t="shared" si="1"/>
        <v>1</v>
      </c>
      <c r="M30" s="444">
        <f t="shared" si="1"/>
        <v>1</v>
      </c>
      <c r="N30" s="133" t="s">
        <v>7412</v>
      </c>
      <c r="O30" s="133"/>
      <c r="P30" s="151">
        <f>COUNTIF(adj!$C$3:$C$74,$A30)</f>
        <v>0</v>
      </c>
      <c r="Q30" s="150">
        <f>SUMIF(adj!$C$3:$C$810,$A30,adj!E$3:E$810)</f>
        <v>0</v>
      </c>
      <c r="R30" s="150">
        <f>SUMIF(adj!$C$3:$C$810,$A30,adj!F$3:F$810)</f>
        <v>0</v>
      </c>
      <c r="S30" s="150">
        <f>SUMIF(adj!$C$3:$C$810,$A30,adj!G$3:G$810)</f>
        <v>0</v>
      </c>
    </row>
    <row r="31" spans="1:19">
      <c r="A31" s="461" t="s">
        <v>3170</v>
      </c>
      <c r="B31" s="510" t="s">
        <v>3171</v>
      </c>
      <c r="C31" s="511" t="s">
        <v>150</v>
      </c>
      <c r="D31" s="428">
        <v>1</v>
      </c>
      <c r="E31" s="444">
        <f t="shared" si="7"/>
        <v>1</v>
      </c>
      <c r="F31" s="444">
        <f t="shared" si="4"/>
        <v>1</v>
      </c>
      <c r="G31" s="444">
        <f t="shared" si="4"/>
        <v>1</v>
      </c>
      <c r="H31" s="133" t="s">
        <v>3029</v>
      </c>
      <c r="I31" s="133"/>
      <c r="J31" s="133"/>
      <c r="K31" s="707">
        <f>IF($C31="R",$D31*(1+R31),$D31+S31)</f>
        <v>1</v>
      </c>
      <c r="L31" s="444">
        <f t="shared" si="1"/>
        <v>1</v>
      </c>
      <c r="M31" s="444">
        <f t="shared" si="1"/>
        <v>1</v>
      </c>
      <c r="N31" s="133" t="s">
        <v>7413</v>
      </c>
      <c r="O31" s="133"/>
      <c r="P31" s="151">
        <f>COUNTIF(adj!$C$3:$C$74,$A31)</f>
        <v>0</v>
      </c>
      <c r="Q31" s="150">
        <f>SUMIF(adj!$C$3:$C$810,$A31,adj!E$3:E$810)</f>
        <v>0</v>
      </c>
      <c r="R31" s="150">
        <f>SUMIF(adj!$C$3:$C$810,$A31,adj!F$3:F$810)</f>
        <v>0</v>
      </c>
      <c r="S31" s="150">
        <f>SUMIF(adj!$C$3:$C$810,$A31,adj!G$3:G$810)</f>
        <v>0</v>
      </c>
    </row>
    <row r="32" spans="1:19">
      <c r="A32" s="461" t="s">
        <v>3172</v>
      </c>
      <c r="B32" s="510" t="s">
        <v>4364</v>
      </c>
      <c r="C32" s="511" t="s">
        <v>150</v>
      </c>
      <c r="D32" s="428">
        <v>1</v>
      </c>
      <c r="E32" s="444">
        <f t="shared" si="7"/>
        <v>1</v>
      </c>
      <c r="F32" s="684">
        <v>1.1000000000000001</v>
      </c>
      <c r="G32" s="684">
        <v>1.05</v>
      </c>
      <c r="H32" s="133" t="s">
        <v>3030</v>
      </c>
      <c r="I32" s="133"/>
      <c r="J32" s="133"/>
      <c r="K32" s="707">
        <f>IF($C32="R",$D32*(1+R32),$D32+S32)</f>
        <v>1</v>
      </c>
      <c r="L32" s="684">
        <v>1.03</v>
      </c>
      <c r="M32" s="684">
        <v>1.03</v>
      </c>
      <c r="N32" s="133" t="s">
        <v>7414</v>
      </c>
      <c r="O32" s="133"/>
      <c r="P32" s="151">
        <f>COUNTIF(adj!$C$3:$C$74,$A32)</f>
        <v>1</v>
      </c>
      <c r="Q32" s="150">
        <f>SUMIF(adj!$C$3:$C$810,$A32,adj!E$3:E$810)</f>
        <v>0</v>
      </c>
      <c r="R32" s="150">
        <f>SUMIF(adj!$C$3:$C$810,$A32,adj!F$3:F$810)</f>
        <v>0</v>
      </c>
      <c r="S32" s="150">
        <f>SUMIF(adj!$C$3:$C$810,$A32,adj!G$3:G$810)</f>
        <v>0</v>
      </c>
    </row>
    <row r="33" spans="1:19">
      <c r="A33" s="590" t="s">
        <v>3173</v>
      </c>
      <c r="B33" s="510" t="str">
        <f>"LOB1 - "&amp;nmDisc1&amp;" Meetings"</f>
        <v>LOB1 - RN Meetings</v>
      </c>
      <c r="C33" s="511" t="s">
        <v>150</v>
      </c>
      <c r="D33" s="428">
        <v>1</v>
      </c>
      <c r="E33" s="444">
        <f t="shared" ref="E33:E34" si="8">IF($C33="R",$D33*(1+Q33),$D33+Q33)</f>
        <v>1</v>
      </c>
      <c r="F33" s="444">
        <f t="shared" si="4"/>
        <v>1</v>
      </c>
      <c r="G33" s="444">
        <f t="shared" si="4"/>
        <v>1</v>
      </c>
      <c r="H33" s="133" t="s">
        <v>3031</v>
      </c>
      <c r="I33" s="133"/>
      <c r="J33" s="133"/>
      <c r="K33" s="707">
        <f t="shared" ref="K33:K65" si="9">IF($C33="R",$D33*(1+R33),$D33+S33)</f>
        <v>1</v>
      </c>
      <c r="L33" s="444">
        <f t="shared" si="1"/>
        <v>1</v>
      </c>
      <c r="M33" s="444">
        <f t="shared" si="1"/>
        <v>1</v>
      </c>
      <c r="N33" s="133" t="s">
        <v>7415</v>
      </c>
      <c r="O33" s="133"/>
      <c r="P33" s="151">
        <f>COUNTIF(adj!$C$3:$C$74,$A33)</f>
        <v>0</v>
      </c>
      <c r="Q33" s="150">
        <f>SUMIF(adj!$C$3:$C$810,$A33,adj!E$3:E$810)</f>
        <v>0</v>
      </c>
      <c r="R33" s="150">
        <f>SUMIF(adj!$C$3:$C$810,$A33,adj!F$3:F$810)</f>
        <v>0</v>
      </c>
      <c r="S33" s="150">
        <f>SUMIF(adj!$C$3:$C$810,$A33,adj!G$3:G$810)</f>
        <v>0</v>
      </c>
    </row>
    <row r="34" spans="1:19">
      <c r="A34" s="461" t="s">
        <v>3174</v>
      </c>
      <c r="B34" s="510" t="str">
        <f>"LOB1 - "&amp;nmDisc2&amp;" Meetings"</f>
        <v>LOB1 - LPN Meetings</v>
      </c>
      <c r="C34" s="511" t="s">
        <v>150</v>
      </c>
      <c r="D34" s="428">
        <v>1</v>
      </c>
      <c r="E34" s="444">
        <f t="shared" si="8"/>
        <v>1</v>
      </c>
      <c r="F34" s="444">
        <f t="shared" si="4"/>
        <v>1</v>
      </c>
      <c r="G34" s="444">
        <f t="shared" si="4"/>
        <v>1</v>
      </c>
      <c r="H34" s="133" t="s">
        <v>3032</v>
      </c>
      <c r="I34" s="133"/>
      <c r="J34" s="133"/>
      <c r="K34" s="707">
        <f t="shared" si="9"/>
        <v>1</v>
      </c>
      <c r="L34" s="444">
        <f t="shared" si="1"/>
        <v>1</v>
      </c>
      <c r="M34" s="444">
        <f t="shared" si="1"/>
        <v>1</v>
      </c>
      <c r="N34" s="133" t="s">
        <v>7416</v>
      </c>
      <c r="O34" s="133"/>
      <c r="P34" s="151">
        <f>COUNTIF(adj!$C$3:$C$74,$A34)</f>
        <v>0</v>
      </c>
      <c r="Q34" s="150">
        <f>SUMIF(adj!$C$3:$C$810,$A34,adj!E$3:E$810)</f>
        <v>0</v>
      </c>
      <c r="R34" s="150">
        <f>SUMIF(adj!$C$3:$C$810,$A34,adj!F$3:F$810)</f>
        <v>0</v>
      </c>
      <c r="S34" s="150">
        <f>SUMIF(adj!$C$3:$C$810,$A34,adj!G$3:G$810)</f>
        <v>0</v>
      </c>
    </row>
    <row r="35" spans="1:19">
      <c r="A35" s="461" t="s">
        <v>3175</v>
      </c>
      <c r="B35" s="510" t="str">
        <f>"LOB1 - "&amp;nmDisc3&amp;" Meetings"</f>
        <v>LOB1 - PT Meetings</v>
      </c>
      <c r="C35" s="511" t="s">
        <v>150</v>
      </c>
      <c r="D35" s="428">
        <v>1</v>
      </c>
      <c r="E35" s="444">
        <f t="shared" ref="E35:E38" si="10">IF($C35="R",$D35*(1+Q35),$D35+Q35)</f>
        <v>1</v>
      </c>
      <c r="F35" s="444">
        <f t="shared" si="4"/>
        <v>1</v>
      </c>
      <c r="G35" s="444">
        <f t="shared" si="4"/>
        <v>1</v>
      </c>
      <c r="H35" s="133" t="s">
        <v>3033</v>
      </c>
      <c r="I35" s="133"/>
      <c r="J35" s="133"/>
      <c r="K35" s="707">
        <f t="shared" si="9"/>
        <v>1</v>
      </c>
      <c r="L35" s="444">
        <f t="shared" si="1"/>
        <v>1</v>
      </c>
      <c r="M35" s="444">
        <f t="shared" si="1"/>
        <v>1</v>
      </c>
      <c r="N35" s="133" t="s">
        <v>7417</v>
      </c>
      <c r="O35" s="133"/>
      <c r="P35" s="151">
        <f>COUNTIF(adj!$C$3:$C$74,$A35)</f>
        <v>0</v>
      </c>
      <c r="Q35" s="150">
        <f>SUMIF(adj!$C$3:$C$810,$A35,adj!E$3:E$810)</f>
        <v>0</v>
      </c>
      <c r="R35" s="150">
        <f>SUMIF(adj!$C$3:$C$810,$A35,adj!F$3:F$810)</f>
        <v>0</v>
      </c>
      <c r="S35" s="150">
        <f>SUMIF(adj!$C$3:$C$810,$A35,adj!G$3:G$810)</f>
        <v>0</v>
      </c>
    </row>
    <row r="36" spans="1:19">
      <c r="A36" s="461" t="s">
        <v>3176</v>
      </c>
      <c r="B36" s="510" t="str">
        <f>"LOB1 - "&amp;nmDisc4&amp;" Meetings"</f>
        <v>LOB1 - OT Meetings</v>
      </c>
      <c r="C36" s="511" t="s">
        <v>150</v>
      </c>
      <c r="D36" s="428">
        <v>1</v>
      </c>
      <c r="E36" s="444">
        <f t="shared" si="10"/>
        <v>1</v>
      </c>
      <c r="F36" s="444">
        <f t="shared" si="4"/>
        <v>1</v>
      </c>
      <c r="G36" s="444">
        <f t="shared" si="4"/>
        <v>1</v>
      </c>
      <c r="H36" s="133" t="s">
        <v>3034</v>
      </c>
      <c r="I36" s="133"/>
      <c r="J36" s="133"/>
      <c r="K36" s="707">
        <f t="shared" si="9"/>
        <v>1</v>
      </c>
      <c r="L36" s="444">
        <f t="shared" si="1"/>
        <v>1</v>
      </c>
      <c r="M36" s="444">
        <f t="shared" si="1"/>
        <v>1</v>
      </c>
      <c r="N36" s="133" t="s">
        <v>7418</v>
      </c>
      <c r="O36" s="133"/>
      <c r="P36" s="151">
        <f>COUNTIF(adj!$C$3:$C$74,$A36)</f>
        <v>0</v>
      </c>
      <c r="Q36" s="150">
        <f>SUMIF(adj!$C$3:$C$810,$A36,adj!E$3:E$810)</f>
        <v>0</v>
      </c>
      <c r="R36" s="150">
        <f>SUMIF(adj!$C$3:$C$810,$A36,adj!F$3:F$810)</f>
        <v>0</v>
      </c>
      <c r="S36" s="150">
        <f>SUMIF(adj!$C$3:$C$810,$A36,adj!G$3:G$810)</f>
        <v>0</v>
      </c>
    </row>
    <row r="37" spans="1:19">
      <c r="A37" s="461" t="s">
        <v>3177</v>
      </c>
      <c r="B37" s="510" t="str">
        <f>"LOB1 - "&amp;nmDisc1&amp;" Missed"</f>
        <v>LOB1 - RN Missed</v>
      </c>
      <c r="C37" s="511" t="s">
        <v>150</v>
      </c>
      <c r="D37" s="428">
        <v>1</v>
      </c>
      <c r="E37" s="444">
        <f t="shared" si="10"/>
        <v>1</v>
      </c>
      <c r="F37" s="444">
        <f t="shared" si="4"/>
        <v>1</v>
      </c>
      <c r="G37" s="444">
        <f t="shared" si="4"/>
        <v>1</v>
      </c>
      <c r="H37" s="133" t="s">
        <v>3035</v>
      </c>
      <c r="I37" s="133"/>
      <c r="J37" s="133"/>
      <c r="K37" s="707">
        <f t="shared" si="9"/>
        <v>1</v>
      </c>
      <c r="L37" s="444">
        <f t="shared" si="1"/>
        <v>1</v>
      </c>
      <c r="M37" s="444">
        <f t="shared" si="1"/>
        <v>1</v>
      </c>
      <c r="N37" s="133" t="s">
        <v>7419</v>
      </c>
      <c r="O37" s="133"/>
      <c r="P37" s="151">
        <f>COUNTIF(adj!$C$3:$C$74,$A37)</f>
        <v>0</v>
      </c>
      <c r="Q37" s="150">
        <f>SUMIF(adj!$C$3:$C$810,$A37,adj!E$3:E$810)</f>
        <v>0</v>
      </c>
      <c r="R37" s="150">
        <f>SUMIF(adj!$C$3:$C$810,$A37,adj!F$3:F$810)</f>
        <v>0</v>
      </c>
      <c r="S37" s="150">
        <f>SUMIF(adj!$C$3:$C$810,$A37,adj!G$3:G$810)</f>
        <v>0</v>
      </c>
    </row>
    <row r="38" spans="1:19">
      <c r="A38" s="461" t="s">
        <v>3178</v>
      </c>
      <c r="B38" s="510" t="str">
        <f>"LOB1 - "&amp;nmDisc2&amp;" Missed"</f>
        <v>LOB1 - LPN Missed</v>
      </c>
      <c r="C38" s="511" t="s">
        <v>150</v>
      </c>
      <c r="D38" s="428">
        <v>1</v>
      </c>
      <c r="E38" s="444">
        <f t="shared" si="10"/>
        <v>1</v>
      </c>
      <c r="F38" s="444">
        <f t="shared" si="4"/>
        <v>1</v>
      </c>
      <c r="G38" s="444">
        <f t="shared" si="4"/>
        <v>1</v>
      </c>
      <c r="H38" s="133" t="s">
        <v>3036</v>
      </c>
      <c r="I38" s="133"/>
      <c r="J38" s="133"/>
      <c r="K38" s="707">
        <f t="shared" si="9"/>
        <v>1</v>
      </c>
      <c r="L38" s="444">
        <f t="shared" si="1"/>
        <v>1</v>
      </c>
      <c r="M38" s="444">
        <f t="shared" si="1"/>
        <v>1</v>
      </c>
      <c r="N38" s="133" t="s">
        <v>7420</v>
      </c>
      <c r="O38" s="133"/>
      <c r="P38" s="151">
        <f>COUNTIF(adj!$C$3:$C$74,$A38)</f>
        <v>0</v>
      </c>
      <c r="Q38" s="150">
        <f>SUMIF(adj!$C$3:$C$810,$A38,adj!E$3:E$810)</f>
        <v>0</v>
      </c>
      <c r="R38" s="150">
        <f>SUMIF(adj!$C$3:$C$810,$A38,adj!F$3:F$810)</f>
        <v>0</v>
      </c>
      <c r="S38" s="150">
        <f>SUMIF(adj!$C$3:$C$810,$A38,adj!G$3:G$810)</f>
        <v>0</v>
      </c>
    </row>
    <row r="39" spans="1:19">
      <c r="A39" s="461" t="s">
        <v>3179</v>
      </c>
      <c r="B39" s="510" t="str">
        <f>"LOB1 - "&amp;nmDisc3&amp;" Missed"</f>
        <v>LOB1 - PT Missed</v>
      </c>
      <c r="C39" s="511" t="s">
        <v>150</v>
      </c>
      <c r="D39" s="428">
        <v>1</v>
      </c>
      <c r="E39" s="444">
        <f t="shared" ref="E39:E40" si="11">IF($C39="R",$D39*(1+Q39),$D39+Q39)</f>
        <v>1</v>
      </c>
      <c r="F39" s="444">
        <f t="shared" si="4"/>
        <v>1</v>
      </c>
      <c r="G39" s="444">
        <f t="shared" si="4"/>
        <v>1</v>
      </c>
      <c r="H39" s="133" t="s">
        <v>3037</v>
      </c>
      <c r="I39" s="133"/>
      <c r="J39" s="133"/>
      <c r="K39" s="707">
        <f t="shared" si="9"/>
        <v>1</v>
      </c>
      <c r="L39" s="444">
        <f t="shared" si="1"/>
        <v>1</v>
      </c>
      <c r="M39" s="444">
        <f t="shared" si="1"/>
        <v>1</v>
      </c>
      <c r="N39" s="133" t="s">
        <v>7421</v>
      </c>
      <c r="O39" s="133"/>
      <c r="P39" s="151">
        <f>COUNTIF(adj!$C$3:$C$74,$A39)</f>
        <v>0</v>
      </c>
      <c r="Q39" s="150">
        <f>SUMIF(adj!$C$3:$C$810,$A39,adj!E$3:E$810)</f>
        <v>0</v>
      </c>
      <c r="R39" s="150">
        <f>SUMIF(adj!$C$3:$C$810,$A39,adj!F$3:F$810)</f>
        <v>0</v>
      </c>
      <c r="S39" s="150">
        <f>SUMIF(adj!$C$3:$C$810,$A39,adj!G$3:G$810)</f>
        <v>0</v>
      </c>
    </row>
    <row r="40" spans="1:19">
      <c r="A40" s="461" t="s">
        <v>3180</v>
      </c>
      <c r="B40" s="510" t="str">
        <f>"LOB1 - "&amp;nmDisc4&amp;" Missed"</f>
        <v>LOB1 - OT Missed</v>
      </c>
      <c r="C40" s="511" t="s">
        <v>150</v>
      </c>
      <c r="D40" s="428">
        <v>1</v>
      </c>
      <c r="E40" s="444">
        <f t="shared" si="11"/>
        <v>1</v>
      </c>
      <c r="F40" s="444">
        <f t="shared" si="4"/>
        <v>1</v>
      </c>
      <c r="G40" s="444">
        <f t="shared" si="4"/>
        <v>1</v>
      </c>
      <c r="H40" s="133" t="s">
        <v>3038</v>
      </c>
      <c r="I40" s="133"/>
      <c r="J40" s="133"/>
      <c r="K40" s="707">
        <f t="shared" si="9"/>
        <v>1</v>
      </c>
      <c r="L40" s="444">
        <f t="shared" si="1"/>
        <v>1</v>
      </c>
      <c r="M40" s="444">
        <f t="shared" si="1"/>
        <v>1</v>
      </c>
      <c r="N40" s="133" t="s">
        <v>7422</v>
      </c>
      <c r="O40" s="133"/>
      <c r="P40" s="151">
        <f>COUNTIF(adj!$C$3:$C$74,$A40)</f>
        <v>0</v>
      </c>
      <c r="Q40" s="150">
        <f>SUMIF(adj!$C$3:$C$810,$A40,adj!E$3:E$810)</f>
        <v>0</v>
      </c>
      <c r="R40" s="150">
        <f>SUMIF(adj!$C$3:$C$810,$A40,adj!F$3:F$810)</f>
        <v>0</v>
      </c>
      <c r="S40" s="150">
        <f>SUMIF(adj!$C$3:$C$810,$A40,adj!G$3:G$810)</f>
        <v>0</v>
      </c>
    </row>
    <row r="41" spans="1:19">
      <c r="A41" s="461" t="s">
        <v>3181</v>
      </c>
      <c r="B41" s="510" t="s">
        <v>3182</v>
      </c>
      <c r="C41" s="511" t="s">
        <v>150</v>
      </c>
      <c r="D41" s="428">
        <v>1</v>
      </c>
      <c r="E41" s="444">
        <f t="shared" ref="E41:E42" si="12">IF($C41="R",$D41*(1+Q41),$D41+Q41)</f>
        <v>1</v>
      </c>
      <c r="F41" s="444">
        <f t="shared" si="4"/>
        <v>1</v>
      </c>
      <c r="G41" s="444">
        <f t="shared" si="4"/>
        <v>1</v>
      </c>
      <c r="H41" s="133" t="s">
        <v>3039</v>
      </c>
      <c r="I41" s="133"/>
      <c r="J41" s="133"/>
      <c r="K41" s="444">
        <f t="shared" si="0"/>
        <v>1</v>
      </c>
      <c r="L41" s="444">
        <f t="shared" si="1"/>
        <v>1</v>
      </c>
      <c r="M41" s="444">
        <f t="shared" si="1"/>
        <v>1</v>
      </c>
      <c r="N41" s="133" t="s">
        <v>7423</v>
      </c>
      <c r="O41" s="133"/>
      <c r="P41" s="151">
        <f>COUNTIF(adj!$C$3:$C$74,$A41)</f>
        <v>0</v>
      </c>
      <c r="Q41" s="150">
        <f>SUMIF(adj!$C$3:$C$810,$A41,adj!E$3:E$810)</f>
        <v>0</v>
      </c>
      <c r="R41" s="150">
        <f>SUMIF(adj!$C$3:$C$810,$A41,adj!F$3:F$810)</f>
        <v>0</v>
      </c>
      <c r="S41" s="150">
        <f>SUMIF(adj!$C$3:$C$810,$A41,adj!G$3:G$810)</f>
        <v>0</v>
      </c>
    </row>
    <row r="42" spans="1:19">
      <c r="A42" s="461" t="s">
        <v>3992</v>
      </c>
      <c r="B42" s="510" t="s">
        <v>3183</v>
      </c>
      <c r="C42" s="511" t="s">
        <v>150</v>
      </c>
      <c r="D42" s="428">
        <v>1</v>
      </c>
      <c r="E42" s="444">
        <f t="shared" si="12"/>
        <v>1</v>
      </c>
      <c r="F42" s="444">
        <f t="shared" si="4"/>
        <v>1</v>
      </c>
      <c r="G42" s="444">
        <f t="shared" si="4"/>
        <v>1</v>
      </c>
      <c r="H42" s="133" t="s">
        <v>3040</v>
      </c>
      <c r="I42" s="133"/>
      <c r="J42" s="133"/>
      <c r="K42" s="707">
        <f t="shared" si="9"/>
        <v>1</v>
      </c>
      <c r="L42" s="444">
        <f t="shared" si="1"/>
        <v>1</v>
      </c>
      <c r="M42" s="444">
        <f t="shared" si="1"/>
        <v>1</v>
      </c>
      <c r="N42" s="133" t="s">
        <v>7424</v>
      </c>
      <c r="O42" s="133"/>
      <c r="P42" s="151">
        <f>COUNTIF(adj!$C$3:$C$74,$A42)</f>
        <v>1</v>
      </c>
      <c r="Q42" s="150">
        <f>SUMIF(adj!$C$3:$C$810,$A42,adj!E$3:E$810)</f>
        <v>0</v>
      </c>
      <c r="R42" s="150">
        <f>SUMIF(adj!$C$3:$C$810,$A42,adj!F$3:F$810)</f>
        <v>0</v>
      </c>
      <c r="S42" s="150">
        <f>SUMIF(adj!$C$3:$C$810,$A42,adj!G$3:G$810)</f>
        <v>0</v>
      </c>
    </row>
    <row r="43" spans="1:19">
      <c r="A43" s="461" t="s">
        <v>4138</v>
      </c>
      <c r="B43" s="510" t="s">
        <v>3184</v>
      </c>
      <c r="C43" s="511" t="s">
        <v>150</v>
      </c>
      <c r="D43" s="428">
        <v>1</v>
      </c>
      <c r="E43" s="444">
        <f t="shared" ref="E43:E44" si="13">IF($C43="R",$D43*(1+Q43),$D43+Q43)</f>
        <v>1</v>
      </c>
      <c r="F43" s="444">
        <f t="shared" si="4"/>
        <v>1</v>
      </c>
      <c r="G43" s="444">
        <f t="shared" si="4"/>
        <v>1</v>
      </c>
      <c r="H43" s="133" t="s">
        <v>3041</v>
      </c>
      <c r="I43" s="133"/>
      <c r="J43" s="133"/>
      <c r="K43" s="707">
        <f t="shared" si="9"/>
        <v>1</v>
      </c>
      <c r="L43" s="444">
        <f t="shared" si="1"/>
        <v>1</v>
      </c>
      <c r="M43" s="444">
        <f t="shared" si="1"/>
        <v>1</v>
      </c>
      <c r="N43" s="133" t="s">
        <v>7425</v>
      </c>
      <c r="O43" s="133"/>
      <c r="P43" s="151">
        <f>COUNTIF(adj!$C$3:$C$74,$A43)</f>
        <v>1</v>
      </c>
      <c r="Q43" s="150">
        <f>SUMIF(adj!$C$3:$C$810,$A43,adj!E$3:E$810)</f>
        <v>0</v>
      </c>
      <c r="R43" s="150">
        <f>SUMIF(adj!$C$3:$C$810,$A43,adj!F$3:F$810)</f>
        <v>0</v>
      </c>
      <c r="S43" s="150">
        <f>SUMIF(adj!$C$3:$C$810,$A43,adj!G$3:G$810)</f>
        <v>0</v>
      </c>
    </row>
    <row r="44" spans="1:19">
      <c r="A44" s="461" t="s">
        <v>4139</v>
      </c>
      <c r="B44" s="510" t="s">
        <v>3185</v>
      </c>
      <c r="C44" s="511" t="s">
        <v>150</v>
      </c>
      <c r="D44" s="428">
        <v>1</v>
      </c>
      <c r="E44" s="444">
        <f t="shared" si="13"/>
        <v>1</v>
      </c>
      <c r="F44" s="444">
        <f t="shared" si="4"/>
        <v>1</v>
      </c>
      <c r="G44" s="444">
        <f t="shared" si="4"/>
        <v>1</v>
      </c>
      <c r="H44" s="133" t="s">
        <v>3042</v>
      </c>
      <c r="I44" s="133"/>
      <c r="J44" s="133"/>
      <c r="K44" s="707">
        <f t="shared" si="9"/>
        <v>1</v>
      </c>
      <c r="L44" s="444">
        <f t="shared" si="1"/>
        <v>1</v>
      </c>
      <c r="M44" s="444">
        <f t="shared" si="1"/>
        <v>1</v>
      </c>
      <c r="N44" s="133" t="s">
        <v>7426</v>
      </c>
      <c r="O44" s="133"/>
      <c r="P44" s="151">
        <f>COUNTIF(adj!$C$3:$C$74,$A44)</f>
        <v>1</v>
      </c>
      <c r="Q44" s="150">
        <f>SUMIF(adj!$C$3:$C$810,$A44,adj!E$3:E$810)</f>
        <v>0</v>
      </c>
      <c r="R44" s="150">
        <f>SUMIF(adj!$C$3:$C$810,$A44,adj!F$3:F$810)</f>
        <v>0</v>
      </c>
      <c r="S44" s="150">
        <f>SUMIF(adj!$C$3:$C$810,$A44,adj!G$3:G$810)</f>
        <v>0</v>
      </c>
    </row>
    <row r="45" spans="1:19">
      <c r="A45" s="461" t="s">
        <v>4140</v>
      </c>
      <c r="B45" s="510" t="s">
        <v>3186</v>
      </c>
      <c r="C45" s="511" t="s">
        <v>150</v>
      </c>
      <c r="D45" s="428">
        <v>1</v>
      </c>
      <c r="E45" s="444">
        <f t="shared" ref="E45:E46" si="14">IF($C45="R",$D45*(1+Q45),$D45+Q45)</f>
        <v>1</v>
      </c>
      <c r="F45" s="444">
        <f t="shared" si="4"/>
        <v>1</v>
      </c>
      <c r="G45" s="444">
        <f t="shared" si="4"/>
        <v>1</v>
      </c>
      <c r="H45" s="133" t="s">
        <v>3043</v>
      </c>
      <c r="I45" s="133"/>
      <c r="J45" s="133"/>
      <c r="K45" s="707">
        <f t="shared" si="9"/>
        <v>1</v>
      </c>
      <c r="L45" s="444">
        <f t="shared" si="1"/>
        <v>1</v>
      </c>
      <c r="M45" s="444">
        <f t="shared" si="1"/>
        <v>1</v>
      </c>
      <c r="N45" s="133" t="s">
        <v>7427</v>
      </c>
      <c r="O45" s="133"/>
      <c r="P45" s="151">
        <f>COUNTIF(adj!$C$3:$C$74,$A45)</f>
        <v>1</v>
      </c>
      <c r="Q45" s="150">
        <f>SUMIF(adj!$C$3:$C$810,$A45,adj!E$3:E$810)</f>
        <v>0</v>
      </c>
      <c r="R45" s="150">
        <f>SUMIF(adj!$C$3:$C$810,$A45,adj!F$3:F$810)</f>
        <v>0</v>
      </c>
      <c r="S45" s="150">
        <f>SUMIF(adj!$C$3:$C$810,$A45,adj!G$3:G$810)</f>
        <v>0</v>
      </c>
    </row>
    <row r="46" spans="1:19">
      <c r="A46" s="461" t="s">
        <v>4141</v>
      </c>
      <c r="B46" s="510" t="s">
        <v>3187</v>
      </c>
      <c r="C46" s="511" t="s">
        <v>150</v>
      </c>
      <c r="D46" s="428">
        <v>1</v>
      </c>
      <c r="E46" s="444">
        <f t="shared" si="14"/>
        <v>1</v>
      </c>
      <c r="F46" s="444">
        <f t="shared" si="4"/>
        <v>1</v>
      </c>
      <c r="G46" s="444">
        <f t="shared" si="4"/>
        <v>1</v>
      </c>
      <c r="H46" s="133" t="s">
        <v>3044</v>
      </c>
      <c r="I46" s="133"/>
      <c r="J46" s="133"/>
      <c r="K46" s="707">
        <f t="shared" si="9"/>
        <v>1</v>
      </c>
      <c r="L46" s="444">
        <f t="shared" si="1"/>
        <v>1</v>
      </c>
      <c r="M46" s="444">
        <f t="shared" si="1"/>
        <v>1</v>
      </c>
      <c r="N46" s="133" t="s">
        <v>7428</v>
      </c>
      <c r="O46" s="133"/>
      <c r="P46" s="151">
        <f>COUNTIF(adj!$C$3:$C$74,$A46)</f>
        <v>1</v>
      </c>
      <c r="Q46" s="150">
        <f>SUMIF(adj!$C$3:$C$810,$A46,adj!E$3:E$810)</f>
        <v>0</v>
      </c>
      <c r="R46" s="150">
        <f>SUMIF(adj!$C$3:$C$810,$A46,adj!F$3:F$810)</f>
        <v>0</v>
      </c>
      <c r="S46" s="150">
        <f>SUMIF(adj!$C$3:$C$810,$A46,adj!G$3:G$810)</f>
        <v>0</v>
      </c>
    </row>
    <row r="47" spans="1:19">
      <c r="A47" s="461" t="s">
        <v>4142</v>
      </c>
      <c r="B47" s="510" t="s">
        <v>3188</v>
      </c>
      <c r="C47" s="511" t="s">
        <v>150</v>
      </c>
      <c r="D47" s="428">
        <v>1</v>
      </c>
      <c r="E47" s="444">
        <f t="shared" ref="E47:E48" si="15">IF($C47="R",$D47*(1+Q47),$D47+Q47)</f>
        <v>1</v>
      </c>
      <c r="F47" s="444">
        <f t="shared" si="4"/>
        <v>1</v>
      </c>
      <c r="G47" s="444">
        <f t="shared" si="4"/>
        <v>1</v>
      </c>
      <c r="H47" s="133" t="s">
        <v>3045</v>
      </c>
      <c r="I47" s="133"/>
      <c r="J47" s="133"/>
      <c r="K47" s="707">
        <f t="shared" si="9"/>
        <v>1</v>
      </c>
      <c r="L47" s="444">
        <f t="shared" si="1"/>
        <v>1</v>
      </c>
      <c r="M47" s="444">
        <f t="shared" si="1"/>
        <v>1</v>
      </c>
      <c r="N47" s="133" t="s">
        <v>7429</v>
      </c>
      <c r="O47" s="133"/>
      <c r="P47" s="151">
        <f>COUNTIF(adj!$C$3:$C$74,$A47)</f>
        <v>1</v>
      </c>
      <c r="Q47" s="150">
        <f>SUMIF(adj!$C$3:$C$810,$A47,adj!E$3:E$810)</f>
        <v>0</v>
      </c>
      <c r="R47" s="150">
        <f>SUMIF(adj!$C$3:$C$810,$A47,adj!F$3:F$810)</f>
        <v>0</v>
      </c>
      <c r="S47" s="150">
        <f>SUMIF(adj!$C$3:$C$810,$A47,adj!G$3:G$810)</f>
        <v>0</v>
      </c>
    </row>
    <row r="48" spans="1:19">
      <c r="A48" s="461" t="s">
        <v>4143</v>
      </c>
      <c r="B48" s="510" t="s">
        <v>3189</v>
      </c>
      <c r="C48" s="511" t="s">
        <v>150</v>
      </c>
      <c r="D48" s="428">
        <v>1</v>
      </c>
      <c r="E48" s="444">
        <f t="shared" si="15"/>
        <v>1</v>
      </c>
      <c r="F48" s="444">
        <f t="shared" si="4"/>
        <v>1</v>
      </c>
      <c r="G48" s="444">
        <f t="shared" si="4"/>
        <v>1</v>
      </c>
      <c r="H48" s="133" t="s">
        <v>3046</v>
      </c>
      <c r="I48" s="133"/>
      <c r="J48" s="133"/>
      <c r="K48" s="707">
        <f t="shared" si="9"/>
        <v>1</v>
      </c>
      <c r="L48" s="444">
        <f t="shared" si="1"/>
        <v>1</v>
      </c>
      <c r="M48" s="444">
        <f t="shared" si="1"/>
        <v>1</v>
      </c>
      <c r="N48" s="133" t="s">
        <v>7430</v>
      </c>
      <c r="O48" s="133"/>
      <c r="P48" s="151">
        <f>COUNTIF(adj!$C$3:$C$74,$A48)</f>
        <v>1</v>
      </c>
      <c r="Q48" s="150">
        <f>SUMIF(adj!$C$3:$C$810,$A48,adj!E$3:E$810)</f>
        <v>0</v>
      </c>
      <c r="R48" s="150">
        <f>SUMIF(adj!$C$3:$C$810,$A48,adj!F$3:F$810)</f>
        <v>0</v>
      </c>
      <c r="S48" s="150">
        <f>SUMIF(adj!$C$3:$C$810,$A48,adj!G$3:G$810)</f>
        <v>0</v>
      </c>
    </row>
    <row r="49" spans="1:19">
      <c r="A49" s="461" t="s">
        <v>4144</v>
      </c>
      <c r="B49" s="510" t="s">
        <v>3190</v>
      </c>
      <c r="C49" s="511" t="s">
        <v>150</v>
      </c>
      <c r="D49" s="428">
        <v>1</v>
      </c>
      <c r="E49" s="444">
        <f t="shared" ref="E49:E50" si="16">IF($C49="R",$D49*(1+Q49),$D49+Q49)</f>
        <v>1</v>
      </c>
      <c r="F49" s="444">
        <f t="shared" si="4"/>
        <v>1</v>
      </c>
      <c r="G49" s="444">
        <f t="shared" si="4"/>
        <v>1</v>
      </c>
      <c r="H49" s="133" t="s">
        <v>3047</v>
      </c>
      <c r="I49" s="133"/>
      <c r="J49" s="133"/>
      <c r="K49" s="707">
        <f t="shared" si="9"/>
        <v>1</v>
      </c>
      <c r="L49" s="444">
        <f t="shared" si="1"/>
        <v>1</v>
      </c>
      <c r="M49" s="444">
        <f t="shared" si="1"/>
        <v>1</v>
      </c>
      <c r="N49" s="133" t="s">
        <v>7431</v>
      </c>
      <c r="O49" s="133"/>
      <c r="P49" s="151">
        <f>COUNTIF(adj!$C$3:$C$74,$A49)</f>
        <v>1</v>
      </c>
      <c r="Q49" s="150">
        <f>SUMIF(adj!$C$3:$C$810,$A49,adj!E$3:E$810)</f>
        <v>0</v>
      </c>
      <c r="R49" s="150">
        <f>SUMIF(adj!$C$3:$C$810,$A49,adj!F$3:F$810)</f>
        <v>0</v>
      </c>
      <c r="S49" s="150">
        <f>SUMIF(adj!$C$3:$C$810,$A49,adj!G$3:G$810)</f>
        <v>0</v>
      </c>
    </row>
    <row r="50" spans="1:19">
      <c r="A50" s="461" t="s">
        <v>4145</v>
      </c>
      <c r="B50" s="510" t="s">
        <v>3191</v>
      </c>
      <c r="C50" s="511" t="s">
        <v>150</v>
      </c>
      <c r="D50" s="428">
        <v>1</v>
      </c>
      <c r="E50" s="444">
        <f t="shared" si="16"/>
        <v>1</v>
      </c>
      <c r="F50" s="444">
        <f t="shared" si="4"/>
        <v>1</v>
      </c>
      <c r="G50" s="444">
        <f t="shared" si="4"/>
        <v>1</v>
      </c>
      <c r="H50" s="133" t="s">
        <v>3048</v>
      </c>
      <c r="I50" s="133"/>
      <c r="J50" s="133"/>
      <c r="K50" s="707">
        <f t="shared" si="9"/>
        <v>1</v>
      </c>
      <c r="L50" s="444">
        <f t="shared" si="1"/>
        <v>1</v>
      </c>
      <c r="M50" s="444">
        <f t="shared" si="1"/>
        <v>1</v>
      </c>
      <c r="N50" s="133" t="s">
        <v>7432</v>
      </c>
      <c r="O50" s="133"/>
      <c r="P50" s="151">
        <f>COUNTIF(adj!$C$3:$C$74,$A50)</f>
        <v>1</v>
      </c>
      <c r="Q50" s="150">
        <f>SUMIF(adj!$C$3:$C$810,$A50,adj!E$3:E$810)</f>
        <v>0</v>
      </c>
      <c r="R50" s="150">
        <f>SUMIF(adj!$C$3:$C$810,$A50,adj!F$3:F$810)</f>
        <v>0</v>
      </c>
      <c r="S50" s="150">
        <f>SUMIF(adj!$C$3:$C$810,$A50,adj!G$3:G$810)</f>
        <v>0</v>
      </c>
    </row>
    <row r="51" spans="1:19">
      <c r="A51" s="461" t="s">
        <v>4146</v>
      </c>
      <c r="B51" s="510" t="s">
        <v>3192</v>
      </c>
      <c r="C51" s="511" t="s">
        <v>150</v>
      </c>
      <c r="D51" s="428">
        <v>1</v>
      </c>
      <c r="E51" s="444">
        <f t="shared" ref="E51:E52" si="17">IF($C51="R",$D51*(1+Q51),$D51+Q51)</f>
        <v>1</v>
      </c>
      <c r="F51" s="444">
        <f t="shared" ref="F51:G82" si="18">$D51</f>
        <v>1</v>
      </c>
      <c r="G51" s="444">
        <f t="shared" si="18"/>
        <v>1</v>
      </c>
      <c r="H51" s="133" t="s">
        <v>3049</v>
      </c>
      <c r="I51" s="133"/>
      <c r="J51" s="133"/>
      <c r="K51" s="707">
        <f t="shared" si="9"/>
        <v>1</v>
      </c>
      <c r="L51" s="444">
        <f t="shared" si="1"/>
        <v>1</v>
      </c>
      <c r="M51" s="444">
        <f t="shared" si="1"/>
        <v>1</v>
      </c>
      <c r="N51" s="133" t="s">
        <v>7433</v>
      </c>
      <c r="O51" s="133"/>
      <c r="P51" s="151">
        <f>COUNTIF(adj!$C$3:$C$74,$A51)</f>
        <v>1</v>
      </c>
      <c r="Q51" s="150">
        <f>SUMIF(adj!$C$3:$C$810,$A51,adj!E$3:E$810)</f>
        <v>0</v>
      </c>
      <c r="R51" s="150">
        <f>SUMIF(adj!$C$3:$C$810,$A51,adj!F$3:F$810)</f>
        <v>0</v>
      </c>
      <c r="S51" s="150">
        <f>SUMIF(adj!$C$3:$C$810,$A51,adj!G$3:G$810)</f>
        <v>0</v>
      </c>
    </row>
    <row r="52" spans="1:19">
      <c r="A52" s="461" t="s">
        <v>4147</v>
      </c>
      <c r="B52" s="510" t="s">
        <v>3193</v>
      </c>
      <c r="C52" s="511" t="s">
        <v>150</v>
      </c>
      <c r="D52" s="428">
        <v>1</v>
      </c>
      <c r="E52" s="444">
        <f t="shared" si="17"/>
        <v>1</v>
      </c>
      <c r="F52" s="444">
        <f t="shared" si="18"/>
        <v>1</v>
      </c>
      <c r="G52" s="444">
        <f t="shared" si="18"/>
        <v>1</v>
      </c>
      <c r="H52" s="133" t="s">
        <v>3050</v>
      </c>
      <c r="I52" s="133"/>
      <c r="J52" s="133"/>
      <c r="K52" s="707">
        <f t="shared" si="9"/>
        <v>1</v>
      </c>
      <c r="L52" s="444">
        <f t="shared" si="1"/>
        <v>1</v>
      </c>
      <c r="M52" s="444">
        <f t="shared" si="1"/>
        <v>1</v>
      </c>
      <c r="N52" s="133" t="s">
        <v>7434</v>
      </c>
      <c r="O52" s="133"/>
      <c r="P52" s="151">
        <f>COUNTIF(adj!$C$3:$C$74,$A52)</f>
        <v>1</v>
      </c>
      <c r="Q52" s="150">
        <f>SUMIF(adj!$C$3:$C$810,$A52,adj!E$3:E$810)</f>
        <v>0</v>
      </c>
      <c r="R52" s="150">
        <f>SUMIF(adj!$C$3:$C$810,$A52,adj!F$3:F$810)</f>
        <v>0</v>
      </c>
      <c r="S52" s="150">
        <f>SUMIF(adj!$C$3:$C$810,$A52,adj!G$3:G$810)</f>
        <v>0</v>
      </c>
    </row>
    <row r="53" spans="1:19">
      <c r="A53" s="461" t="s">
        <v>4148</v>
      </c>
      <c r="B53" s="510" t="s">
        <v>3194</v>
      </c>
      <c r="C53" s="511" t="s">
        <v>150</v>
      </c>
      <c r="D53" s="428">
        <v>1</v>
      </c>
      <c r="E53" s="444">
        <f t="shared" ref="E53:E64" si="19">IF($C53="R",$D53*(1+Q53),$D53+Q53)</f>
        <v>1</v>
      </c>
      <c r="F53" s="444">
        <f t="shared" si="18"/>
        <v>1</v>
      </c>
      <c r="G53" s="444">
        <f t="shared" si="18"/>
        <v>1</v>
      </c>
      <c r="H53" s="133" t="s">
        <v>3051</v>
      </c>
      <c r="I53" s="133"/>
      <c r="J53" s="133"/>
      <c r="K53" s="707">
        <f t="shared" si="9"/>
        <v>1</v>
      </c>
      <c r="L53" s="444">
        <f t="shared" si="1"/>
        <v>1</v>
      </c>
      <c r="M53" s="444">
        <f t="shared" si="1"/>
        <v>1</v>
      </c>
      <c r="N53" s="133" t="s">
        <v>7435</v>
      </c>
      <c r="O53" s="133"/>
      <c r="P53" s="151">
        <f>COUNTIF(adj!$C$3:$C$74,$A53)</f>
        <v>1</v>
      </c>
      <c r="Q53" s="150">
        <f>SUMIF(adj!$C$3:$C$810,$A53,adj!E$3:E$810)</f>
        <v>0</v>
      </c>
      <c r="R53" s="150">
        <f>SUMIF(adj!$C$3:$C$810,$A53,adj!F$3:F$810)</f>
        <v>0</v>
      </c>
      <c r="S53" s="150">
        <f>SUMIF(adj!$C$3:$C$810,$A53,adj!G$3:G$810)</f>
        <v>0</v>
      </c>
    </row>
    <row r="54" spans="1:19">
      <c r="A54" s="461" t="s">
        <v>4149</v>
      </c>
      <c r="B54" s="510" t="s">
        <v>3195</v>
      </c>
      <c r="C54" s="511" t="s">
        <v>150</v>
      </c>
      <c r="D54" s="428">
        <v>1</v>
      </c>
      <c r="E54" s="444">
        <f t="shared" si="19"/>
        <v>1</v>
      </c>
      <c r="F54" s="444">
        <f t="shared" si="18"/>
        <v>1</v>
      </c>
      <c r="G54" s="444">
        <f t="shared" si="18"/>
        <v>1</v>
      </c>
      <c r="H54" s="133" t="s">
        <v>3052</v>
      </c>
      <c r="I54" s="133"/>
      <c r="J54" s="133"/>
      <c r="K54" s="707">
        <f t="shared" si="9"/>
        <v>1</v>
      </c>
      <c r="L54" s="444">
        <f t="shared" si="1"/>
        <v>1</v>
      </c>
      <c r="M54" s="444">
        <f t="shared" si="1"/>
        <v>1</v>
      </c>
      <c r="N54" s="133" t="s">
        <v>7436</v>
      </c>
      <c r="O54" s="133"/>
      <c r="P54" s="151">
        <f>COUNTIF(adj!$C$3:$C$74,$A54)</f>
        <v>1</v>
      </c>
      <c r="Q54" s="150">
        <f>SUMIF(adj!$C$3:$C$810,$A54,adj!E$3:E$810)</f>
        <v>0</v>
      </c>
      <c r="R54" s="150">
        <f>SUMIF(adj!$C$3:$C$810,$A54,adj!F$3:F$810)</f>
        <v>0</v>
      </c>
      <c r="S54" s="150">
        <f>SUMIF(adj!$C$3:$C$810,$A54,adj!G$3:G$810)</f>
        <v>0</v>
      </c>
    </row>
    <row r="55" spans="1:19">
      <c r="A55" s="461" t="s">
        <v>4150</v>
      </c>
      <c r="B55" s="510" t="s">
        <v>3196</v>
      </c>
      <c r="C55" s="511" t="s">
        <v>150</v>
      </c>
      <c r="D55" s="428">
        <v>1</v>
      </c>
      <c r="E55" s="444">
        <f t="shared" si="19"/>
        <v>1</v>
      </c>
      <c r="F55" s="444">
        <f t="shared" si="18"/>
        <v>1</v>
      </c>
      <c r="G55" s="444">
        <f t="shared" si="18"/>
        <v>1</v>
      </c>
      <c r="H55" s="133" t="s">
        <v>3053</v>
      </c>
      <c r="I55" s="133"/>
      <c r="J55" s="133"/>
      <c r="K55" s="707">
        <f t="shared" si="9"/>
        <v>1</v>
      </c>
      <c r="L55" s="444">
        <f t="shared" si="1"/>
        <v>1</v>
      </c>
      <c r="M55" s="444">
        <f t="shared" si="1"/>
        <v>1</v>
      </c>
      <c r="N55" s="133" t="s">
        <v>7437</v>
      </c>
      <c r="O55" s="133"/>
      <c r="P55" s="151">
        <f>COUNTIF(adj!$C$3:$C$74,$A55)</f>
        <v>1</v>
      </c>
      <c r="Q55" s="150">
        <f>SUMIF(adj!$C$3:$C$810,$A55,adj!E$3:E$810)</f>
        <v>0</v>
      </c>
      <c r="R55" s="150">
        <f>SUMIF(adj!$C$3:$C$810,$A55,adj!F$3:F$810)</f>
        <v>0</v>
      </c>
      <c r="S55" s="150">
        <f>SUMIF(adj!$C$3:$C$810,$A55,adj!G$3:G$810)</f>
        <v>0</v>
      </c>
    </row>
    <row r="56" spans="1:19">
      <c r="A56" s="461" t="s">
        <v>4151</v>
      </c>
      <c r="B56" s="510" t="s">
        <v>3197</v>
      </c>
      <c r="C56" s="511" t="s">
        <v>150</v>
      </c>
      <c r="D56" s="428">
        <v>1</v>
      </c>
      <c r="E56" s="444">
        <f t="shared" si="19"/>
        <v>1</v>
      </c>
      <c r="F56" s="444">
        <f t="shared" si="18"/>
        <v>1</v>
      </c>
      <c r="G56" s="444">
        <f t="shared" si="18"/>
        <v>1</v>
      </c>
      <c r="H56" s="133" t="s">
        <v>3054</v>
      </c>
      <c r="I56" s="133"/>
      <c r="J56" s="133"/>
      <c r="K56" s="707">
        <f t="shared" si="9"/>
        <v>1</v>
      </c>
      <c r="L56" s="444">
        <f t="shared" si="1"/>
        <v>1</v>
      </c>
      <c r="M56" s="444">
        <f t="shared" si="1"/>
        <v>1</v>
      </c>
      <c r="N56" s="133" t="s">
        <v>7438</v>
      </c>
      <c r="O56" s="133"/>
      <c r="P56" s="151">
        <f>COUNTIF(adj!$C$3:$C$74,$A56)</f>
        <v>0</v>
      </c>
      <c r="Q56" s="150">
        <f>SUMIF(adj!$C$3:$C$810,$A56,adj!E$3:E$810)</f>
        <v>0</v>
      </c>
      <c r="R56" s="150">
        <f>SUMIF(adj!$C$3:$C$810,$A56,adj!F$3:F$810)</f>
        <v>0</v>
      </c>
      <c r="S56" s="150">
        <f>SUMIF(adj!$C$3:$C$810,$A56,adj!G$3:G$810)</f>
        <v>0</v>
      </c>
    </row>
    <row r="57" spans="1:19">
      <c r="A57" s="461" t="s">
        <v>4152</v>
      </c>
      <c r="B57" s="510" t="s">
        <v>3198</v>
      </c>
      <c r="C57" s="511" t="s">
        <v>150</v>
      </c>
      <c r="D57" s="428">
        <v>1</v>
      </c>
      <c r="E57" s="444">
        <f t="shared" si="19"/>
        <v>1</v>
      </c>
      <c r="F57" s="444">
        <f t="shared" si="18"/>
        <v>1</v>
      </c>
      <c r="G57" s="444">
        <f t="shared" si="18"/>
        <v>1</v>
      </c>
      <c r="H57" s="133" t="s">
        <v>3055</v>
      </c>
      <c r="I57" s="133"/>
      <c r="J57" s="133"/>
      <c r="K57" s="707">
        <f t="shared" si="9"/>
        <v>1</v>
      </c>
      <c r="L57" s="444">
        <f t="shared" si="1"/>
        <v>1</v>
      </c>
      <c r="M57" s="444">
        <f t="shared" si="1"/>
        <v>1</v>
      </c>
      <c r="N57" s="133" t="s">
        <v>7439</v>
      </c>
      <c r="O57" s="133"/>
      <c r="P57" s="151">
        <f>COUNTIF(adj!$C$3:$C$74,$A57)</f>
        <v>1</v>
      </c>
      <c r="Q57" s="150">
        <f>SUMIF(adj!$C$3:$C$810,$A57,adj!E$3:E$810)</f>
        <v>0</v>
      </c>
      <c r="R57" s="150">
        <f>SUMIF(adj!$C$3:$C$810,$A57,adj!F$3:F$810)</f>
        <v>0</v>
      </c>
      <c r="S57" s="150">
        <f>SUMIF(adj!$C$3:$C$810,$A57,adj!G$3:G$810)</f>
        <v>0</v>
      </c>
    </row>
    <row r="58" spans="1:19">
      <c r="A58" s="461" t="s">
        <v>4153</v>
      </c>
      <c r="B58" s="510" t="s">
        <v>3199</v>
      </c>
      <c r="C58" s="511" t="s">
        <v>150</v>
      </c>
      <c r="D58" s="428">
        <v>1</v>
      </c>
      <c r="E58" s="444">
        <f t="shared" si="19"/>
        <v>1</v>
      </c>
      <c r="F58" s="444">
        <f t="shared" si="18"/>
        <v>1</v>
      </c>
      <c r="G58" s="444">
        <f t="shared" si="18"/>
        <v>1</v>
      </c>
      <c r="H58" s="133" t="s">
        <v>3056</v>
      </c>
      <c r="I58" s="133"/>
      <c r="J58" s="133"/>
      <c r="K58" s="707">
        <f t="shared" si="9"/>
        <v>1</v>
      </c>
      <c r="L58" s="444">
        <f t="shared" si="1"/>
        <v>1</v>
      </c>
      <c r="M58" s="444">
        <f t="shared" si="1"/>
        <v>1</v>
      </c>
      <c r="N58" s="133" t="s">
        <v>7440</v>
      </c>
      <c r="O58" s="133"/>
      <c r="P58" s="151">
        <f>COUNTIF(adj!$C$3:$C$74,$A58)</f>
        <v>1</v>
      </c>
      <c r="Q58" s="150">
        <f>SUMIF(adj!$C$3:$C$810,$A58,adj!E$3:E$810)</f>
        <v>0</v>
      </c>
      <c r="R58" s="150">
        <f>SUMIF(adj!$C$3:$C$810,$A58,adj!F$3:F$810)</f>
        <v>0</v>
      </c>
      <c r="S58" s="150">
        <f>SUMIF(adj!$C$3:$C$810,$A58,adj!G$3:G$810)</f>
        <v>0</v>
      </c>
    </row>
    <row r="59" spans="1:19">
      <c r="A59" s="461" t="s">
        <v>4154</v>
      </c>
      <c r="B59" s="510" t="s">
        <v>3200</v>
      </c>
      <c r="C59" s="511" t="s">
        <v>150</v>
      </c>
      <c r="D59" s="428">
        <v>1</v>
      </c>
      <c r="E59" s="444">
        <f t="shared" si="19"/>
        <v>1</v>
      </c>
      <c r="F59" s="444">
        <f t="shared" si="18"/>
        <v>1</v>
      </c>
      <c r="G59" s="444">
        <f t="shared" si="18"/>
        <v>1</v>
      </c>
      <c r="H59" s="133" t="s">
        <v>3057</v>
      </c>
      <c r="I59" s="133"/>
      <c r="J59" s="133"/>
      <c r="K59" s="707">
        <f t="shared" si="9"/>
        <v>1</v>
      </c>
      <c r="L59" s="444">
        <f t="shared" si="1"/>
        <v>1</v>
      </c>
      <c r="M59" s="444">
        <f t="shared" si="1"/>
        <v>1</v>
      </c>
      <c r="N59" s="133" t="s">
        <v>7441</v>
      </c>
      <c r="O59" s="133"/>
      <c r="P59" s="151">
        <f>COUNTIF(adj!$C$3:$C$74,$A59)</f>
        <v>1</v>
      </c>
      <c r="Q59" s="150">
        <f>SUMIF(adj!$C$3:$C$810,$A59,adj!E$3:E$810)</f>
        <v>0</v>
      </c>
      <c r="R59" s="150">
        <f>SUMIF(adj!$C$3:$C$810,$A59,adj!F$3:F$810)</f>
        <v>0</v>
      </c>
      <c r="S59" s="150">
        <f>SUMIF(adj!$C$3:$C$810,$A59,adj!G$3:G$810)</f>
        <v>0</v>
      </c>
    </row>
    <row r="60" spans="1:19">
      <c r="A60" s="461" t="s">
        <v>4155</v>
      </c>
      <c r="B60" s="510" t="s">
        <v>3201</v>
      </c>
      <c r="C60" s="511" t="s">
        <v>150</v>
      </c>
      <c r="D60" s="428">
        <v>1</v>
      </c>
      <c r="E60" s="444">
        <f t="shared" si="19"/>
        <v>1</v>
      </c>
      <c r="F60" s="444">
        <f t="shared" si="18"/>
        <v>1</v>
      </c>
      <c r="G60" s="444">
        <f t="shared" si="18"/>
        <v>1</v>
      </c>
      <c r="H60" s="133" t="s">
        <v>3058</v>
      </c>
      <c r="I60" s="133"/>
      <c r="J60" s="133"/>
      <c r="K60" s="707">
        <f t="shared" si="9"/>
        <v>1</v>
      </c>
      <c r="L60" s="444">
        <f t="shared" si="1"/>
        <v>1</v>
      </c>
      <c r="M60" s="444">
        <f t="shared" si="1"/>
        <v>1</v>
      </c>
      <c r="N60" s="133" t="s">
        <v>7442</v>
      </c>
      <c r="O60" s="133"/>
      <c r="P60" s="151">
        <f>COUNTIF(adj!$C$3:$C$74,$A60)</f>
        <v>0</v>
      </c>
      <c r="Q60" s="150">
        <f>SUMIF(adj!$C$3:$C$810,$A60,adj!E$3:E$810)</f>
        <v>0</v>
      </c>
      <c r="R60" s="150">
        <f>SUMIF(adj!$C$3:$C$810,$A60,adj!F$3:F$810)</f>
        <v>0</v>
      </c>
      <c r="S60" s="150">
        <f>SUMIF(adj!$C$3:$C$810,$A60,adj!G$3:G$810)</f>
        <v>0</v>
      </c>
    </row>
    <row r="61" spans="1:19">
      <c r="A61" s="461" t="s">
        <v>4156</v>
      </c>
      <c r="B61" s="510" t="s">
        <v>3202</v>
      </c>
      <c r="C61" s="511" t="s">
        <v>150</v>
      </c>
      <c r="D61" s="428">
        <v>1</v>
      </c>
      <c r="E61" s="444">
        <f t="shared" si="19"/>
        <v>1</v>
      </c>
      <c r="F61" s="444">
        <f t="shared" si="18"/>
        <v>1</v>
      </c>
      <c r="G61" s="444">
        <f t="shared" si="18"/>
        <v>1</v>
      </c>
      <c r="H61" s="133" t="s">
        <v>3059</v>
      </c>
      <c r="I61" s="133"/>
      <c r="J61" s="133"/>
      <c r="K61" s="707">
        <f t="shared" si="9"/>
        <v>1</v>
      </c>
      <c r="L61" s="444">
        <f t="shared" si="1"/>
        <v>1</v>
      </c>
      <c r="M61" s="444">
        <f t="shared" si="1"/>
        <v>1</v>
      </c>
      <c r="N61" s="133" t="s">
        <v>7443</v>
      </c>
      <c r="O61" s="133"/>
      <c r="P61" s="151">
        <f>COUNTIF(adj!$C$3:$C$74,$A61)</f>
        <v>1</v>
      </c>
      <c r="Q61" s="150">
        <f>SUMIF(adj!$C$3:$C$810,$A61,adj!E$3:E$810)</f>
        <v>0</v>
      </c>
      <c r="R61" s="150">
        <f>SUMIF(adj!$C$3:$C$810,$A61,adj!F$3:F$810)</f>
        <v>0</v>
      </c>
      <c r="S61" s="150">
        <f>SUMIF(adj!$C$3:$C$810,$A61,adj!G$3:G$810)</f>
        <v>0</v>
      </c>
    </row>
    <row r="62" spans="1:19">
      <c r="A62" s="461" t="s">
        <v>4157</v>
      </c>
      <c r="B62" s="510" t="s">
        <v>3203</v>
      </c>
      <c r="C62" s="511" t="s">
        <v>150</v>
      </c>
      <c r="D62" s="428">
        <v>1</v>
      </c>
      <c r="E62" s="444">
        <f t="shared" si="19"/>
        <v>1</v>
      </c>
      <c r="F62" s="444">
        <f t="shared" si="18"/>
        <v>1</v>
      </c>
      <c r="G62" s="444">
        <f t="shared" si="18"/>
        <v>1</v>
      </c>
      <c r="H62" s="133" t="s">
        <v>3060</v>
      </c>
      <c r="I62" s="133"/>
      <c r="J62" s="133"/>
      <c r="K62" s="707">
        <f t="shared" si="9"/>
        <v>1</v>
      </c>
      <c r="L62" s="444">
        <f t="shared" si="1"/>
        <v>1</v>
      </c>
      <c r="M62" s="444">
        <f t="shared" si="1"/>
        <v>1</v>
      </c>
      <c r="N62" s="133" t="s">
        <v>7444</v>
      </c>
      <c r="O62" s="133"/>
      <c r="P62" s="151">
        <f>COUNTIF(adj!$C$3:$C$74,$A62)</f>
        <v>1</v>
      </c>
      <c r="Q62" s="150">
        <f>SUMIF(adj!$C$3:$C$810,$A62,adj!E$3:E$810)</f>
        <v>0</v>
      </c>
      <c r="R62" s="150">
        <f>SUMIF(adj!$C$3:$C$810,$A62,adj!F$3:F$810)</f>
        <v>0</v>
      </c>
      <c r="S62" s="150">
        <f>SUMIF(adj!$C$3:$C$810,$A62,adj!G$3:G$810)</f>
        <v>0</v>
      </c>
    </row>
    <row r="63" spans="1:19">
      <c r="A63" s="461" t="s">
        <v>4158</v>
      </c>
      <c r="B63" s="510" t="s">
        <v>3204</v>
      </c>
      <c r="C63" s="511" t="s">
        <v>150</v>
      </c>
      <c r="D63" s="428">
        <v>1</v>
      </c>
      <c r="E63" s="444">
        <f t="shared" si="19"/>
        <v>1</v>
      </c>
      <c r="F63" s="444">
        <f t="shared" si="18"/>
        <v>1</v>
      </c>
      <c r="G63" s="444">
        <f t="shared" si="18"/>
        <v>1</v>
      </c>
      <c r="H63" s="133" t="s">
        <v>3061</v>
      </c>
      <c r="I63" s="133"/>
      <c r="J63" s="133"/>
      <c r="K63" s="707">
        <f t="shared" si="9"/>
        <v>1</v>
      </c>
      <c r="L63" s="444">
        <f t="shared" si="1"/>
        <v>1</v>
      </c>
      <c r="M63" s="444">
        <f t="shared" si="1"/>
        <v>1</v>
      </c>
      <c r="N63" s="133" t="s">
        <v>7445</v>
      </c>
      <c r="O63" s="133"/>
      <c r="P63" s="151">
        <f>COUNTIF(adj!$C$3:$C$74,$A63)</f>
        <v>0</v>
      </c>
      <c r="Q63" s="150">
        <f>SUMIF(adj!$C$3:$C$810,$A63,adj!E$3:E$810)</f>
        <v>0</v>
      </c>
      <c r="R63" s="150">
        <f>SUMIF(adj!$C$3:$C$810,$A63,adj!F$3:F$810)</f>
        <v>0</v>
      </c>
      <c r="S63" s="150">
        <f>SUMIF(adj!$C$3:$C$810,$A63,adj!G$3:G$810)</f>
        <v>0</v>
      </c>
    </row>
    <row r="64" spans="1:19">
      <c r="A64" s="461" t="s">
        <v>4159</v>
      </c>
      <c r="B64" s="510" t="s">
        <v>3205</v>
      </c>
      <c r="C64" s="511" t="s">
        <v>150</v>
      </c>
      <c r="D64" s="428">
        <v>1</v>
      </c>
      <c r="E64" s="444">
        <f t="shared" si="19"/>
        <v>1</v>
      </c>
      <c r="F64" s="444">
        <f t="shared" si="18"/>
        <v>1</v>
      </c>
      <c r="G64" s="444">
        <f t="shared" si="18"/>
        <v>1</v>
      </c>
      <c r="H64" s="133" t="s">
        <v>3062</v>
      </c>
      <c r="I64" s="133"/>
      <c r="J64" s="133"/>
      <c r="K64" s="707">
        <f t="shared" si="9"/>
        <v>1</v>
      </c>
      <c r="L64" s="444">
        <f t="shared" si="1"/>
        <v>1</v>
      </c>
      <c r="M64" s="444">
        <f t="shared" si="1"/>
        <v>1</v>
      </c>
      <c r="N64" s="133" t="s">
        <v>7446</v>
      </c>
      <c r="O64" s="133"/>
      <c r="P64" s="151">
        <f>COUNTIF(adj!$C$3:$C$74,$A64)</f>
        <v>1</v>
      </c>
      <c r="Q64" s="150">
        <f>SUMIF(adj!$C$3:$C$810,$A64,adj!E$3:E$810)</f>
        <v>0</v>
      </c>
      <c r="R64" s="150">
        <f>SUMIF(adj!$C$3:$C$810,$A64,adj!F$3:F$810)</f>
        <v>0</v>
      </c>
      <c r="S64" s="150">
        <f>SUMIF(adj!$C$3:$C$810,$A64,adj!G$3:G$810)</f>
        <v>0</v>
      </c>
    </row>
    <row r="65" spans="1:19">
      <c r="A65" s="461" t="s">
        <v>4160</v>
      </c>
      <c r="B65" s="510" t="s">
        <v>3206</v>
      </c>
      <c r="C65" s="511" t="s">
        <v>150</v>
      </c>
      <c r="D65" s="428">
        <v>1</v>
      </c>
      <c r="E65" s="444">
        <f t="shared" ref="E65:E164" si="20">IF($C65="R",$D65*(1+Q65),$D65+Q65)</f>
        <v>1</v>
      </c>
      <c r="F65" s="444">
        <f t="shared" si="18"/>
        <v>1</v>
      </c>
      <c r="G65" s="444">
        <f t="shared" si="18"/>
        <v>1</v>
      </c>
      <c r="H65" s="133" t="s">
        <v>3063</v>
      </c>
      <c r="I65" s="133"/>
      <c r="J65" s="133"/>
      <c r="K65" s="707">
        <f t="shared" si="9"/>
        <v>1</v>
      </c>
      <c r="L65" s="444">
        <f t="shared" si="1"/>
        <v>1</v>
      </c>
      <c r="M65" s="444">
        <f t="shared" si="1"/>
        <v>1</v>
      </c>
      <c r="N65" s="133" t="s">
        <v>7447</v>
      </c>
      <c r="O65" s="133"/>
      <c r="P65" s="151">
        <f>COUNTIF(adj!$C$3:$C$74,$A65)</f>
        <v>1</v>
      </c>
      <c r="Q65" s="150">
        <f>SUMIF(adj!$C$3:$C$810,$A65,adj!E$3:E$810)</f>
        <v>0</v>
      </c>
      <c r="R65" s="150">
        <f>SUMIF(adj!$C$3:$C$810,$A65,adj!F$3:F$810)</f>
        <v>0</v>
      </c>
      <c r="S65" s="150">
        <f>SUMIF(adj!$C$3:$C$810,$A65,adj!G$3:G$810)</f>
        <v>0</v>
      </c>
    </row>
    <row r="66" spans="1:19">
      <c r="A66" s="461" t="s">
        <v>4161</v>
      </c>
      <c r="B66" s="510" t="s">
        <v>3993</v>
      </c>
      <c r="C66" s="511" t="s">
        <v>150</v>
      </c>
      <c r="D66" s="428">
        <v>1</v>
      </c>
      <c r="E66" s="444">
        <f t="shared" ref="E66:E71" si="21">IF($C66="R",$D66*(1+Q66),$D66+Q66)</f>
        <v>1</v>
      </c>
      <c r="F66" s="444">
        <f t="shared" si="18"/>
        <v>1</v>
      </c>
      <c r="G66" s="444">
        <f t="shared" si="18"/>
        <v>1</v>
      </c>
      <c r="H66" s="133" t="s">
        <v>3994</v>
      </c>
      <c r="I66" s="133"/>
      <c r="J66" s="133"/>
      <c r="K66" s="444">
        <f t="shared" si="0"/>
        <v>1</v>
      </c>
      <c r="L66" s="444">
        <f t="shared" si="1"/>
        <v>1</v>
      </c>
      <c r="M66" s="444">
        <f t="shared" si="1"/>
        <v>1</v>
      </c>
      <c r="N66" s="133" t="s">
        <v>7448</v>
      </c>
      <c r="O66" s="133"/>
      <c r="P66" s="151">
        <f>COUNTIF(adj!$C$3:$C$74,$A66)</f>
        <v>0</v>
      </c>
      <c r="Q66" s="150">
        <f>SUMIF(adj!$C$3:$C$810,$A66,adj!E$3:E$810)</f>
        <v>0</v>
      </c>
      <c r="R66" s="150">
        <f>SUMIF(adj!$C$3:$C$810,$A66,adj!F$3:F$810)</f>
        <v>0</v>
      </c>
      <c r="S66" s="150">
        <f>SUMIF(adj!$C$3:$C$810,$A66,adj!G$3:G$810)</f>
        <v>0</v>
      </c>
    </row>
    <row r="67" spans="1:19">
      <c r="A67" s="461" t="s">
        <v>4186</v>
      </c>
      <c r="B67" s="510" t="s">
        <v>4198</v>
      </c>
      <c r="C67" s="511" t="s">
        <v>150</v>
      </c>
      <c r="D67" s="428">
        <v>1.0652243079860007</v>
      </c>
      <c r="E67" s="444">
        <f t="shared" si="21"/>
        <v>1.0652243079860007</v>
      </c>
      <c r="F67" s="444">
        <f t="shared" si="18"/>
        <v>1.0652243079860007</v>
      </c>
      <c r="G67" s="444">
        <f t="shared" si="18"/>
        <v>1.0652243079860007</v>
      </c>
      <c r="H67" s="133" t="s">
        <v>4192</v>
      </c>
      <c r="I67" s="133"/>
      <c r="J67" s="133"/>
      <c r="K67" s="444">
        <f t="shared" si="0"/>
        <v>1.0652243079860007</v>
      </c>
      <c r="L67" s="444">
        <f t="shared" si="1"/>
        <v>1.0652243079860007</v>
      </c>
      <c r="M67" s="444">
        <f t="shared" si="1"/>
        <v>1.0652243079860007</v>
      </c>
      <c r="N67" s="133" t="s">
        <v>7449</v>
      </c>
      <c r="O67" s="133"/>
      <c r="P67" s="151">
        <f>COUNTIF(adj!$C$3:$C$74,$A67)</f>
        <v>0</v>
      </c>
      <c r="Q67" s="150">
        <f>SUMIF(adj!$C$3:$C$810,$A67,adj!E$3:E$810)</f>
        <v>0</v>
      </c>
      <c r="R67" s="150">
        <f>SUMIF(adj!$C$3:$C$810,$A67,adj!F$3:F$810)</f>
        <v>0</v>
      </c>
      <c r="S67" s="150">
        <f>SUMIF(adj!$C$3:$C$810,$A67,adj!G$3:G$810)</f>
        <v>0</v>
      </c>
    </row>
    <row r="68" spans="1:19">
      <c r="A68" s="461" t="s">
        <v>4187</v>
      </c>
      <c r="B68" s="510" t="s">
        <v>4199</v>
      </c>
      <c r="C68" s="511" t="s">
        <v>150</v>
      </c>
      <c r="D68" s="428">
        <v>0.97777777777777775</v>
      </c>
      <c r="E68" s="444">
        <f t="shared" si="21"/>
        <v>0.97777777777777775</v>
      </c>
      <c r="F68" s="444">
        <f t="shared" si="18"/>
        <v>0.97777777777777775</v>
      </c>
      <c r="G68" s="444">
        <f t="shared" si="18"/>
        <v>0.97777777777777775</v>
      </c>
      <c r="H68" s="133" t="s">
        <v>4193</v>
      </c>
      <c r="I68" s="133"/>
      <c r="J68" s="133"/>
      <c r="K68" s="444">
        <f t="shared" si="0"/>
        <v>0.97777777777777775</v>
      </c>
      <c r="L68" s="444">
        <f t="shared" si="1"/>
        <v>0.97777777777777775</v>
      </c>
      <c r="M68" s="444">
        <f t="shared" si="1"/>
        <v>0.97777777777777775</v>
      </c>
      <c r="N68" s="133" t="s">
        <v>7450</v>
      </c>
      <c r="O68" s="133"/>
      <c r="P68" s="151">
        <f>COUNTIF(adj!$C$3:$C$74,$A68)</f>
        <v>0</v>
      </c>
      <c r="Q68" s="150">
        <f>SUMIF(adj!$C$3:$C$810,$A68,adj!E$3:E$810)</f>
        <v>0</v>
      </c>
      <c r="R68" s="150">
        <f>SUMIF(adj!$C$3:$C$810,$A68,adj!F$3:F$810)</f>
        <v>0</v>
      </c>
      <c r="S68" s="150">
        <f>SUMIF(adj!$C$3:$C$810,$A68,adj!G$3:G$810)</f>
        <v>0</v>
      </c>
    </row>
    <row r="69" spans="1:19">
      <c r="A69" s="461" t="s">
        <v>4188</v>
      </c>
      <c r="B69" s="510" t="s">
        <v>4200</v>
      </c>
      <c r="C69" s="511" t="s">
        <v>150</v>
      </c>
      <c r="D69" s="428">
        <v>1.2474012474012472</v>
      </c>
      <c r="E69" s="444">
        <f t="shared" si="21"/>
        <v>1.2474012474012472</v>
      </c>
      <c r="F69" s="444">
        <f t="shared" si="18"/>
        <v>1.2474012474012472</v>
      </c>
      <c r="G69" s="444">
        <f t="shared" si="18"/>
        <v>1.2474012474012472</v>
      </c>
      <c r="H69" s="133" t="s">
        <v>4194</v>
      </c>
      <c r="I69" s="133"/>
      <c r="J69" s="133"/>
      <c r="K69" s="444">
        <f t="shared" si="0"/>
        <v>1.2474012474012472</v>
      </c>
      <c r="L69" s="444">
        <f t="shared" si="1"/>
        <v>1.2474012474012472</v>
      </c>
      <c r="M69" s="444">
        <f t="shared" si="1"/>
        <v>1.2474012474012472</v>
      </c>
      <c r="N69" s="133" t="s">
        <v>7451</v>
      </c>
      <c r="O69" s="133"/>
      <c r="P69" s="151">
        <f>COUNTIF(adj!$C$3:$C$74,$A69)</f>
        <v>0</v>
      </c>
      <c r="Q69" s="150">
        <f>SUMIF(adj!$C$3:$C$810,$A69,adj!E$3:E$810)</f>
        <v>0</v>
      </c>
      <c r="R69" s="150">
        <f>SUMIF(adj!$C$3:$C$810,$A69,adj!F$3:F$810)</f>
        <v>0</v>
      </c>
      <c r="S69" s="150">
        <f>SUMIF(adj!$C$3:$C$810,$A69,adj!G$3:G$810)</f>
        <v>0</v>
      </c>
    </row>
    <row r="70" spans="1:19">
      <c r="A70" s="461" t="s">
        <v>4189</v>
      </c>
      <c r="B70" s="510" t="s">
        <v>4201</v>
      </c>
      <c r="C70" s="511" t="s">
        <v>150</v>
      </c>
      <c r="D70" s="428">
        <v>0.89109939185524512</v>
      </c>
      <c r="E70" s="444">
        <f t="shared" si="21"/>
        <v>0.89109939185524512</v>
      </c>
      <c r="F70" s="444">
        <f t="shared" si="18"/>
        <v>0.89109939185524512</v>
      </c>
      <c r="G70" s="444">
        <f t="shared" si="18"/>
        <v>0.89109939185524512</v>
      </c>
      <c r="H70" s="133" t="s">
        <v>4195</v>
      </c>
      <c r="I70" s="133"/>
      <c r="J70" s="133"/>
      <c r="K70" s="444">
        <f t="shared" si="0"/>
        <v>0.89109939185524512</v>
      </c>
      <c r="L70" s="444">
        <f t="shared" si="1"/>
        <v>0.89109939185524512</v>
      </c>
      <c r="M70" s="444">
        <f t="shared" si="1"/>
        <v>0.89109939185524512</v>
      </c>
      <c r="N70" s="133" t="s">
        <v>7452</v>
      </c>
      <c r="O70" s="133"/>
      <c r="P70" s="151">
        <f>COUNTIF(adj!$C$3:$C$74,$A70)</f>
        <v>0</v>
      </c>
      <c r="Q70" s="150">
        <f>SUMIF(adj!$C$3:$C$810,$A70,adj!E$3:E$810)</f>
        <v>0</v>
      </c>
      <c r="R70" s="150">
        <f>SUMIF(adj!$C$3:$C$810,$A70,adj!F$3:F$810)</f>
        <v>0</v>
      </c>
      <c r="S70" s="150">
        <f>SUMIF(adj!$C$3:$C$810,$A70,adj!G$3:G$810)</f>
        <v>0</v>
      </c>
    </row>
    <row r="71" spans="1:19">
      <c r="A71" s="461" t="s">
        <v>4190</v>
      </c>
      <c r="B71" s="510" t="s">
        <v>4202</v>
      </c>
      <c r="C71" s="511" t="s">
        <v>150</v>
      </c>
      <c r="D71" s="428">
        <v>0.83333333333333337</v>
      </c>
      <c r="E71" s="444">
        <f t="shared" si="21"/>
        <v>0.83333333333333337</v>
      </c>
      <c r="F71" s="444">
        <f t="shared" si="18"/>
        <v>0.83333333333333337</v>
      </c>
      <c r="G71" s="444">
        <f t="shared" si="18"/>
        <v>0.83333333333333337</v>
      </c>
      <c r="H71" s="133" t="s">
        <v>4196</v>
      </c>
      <c r="I71" s="133"/>
      <c r="J71" s="133"/>
      <c r="K71" s="444">
        <f t="shared" si="0"/>
        <v>0.83333333333333337</v>
      </c>
      <c r="L71" s="444">
        <f t="shared" si="1"/>
        <v>0.83333333333333337</v>
      </c>
      <c r="M71" s="444">
        <f t="shared" si="1"/>
        <v>0.83333333333333337</v>
      </c>
      <c r="N71" s="133" t="s">
        <v>7453</v>
      </c>
      <c r="O71" s="133"/>
      <c r="P71" s="151">
        <f>COUNTIF(adj!$C$3:$C$74,$A71)</f>
        <v>0</v>
      </c>
      <c r="Q71" s="150">
        <f>SUMIF(adj!$C$3:$C$810,$A71,adj!E$3:E$810)</f>
        <v>0</v>
      </c>
      <c r="R71" s="150">
        <f>SUMIF(adj!$C$3:$C$810,$A71,adj!F$3:F$810)</f>
        <v>0</v>
      </c>
      <c r="S71" s="150">
        <f>SUMIF(adj!$C$3:$C$810,$A71,adj!G$3:G$810)</f>
        <v>0</v>
      </c>
    </row>
    <row r="72" spans="1:19">
      <c r="A72" s="461" t="s">
        <v>4191</v>
      </c>
      <c r="B72" s="510" t="s">
        <v>4200</v>
      </c>
      <c r="C72" s="511" t="s">
        <v>150</v>
      </c>
      <c r="D72" s="428">
        <v>0.88</v>
      </c>
      <c r="E72" s="444">
        <f t="shared" ref="E72:E77" si="22">IF($C72="R",$D72*(1+Q72),$D72+Q72)</f>
        <v>0.88</v>
      </c>
      <c r="F72" s="444">
        <f t="shared" si="18"/>
        <v>0.88</v>
      </c>
      <c r="G72" s="444">
        <f t="shared" si="18"/>
        <v>0.88</v>
      </c>
      <c r="H72" s="133" t="s">
        <v>4197</v>
      </c>
      <c r="I72" s="133"/>
      <c r="J72" s="133"/>
      <c r="K72" s="444">
        <f t="shared" si="0"/>
        <v>0.88</v>
      </c>
      <c r="L72" s="444">
        <f t="shared" si="1"/>
        <v>0.88</v>
      </c>
      <c r="M72" s="444">
        <f t="shared" si="1"/>
        <v>0.88</v>
      </c>
      <c r="N72" s="133" t="s">
        <v>7454</v>
      </c>
      <c r="O72" s="133"/>
      <c r="P72" s="151">
        <f>COUNTIF(adj!$C$3:$C$74,$A72)</f>
        <v>0</v>
      </c>
      <c r="Q72" s="150">
        <f>SUMIF(adj!$C$3:$C$810,$A72,adj!E$3:E$810)</f>
        <v>0</v>
      </c>
      <c r="R72" s="150">
        <f>SUMIF(adj!$C$3:$C$810,$A72,adj!F$3:F$810)</f>
        <v>0</v>
      </c>
      <c r="S72" s="150">
        <f>SUMIF(adj!$C$3:$C$810,$A72,adj!G$3:G$810)</f>
        <v>0</v>
      </c>
    </row>
    <row r="73" spans="1:19">
      <c r="A73" s="461" t="s">
        <v>4214</v>
      </c>
      <c r="B73" s="510" t="s">
        <v>4203</v>
      </c>
      <c r="C73" s="511" t="s">
        <v>150</v>
      </c>
      <c r="D73" s="428">
        <v>1.023989818644607</v>
      </c>
      <c r="E73" s="444">
        <f t="shared" si="22"/>
        <v>1.023989818644607</v>
      </c>
      <c r="F73" s="444">
        <f t="shared" si="18"/>
        <v>1.023989818644607</v>
      </c>
      <c r="G73" s="444">
        <f t="shared" si="18"/>
        <v>1.023989818644607</v>
      </c>
      <c r="H73" s="133" t="s">
        <v>4204</v>
      </c>
      <c r="I73" s="133"/>
      <c r="J73" s="133"/>
      <c r="K73" s="444">
        <f t="shared" si="0"/>
        <v>1.023989818644607</v>
      </c>
      <c r="L73" s="444">
        <f t="shared" si="1"/>
        <v>1.023989818644607</v>
      </c>
      <c r="M73" s="444">
        <f t="shared" si="1"/>
        <v>1.023989818644607</v>
      </c>
      <c r="N73" s="133" t="s">
        <v>7455</v>
      </c>
      <c r="O73" s="133"/>
      <c r="P73" s="151">
        <f>COUNTIF(adj!$C$3:$C$74,$A73)</f>
        <v>0</v>
      </c>
      <c r="Q73" s="150">
        <f>SUMIF(adj!$C$3:$C$810,$A73,adj!E$3:E$810)</f>
        <v>0</v>
      </c>
      <c r="R73" s="150">
        <f>SUMIF(adj!$C$3:$C$810,$A73,adj!F$3:F$810)</f>
        <v>0</v>
      </c>
      <c r="S73" s="150">
        <f>SUMIF(adj!$C$3:$C$810,$A73,adj!G$3:G$810)</f>
        <v>0</v>
      </c>
    </row>
    <row r="74" spans="1:19">
      <c r="A74" s="461" t="s">
        <v>4215</v>
      </c>
      <c r="B74" s="510" t="s">
        <v>4205</v>
      </c>
      <c r="C74" s="511" t="s">
        <v>150</v>
      </c>
      <c r="D74" s="428">
        <v>0.88888888888888884</v>
      </c>
      <c r="E74" s="444">
        <f t="shared" si="22"/>
        <v>0.88888888888888884</v>
      </c>
      <c r="F74" s="444">
        <f t="shared" si="18"/>
        <v>0.88888888888888884</v>
      </c>
      <c r="G74" s="444">
        <f t="shared" si="18"/>
        <v>0.88888888888888884</v>
      </c>
      <c r="H74" s="133" t="s">
        <v>4206</v>
      </c>
      <c r="I74" s="133"/>
      <c r="J74" s="133"/>
      <c r="K74" s="444">
        <f t="shared" si="0"/>
        <v>0.88888888888888884</v>
      </c>
      <c r="L74" s="444">
        <f t="shared" si="1"/>
        <v>0.88888888888888884</v>
      </c>
      <c r="M74" s="444">
        <f t="shared" si="1"/>
        <v>0.88888888888888884</v>
      </c>
      <c r="N74" s="133" t="s">
        <v>7456</v>
      </c>
      <c r="O74" s="133"/>
      <c r="P74" s="151">
        <f>COUNTIF(adj!$C$3:$C$74,$A74)</f>
        <v>0</v>
      </c>
      <c r="Q74" s="150">
        <f>SUMIF(adj!$C$3:$C$810,$A74,adj!E$3:E$810)</f>
        <v>0</v>
      </c>
      <c r="R74" s="150">
        <f>SUMIF(adj!$C$3:$C$810,$A74,adj!F$3:F$810)</f>
        <v>0</v>
      </c>
      <c r="S74" s="150">
        <f>SUMIF(adj!$C$3:$C$810,$A74,adj!G$3:G$810)</f>
        <v>0</v>
      </c>
    </row>
    <row r="75" spans="1:19">
      <c r="A75" s="461" t="s">
        <v>4216</v>
      </c>
      <c r="B75" s="510" t="s">
        <v>4207</v>
      </c>
      <c r="C75" s="511" t="s">
        <v>150</v>
      </c>
      <c r="D75" s="428">
        <v>0.74844074844074837</v>
      </c>
      <c r="E75" s="444">
        <f t="shared" si="22"/>
        <v>0.74844074844074837</v>
      </c>
      <c r="F75" s="444">
        <f t="shared" si="18"/>
        <v>0.74844074844074837</v>
      </c>
      <c r="G75" s="444">
        <f t="shared" si="18"/>
        <v>0.74844074844074837</v>
      </c>
      <c r="H75" s="133" t="s">
        <v>4208</v>
      </c>
      <c r="I75" s="133"/>
      <c r="J75" s="133"/>
      <c r="K75" s="444">
        <f t="shared" si="0"/>
        <v>0.74844074844074837</v>
      </c>
      <c r="L75" s="444">
        <f t="shared" si="1"/>
        <v>0.74844074844074837</v>
      </c>
      <c r="M75" s="444">
        <f t="shared" si="1"/>
        <v>0.74844074844074837</v>
      </c>
      <c r="N75" s="133" t="s">
        <v>7457</v>
      </c>
      <c r="O75" s="133"/>
      <c r="P75" s="151">
        <f>COUNTIF(adj!$C$3:$C$74,$A75)</f>
        <v>0</v>
      </c>
      <c r="Q75" s="150">
        <f>SUMIF(adj!$C$3:$C$810,$A75,adj!E$3:E$810)</f>
        <v>0</v>
      </c>
      <c r="R75" s="150">
        <f>SUMIF(adj!$C$3:$C$810,$A75,adj!F$3:F$810)</f>
        <v>0</v>
      </c>
      <c r="S75" s="150">
        <f>SUMIF(adj!$C$3:$C$810,$A75,adj!G$3:G$810)</f>
        <v>0</v>
      </c>
    </row>
    <row r="76" spans="1:19">
      <c r="A76" s="461" t="s">
        <v>4217</v>
      </c>
      <c r="B76" s="510" t="s">
        <v>4209</v>
      </c>
      <c r="C76" s="511" t="s">
        <v>150</v>
      </c>
      <c r="D76" s="428">
        <v>1.0207138488523717</v>
      </c>
      <c r="E76" s="444">
        <f t="shared" si="22"/>
        <v>1.0207138488523717</v>
      </c>
      <c r="F76" s="444">
        <f t="shared" si="18"/>
        <v>1.0207138488523717</v>
      </c>
      <c r="G76" s="444">
        <f t="shared" si="18"/>
        <v>1.0207138488523717</v>
      </c>
      <c r="H76" s="133" t="s">
        <v>4210</v>
      </c>
      <c r="I76" s="133"/>
      <c r="J76" s="133"/>
      <c r="K76" s="444">
        <f t="shared" si="0"/>
        <v>1.0207138488523717</v>
      </c>
      <c r="L76" s="444">
        <f t="shared" si="1"/>
        <v>1.0207138488523717</v>
      </c>
      <c r="M76" s="444">
        <f t="shared" si="1"/>
        <v>1.0207138488523717</v>
      </c>
      <c r="N76" s="133" t="s">
        <v>7458</v>
      </c>
      <c r="O76" s="133"/>
      <c r="P76" s="151">
        <f>COUNTIF(adj!$C$3:$C$74,$A76)</f>
        <v>0</v>
      </c>
      <c r="Q76" s="150">
        <f>SUMIF(adj!$C$3:$C$810,$A76,adj!E$3:E$810)</f>
        <v>0</v>
      </c>
      <c r="R76" s="150">
        <f>SUMIF(adj!$C$3:$C$810,$A76,adj!F$3:F$810)</f>
        <v>0</v>
      </c>
      <c r="S76" s="150">
        <f>SUMIF(adj!$C$3:$C$810,$A76,adj!G$3:G$810)</f>
        <v>0</v>
      </c>
    </row>
    <row r="77" spans="1:19">
      <c r="A77" s="461" t="s">
        <v>4218</v>
      </c>
      <c r="B77" s="510" t="s">
        <v>4211</v>
      </c>
      <c r="C77" s="511" t="s">
        <v>150</v>
      </c>
      <c r="D77" s="428">
        <v>0.16666666666666666</v>
      </c>
      <c r="E77" s="444">
        <f t="shared" si="22"/>
        <v>0.16666666666666666</v>
      </c>
      <c r="F77" s="444">
        <f t="shared" si="18"/>
        <v>0.16666666666666666</v>
      </c>
      <c r="G77" s="444">
        <f t="shared" si="18"/>
        <v>0.16666666666666666</v>
      </c>
      <c r="H77" s="133" t="s">
        <v>4212</v>
      </c>
      <c r="I77" s="133"/>
      <c r="J77" s="133"/>
      <c r="K77" s="444">
        <f t="shared" si="0"/>
        <v>0.16666666666666666</v>
      </c>
      <c r="L77" s="444">
        <f t="shared" si="1"/>
        <v>0.16666666666666666</v>
      </c>
      <c r="M77" s="444">
        <f t="shared" si="1"/>
        <v>0.16666666666666666</v>
      </c>
      <c r="N77" s="133" t="s">
        <v>7459</v>
      </c>
      <c r="O77" s="133"/>
      <c r="P77" s="151">
        <f>COUNTIF(adj!$C$3:$C$74,$A77)</f>
        <v>0</v>
      </c>
      <c r="Q77" s="150">
        <f>SUMIF(adj!$C$3:$C$810,$A77,adj!E$3:E$810)</f>
        <v>0</v>
      </c>
      <c r="R77" s="150">
        <f>SUMIF(adj!$C$3:$C$810,$A77,adj!F$3:F$810)</f>
        <v>0</v>
      </c>
      <c r="S77" s="150">
        <f>SUMIF(adj!$C$3:$C$810,$A77,adj!G$3:G$810)</f>
        <v>0</v>
      </c>
    </row>
    <row r="78" spans="1:19">
      <c r="A78" s="461" t="s">
        <v>4219</v>
      </c>
      <c r="B78" s="510" t="s">
        <v>4207</v>
      </c>
      <c r="C78" s="511" t="s">
        <v>150</v>
      </c>
      <c r="D78" s="428">
        <v>0.79</v>
      </c>
      <c r="E78" s="444">
        <f t="shared" ref="E78:E83" si="23">IF($C78="R",$D78*(1+Q78),$D78+Q78)</f>
        <v>0.79</v>
      </c>
      <c r="F78" s="444">
        <f t="shared" si="18"/>
        <v>0.79</v>
      </c>
      <c r="G78" s="444">
        <f t="shared" si="18"/>
        <v>0.79</v>
      </c>
      <c r="H78" s="133" t="s">
        <v>4213</v>
      </c>
      <c r="I78" s="133"/>
      <c r="J78" s="133"/>
      <c r="K78" s="444">
        <f t="shared" si="0"/>
        <v>0.79</v>
      </c>
      <c r="L78" s="444">
        <f t="shared" si="1"/>
        <v>0.79</v>
      </c>
      <c r="M78" s="444">
        <f t="shared" si="1"/>
        <v>0.79</v>
      </c>
      <c r="N78" s="133" t="s">
        <v>7460</v>
      </c>
      <c r="O78" s="133"/>
      <c r="P78" s="151">
        <f>COUNTIF(adj!$C$3:$C$74,$A78)</f>
        <v>0</v>
      </c>
      <c r="Q78" s="150">
        <f>SUMIF(adj!$C$3:$C$810,$A78,adj!E$3:E$810)</f>
        <v>0</v>
      </c>
      <c r="R78" s="150">
        <f>SUMIF(adj!$C$3:$C$810,$A78,adj!F$3:F$810)</f>
        <v>0</v>
      </c>
      <c r="S78" s="150">
        <f>SUMIF(adj!$C$3:$C$810,$A78,adj!G$3:G$810)</f>
        <v>0</v>
      </c>
    </row>
    <row r="79" spans="1:19">
      <c r="A79" s="461" t="s">
        <v>4220</v>
      </c>
      <c r="B79" s="510" t="s">
        <v>4225</v>
      </c>
      <c r="C79" s="511" t="s">
        <v>150</v>
      </c>
      <c r="D79" s="428">
        <v>1.0377346484250716</v>
      </c>
      <c r="E79" s="444">
        <f t="shared" si="23"/>
        <v>1.0377346484250716</v>
      </c>
      <c r="F79" s="444">
        <f t="shared" si="18"/>
        <v>1.0377346484250716</v>
      </c>
      <c r="G79" s="444">
        <f t="shared" si="18"/>
        <v>1.0377346484250716</v>
      </c>
      <c r="H79" s="133" t="s">
        <v>4226</v>
      </c>
      <c r="I79" s="133"/>
      <c r="J79" s="133"/>
      <c r="K79" s="444">
        <f t="shared" si="0"/>
        <v>1.0377346484250716</v>
      </c>
      <c r="L79" s="444">
        <f t="shared" si="1"/>
        <v>1.0377346484250716</v>
      </c>
      <c r="M79" s="444">
        <f t="shared" si="1"/>
        <v>1.0377346484250716</v>
      </c>
      <c r="N79" s="133" t="s">
        <v>7461</v>
      </c>
      <c r="O79" s="133"/>
      <c r="P79" s="151">
        <f>COUNTIF(adj!$C$3:$C$74,$A79)</f>
        <v>0</v>
      </c>
      <c r="Q79" s="150">
        <f>SUMIF(adj!$C$3:$C$810,$A79,adj!E$3:E$810)</f>
        <v>0</v>
      </c>
      <c r="R79" s="150">
        <f>SUMIF(adj!$C$3:$C$810,$A79,adj!F$3:F$810)</f>
        <v>0</v>
      </c>
      <c r="S79" s="150">
        <f>SUMIF(adj!$C$3:$C$810,$A79,adj!G$3:G$810)</f>
        <v>0</v>
      </c>
    </row>
    <row r="80" spans="1:19">
      <c r="A80" s="461" t="s">
        <v>4221</v>
      </c>
      <c r="B80" s="510" t="s">
        <v>4227</v>
      </c>
      <c r="C80" s="511" t="s">
        <v>150</v>
      </c>
      <c r="D80" s="428">
        <v>0.53333333333333333</v>
      </c>
      <c r="E80" s="444">
        <f t="shared" si="23"/>
        <v>0.53333333333333333</v>
      </c>
      <c r="F80" s="444">
        <f t="shared" si="18"/>
        <v>0.53333333333333333</v>
      </c>
      <c r="G80" s="444">
        <f t="shared" si="18"/>
        <v>0.53333333333333333</v>
      </c>
      <c r="H80" s="133" t="s">
        <v>4228</v>
      </c>
      <c r="I80" s="133"/>
      <c r="J80" s="133"/>
      <c r="K80" s="444">
        <f t="shared" ref="K80:K141" si="24">IF($C80="R",$E80*(1+R80),$E80+S80)</f>
        <v>0.53333333333333333</v>
      </c>
      <c r="L80" s="444">
        <f t="shared" ref="L80:M111" si="25">$D80</f>
        <v>0.53333333333333333</v>
      </c>
      <c r="M80" s="444">
        <f t="shared" si="25"/>
        <v>0.53333333333333333</v>
      </c>
      <c r="N80" s="133" t="s">
        <v>7462</v>
      </c>
      <c r="O80" s="133"/>
      <c r="P80" s="151">
        <f>COUNTIF(adj!$C$3:$C$74,$A80)</f>
        <v>0</v>
      </c>
      <c r="Q80" s="150">
        <f>SUMIF(adj!$C$3:$C$810,$A80,adj!E$3:E$810)</f>
        <v>0</v>
      </c>
      <c r="R80" s="150">
        <f>SUMIF(adj!$C$3:$C$810,$A80,adj!F$3:F$810)</f>
        <v>0</v>
      </c>
      <c r="S80" s="150">
        <f>SUMIF(adj!$C$3:$C$810,$A80,adj!G$3:G$810)</f>
        <v>0</v>
      </c>
    </row>
    <row r="81" spans="1:19">
      <c r="A81" s="461" t="s">
        <v>4222</v>
      </c>
      <c r="B81" s="510" t="s">
        <v>4229</v>
      </c>
      <c r="C81" s="511" t="s">
        <v>150</v>
      </c>
      <c r="D81" s="428">
        <v>1.2474012474012472</v>
      </c>
      <c r="E81" s="444">
        <f t="shared" si="23"/>
        <v>1.2474012474012472</v>
      </c>
      <c r="F81" s="444">
        <f t="shared" si="18"/>
        <v>1.2474012474012472</v>
      </c>
      <c r="G81" s="444">
        <f t="shared" si="18"/>
        <v>1.2474012474012472</v>
      </c>
      <c r="H81" s="133" t="s">
        <v>4230</v>
      </c>
      <c r="I81" s="133"/>
      <c r="J81" s="133"/>
      <c r="K81" s="444">
        <f t="shared" si="24"/>
        <v>1.2474012474012472</v>
      </c>
      <c r="L81" s="444">
        <f t="shared" si="25"/>
        <v>1.2474012474012472</v>
      </c>
      <c r="M81" s="444">
        <f t="shared" si="25"/>
        <v>1.2474012474012472</v>
      </c>
      <c r="N81" s="133" t="s">
        <v>7463</v>
      </c>
      <c r="O81" s="133"/>
      <c r="P81" s="151">
        <f>COUNTIF(adj!$C$3:$C$74,$A81)</f>
        <v>0</v>
      </c>
      <c r="Q81" s="150">
        <f>SUMIF(adj!$C$3:$C$810,$A81,adj!E$3:E$810)</f>
        <v>0</v>
      </c>
      <c r="R81" s="150">
        <f>SUMIF(adj!$C$3:$C$810,$A81,adj!F$3:F$810)</f>
        <v>0</v>
      </c>
      <c r="S81" s="150">
        <f>SUMIF(adj!$C$3:$C$810,$A81,adj!G$3:G$810)</f>
        <v>0</v>
      </c>
    </row>
    <row r="82" spans="1:19">
      <c r="A82" s="461" t="s">
        <v>4223</v>
      </c>
      <c r="B82" s="510" t="s">
        <v>4231</v>
      </c>
      <c r="C82" s="511" t="s">
        <v>150</v>
      </c>
      <c r="D82" s="428">
        <v>1.2151355343480617</v>
      </c>
      <c r="E82" s="444">
        <f t="shared" si="23"/>
        <v>1.2151355343480617</v>
      </c>
      <c r="F82" s="444">
        <f t="shared" si="18"/>
        <v>1.2151355343480617</v>
      </c>
      <c r="G82" s="444">
        <f t="shared" si="18"/>
        <v>1.2151355343480617</v>
      </c>
      <c r="H82" s="133" t="s">
        <v>4232</v>
      </c>
      <c r="I82" s="133"/>
      <c r="J82" s="133"/>
      <c r="K82" s="444">
        <f t="shared" si="24"/>
        <v>1.2151355343480617</v>
      </c>
      <c r="L82" s="444">
        <f t="shared" si="25"/>
        <v>1.2151355343480617</v>
      </c>
      <c r="M82" s="444">
        <f t="shared" si="25"/>
        <v>1.2151355343480617</v>
      </c>
      <c r="N82" s="133" t="s">
        <v>7464</v>
      </c>
      <c r="O82" s="133"/>
      <c r="P82" s="151">
        <f>COUNTIF(adj!$C$3:$C$74,$A82)</f>
        <v>0</v>
      </c>
      <c r="Q82" s="150">
        <f>SUMIF(adj!$C$3:$C$810,$A82,adj!E$3:E$810)</f>
        <v>0</v>
      </c>
      <c r="R82" s="150">
        <f>SUMIF(adj!$C$3:$C$810,$A82,adj!F$3:F$810)</f>
        <v>0</v>
      </c>
      <c r="S82" s="150">
        <f>SUMIF(adj!$C$3:$C$810,$A82,adj!G$3:G$810)</f>
        <v>0</v>
      </c>
    </row>
    <row r="83" spans="1:19">
      <c r="A83" s="461" t="s">
        <v>4224</v>
      </c>
      <c r="B83" s="510" t="s">
        <v>4233</v>
      </c>
      <c r="C83" s="511" t="s">
        <v>150</v>
      </c>
      <c r="D83" s="428">
        <v>1</v>
      </c>
      <c r="E83" s="444">
        <f t="shared" si="23"/>
        <v>1</v>
      </c>
      <c r="F83" s="444">
        <f t="shared" ref="F83:G114" si="26">$D83</f>
        <v>1</v>
      </c>
      <c r="G83" s="444">
        <f t="shared" si="26"/>
        <v>1</v>
      </c>
      <c r="H83" s="133" t="s">
        <v>4234</v>
      </c>
      <c r="I83" s="133"/>
      <c r="J83" s="133"/>
      <c r="K83" s="444">
        <f t="shared" si="24"/>
        <v>1</v>
      </c>
      <c r="L83" s="444">
        <f t="shared" si="25"/>
        <v>1</v>
      </c>
      <c r="M83" s="444">
        <f t="shared" si="25"/>
        <v>1</v>
      </c>
      <c r="N83" s="133" t="s">
        <v>7465</v>
      </c>
      <c r="O83" s="133"/>
      <c r="P83" s="151">
        <f>COUNTIF(adj!$C$3:$C$74,$A83)</f>
        <v>0</v>
      </c>
      <c r="Q83" s="150">
        <f>SUMIF(adj!$C$3:$C$810,$A83,adj!E$3:E$810)</f>
        <v>0</v>
      </c>
      <c r="R83" s="150">
        <f>SUMIF(adj!$C$3:$C$810,$A83,adj!F$3:F$810)</f>
        <v>0</v>
      </c>
      <c r="S83" s="150">
        <f>SUMIF(adj!$C$3:$C$810,$A83,adj!G$3:G$810)</f>
        <v>0</v>
      </c>
    </row>
    <row r="84" spans="1:19">
      <c r="A84" s="461" t="s">
        <v>4236</v>
      </c>
      <c r="B84" s="510" t="s">
        <v>4229</v>
      </c>
      <c r="C84" s="511" t="s">
        <v>150</v>
      </c>
      <c r="D84" s="428">
        <v>0.9</v>
      </c>
      <c r="E84" s="444">
        <f t="shared" ref="E84:E86" si="27">IF($C84="R",$D84*(1+Q84),$D84+Q84)</f>
        <v>0.9</v>
      </c>
      <c r="F84" s="444">
        <f t="shared" si="26"/>
        <v>0.9</v>
      </c>
      <c r="G84" s="444">
        <f t="shared" si="26"/>
        <v>0.9</v>
      </c>
      <c r="H84" s="133" t="s">
        <v>4235</v>
      </c>
      <c r="I84" s="133"/>
      <c r="J84" s="133"/>
      <c r="K84" s="444">
        <f t="shared" si="24"/>
        <v>0.9</v>
      </c>
      <c r="L84" s="444">
        <f t="shared" si="25"/>
        <v>0.9</v>
      </c>
      <c r="M84" s="444">
        <f t="shared" si="25"/>
        <v>0.9</v>
      </c>
      <c r="N84" s="133" t="s">
        <v>7466</v>
      </c>
      <c r="O84" s="133"/>
      <c r="P84" s="151">
        <f>COUNTIF(adj!$C$3:$C$74,$A84)</f>
        <v>0</v>
      </c>
      <c r="Q84" s="150">
        <f>SUMIF(adj!$C$3:$C$810,$A84,adj!E$3:E$810)</f>
        <v>0</v>
      </c>
      <c r="R84" s="150">
        <f>SUMIF(adj!$C$3:$C$810,$A84,adj!F$3:F$810)</f>
        <v>0</v>
      </c>
      <c r="S84" s="150">
        <f>SUMIF(adj!$C$3:$C$810,$A84,adj!G$3:G$810)</f>
        <v>0</v>
      </c>
    </row>
    <row r="85" spans="1:19">
      <c r="A85" s="461" t="s">
        <v>4361</v>
      </c>
      <c r="B85" s="510" t="str">
        <f>"LOB1 - " &amp; nmEmp1 &amp; " Per Episode"</f>
        <v>LOB1 - Skilled Nursing Per Episode</v>
      </c>
      <c r="C85" s="511" t="s">
        <v>150</v>
      </c>
      <c r="D85" s="428">
        <v>1</v>
      </c>
      <c r="E85" s="444">
        <f t="shared" si="27"/>
        <v>1</v>
      </c>
      <c r="F85" s="444">
        <f t="shared" si="26"/>
        <v>1</v>
      </c>
      <c r="G85" s="444">
        <f t="shared" si="26"/>
        <v>1</v>
      </c>
      <c r="H85" s="133" t="s">
        <v>4358</v>
      </c>
      <c r="I85" s="133"/>
      <c r="J85" s="133"/>
      <c r="K85" s="444">
        <f t="shared" si="24"/>
        <v>1</v>
      </c>
      <c r="L85" s="444">
        <f t="shared" si="25"/>
        <v>1</v>
      </c>
      <c r="M85" s="444">
        <f t="shared" si="25"/>
        <v>1</v>
      </c>
      <c r="N85" s="133" t="s">
        <v>7467</v>
      </c>
      <c r="O85" s="133"/>
      <c r="P85" s="151">
        <f>COUNTIF(adj!$C$3:$C$74,$A85)</f>
        <v>0</v>
      </c>
      <c r="Q85" s="150">
        <f>SUMIF(adj!$C$3:$C$810,$A85,adj!E$3:E$810)</f>
        <v>0</v>
      </c>
      <c r="R85" s="150">
        <f>SUMIF(adj!$C$3:$C$810,$A85,adj!F$3:F$810)</f>
        <v>0</v>
      </c>
      <c r="S85" s="150">
        <f>SUMIF(adj!$C$3:$C$810,$A85,adj!G$3:G$810)</f>
        <v>0</v>
      </c>
    </row>
    <row r="86" spans="1:19">
      <c r="A86" s="461" t="s">
        <v>4362</v>
      </c>
      <c r="B86" s="510" t="str">
        <f>"LOB1 - " &amp; nmEmp2 &amp; " Per Episode"</f>
        <v>LOB1 - Occupational Therapy Per Episode</v>
      </c>
      <c r="C86" s="511" t="s">
        <v>150</v>
      </c>
      <c r="D86" s="428">
        <v>1</v>
      </c>
      <c r="E86" s="444">
        <f t="shared" si="27"/>
        <v>1</v>
      </c>
      <c r="F86" s="444">
        <f t="shared" si="26"/>
        <v>1</v>
      </c>
      <c r="G86" s="444">
        <f t="shared" si="26"/>
        <v>1</v>
      </c>
      <c r="H86" s="133" t="s">
        <v>4359</v>
      </c>
      <c r="I86" s="133"/>
      <c r="J86" s="133"/>
      <c r="K86" s="444">
        <f t="shared" si="24"/>
        <v>1</v>
      </c>
      <c r="L86" s="444">
        <f t="shared" si="25"/>
        <v>1</v>
      </c>
      <c r="M86" s="444">
        <f t="shared" si="25"/>
        <v>1</v>
      </c>
      <c r="N86" s="133" t="s">
        <v>7468</v>
      </c>
      <c r="O86" s="133"/>
      <c r="P86" s="151">
        <f>COUNTIF(adj!$C$3:$C$74,$A86)</f>
        <v>0</v>
      </c>
      <c r="Q86" s="150">
        <f>SUMIF(adj!$C$3:$C$810,$A86,adj!E$3:E$810)</f>
        <v>0</v>
      </c>
      <c r="R86" s="150">
        <f>SUMIF(adj!$C$3:$C$810,$A86,adj!F$3:F$810)</f>
        <v>0</v>
      </c>
      <c r="S86" s="150">
        <f>SUMIF(adj!$C$3:$C$810,$A86,adj!G$3:G$810)</f>
        <v>0</v>
      </c>
    </row>
    <row r="87" spans="1:19">
      <c r="A87" s="461" t="s">
        <v>4363</v>
      </c>
      <c r="B87" s="576" t="str">
        <f>"LOB1 - " &amp; nmEmp3 &amp; " Per Episode"</f>
        <v>LOB1 - Physical Therapy Per Episode</v>
      </c>
      <c r="C87" s="511" t="s">
        <v>150</v>
      </c>
      <c r="D87" s="428">
        <v>1</v>
      </c>
      <c r="E87" s="444">
        <f t="shared" ref="E87:E90" si="28">IF($C87="R",$D87*(1+Q87),$D87+Q87)</f>
        <v>1</v>
      </c>
      <c r="F87" s="444">
        <f t="shared" si="26"/>
        <v>1</v>
      </c>
      <c r="G87" s="444">
        <f t="shared" si="26"/>
        <v>1</v>
      </c>
      <c r="H87" s="133" t="s">
        <v>4360</v>
      </c>
      <c r="I87" s="133"/>
      <c r="J87" s="133"/>
      <c r="K87" s="444">
        <f t="shared" si="24"/>
        <v>1</v>
      </c>
      <c r="L87" s="444">
        <f t="shared" si="25"/>
        <v>1</v>
      </c>
      <c r="M87" s="444">
        <f t="shared" si="25"/>
        <v>1</v>
      </c>
      <c r="N87" s="133" t="s">
        <v>7469</v>
      </c>
      <c r="O87" s="133"/>
      <c r="P87" s="151">
        <f>COUNTIF(adj!$C$3:$C$74,$A87)</f>
        <v>0</v>
      </c>
      <c r="Q87" s="150">
        <f>SUMIF(adj!$C$3:$C$810,$A87,adj!E$3:E$810)</f>
        <v>0</v>
      </c>
      <c r="R87" s="150">
        <f>SUMIF(adj!$C$3:$C$810,$A87,adj!F$3:F$810)</f>
        <v>0</v>
      </c>
      <c r="S87" s="150">
        <f>SUMIF(adj!$C$3:$C$810,$A87,adj!G$3:G$810)</f>
        <v>0</v>
      </c>
    </row>
    <row r="88" spans="1:19">
      <c r="A88" s="461" t="s">
        <v>4373</v>
      </c>
      <c r="B88" s="576" t="s">
        <v>4377</v>
      </c>
      <c r="C88" s="511" t="s">
        <v>150</v>
      </c>
      <c r="D88" s="428">
        <v>1</v>
      </c>
      <c r="E88" s="444">
        <f t="shared" si="28"/>
        <v>1</v>
      </c>
      <c r="F88" s="444">
        <f t="shared" si="26"/>
        <v>1</v>
      </c>
      <c r="G88" s="444">
        <f t="shared" si="26"/>
        <v>1</v>
      </c>
      <c r="H88" s="133" t="s">
        <v>4381</v>
      </c>
      <c r="I88" s="133"/>
      <c r="J88" s="133"/>
      <c r="K88" s="444">
        <f t="shared" si="24"/>
        <v>1</v>
      </c>
      <c r="L88" s="444">
        <f t="shared" si="25"/>
        <v>1</v>
      </c>
      <c r="M88" s="444">
        <f t="shared" si="25"/>
        <v>1</v>
      </c>
      <c r="N88" s="133" t="s">
        <v>7470</v>
      </c>
      <c r="O88" s="133"/>
      <c r="P88" s="151">
        <f>COUNTIF(adj!$C$3:$C$74,$A88)</f>
        <v>0</v>
      </c>
      <c r="Q88" s="150">
        <f>SUMIF(adj!$C$3:$C$810,$A88,adj!E$3:E$810)</f>
        <v>0</v>
      </c>
      <c r="R88" s="150">
        <f>SUMIF(adj!$C$3:$C$810,$A88,adj!F$3:F$810)</f>
        <v>0</v>
      </c>
      <c r="S88" s="150">
        <f>SUMIF(adj!$C$3:$C$810,$A88,adj!G$3:G$810)</f>
        <v>0</v>
      </c>
    </row>
    <row r="89" spans="1:19">
      <c r="A89" s="461" t="s">
        <v>4374</v>
      </c>
      <c r="B89" s="576" t="s">
        <v>4378</v>
      </c>
      <c r="C89" s="511" t="s">
        <v>150</v>
      </c>
      <c r="D89" s="428">
        <v>1</v>
      </c>
      <c r="E89" s="444">
        <f t="shared" si="28"/>
        <v>1</v>
      </c>
      <c r="F89" s="444">
        <f t="shared" si="26"/>
        <v>1</v>
      </c>
      <c r="G89" s="444">
        <f t="shared" si="26"/>
        <v>1</v>
      </c>
      <c r="H89" s="133" t="s">
        <v>4382</v>
      </c>
      <c r="I89" s="133"/>
      <c r="J89" s="133"/>
      <c r="K89" s="444">
        <f t="shared" si="24"/>
        <v>1</v>
      </c>
      <c r="L89" s="444">
        <f t="shared" si="25"/>
        <v>1</v>
      </c>
      <c r="M89" s="444">
        <f t="shared" si="25"/>
        <v>1</v>
      </c>
      <c r="N89" s="133" t="s">
        <v>7471</v>
      </c>
      <c r="O89" s="133"/>
      <c r="P89" s="151">
        <f>COUNTIF(adj!$C$3:$C$74,$A89)</f>
        <v>0</v>
      </c>
      <c r="Q89" s="150">
        <f>SUMIF(adj!$C$3:$C$810,$A89,adj!E$3:E$810)</f>
        <v>0</v>
      </c>
      <c r="R89" s="150">
        <f>SUMIF(adj!$C$3:$C$810,$A89,adj!F$3:F$810)</f>
        <v>0</v>
      </c>
      <c r="S89" s="150">
        <f>SUMIF(adj!$C$3:$C$810,$A89,adj!G$3:G$810)</f>
        <v>0</v>
      </c>
    </row>
    <row r="90" spans="1:19">
      <c r="A90" s="461" t="s">
        <v>4375</v>
      </c>
      <c r="B90" s="576" t="s">
        <v>4379</v>
      </c>
      <c r="C90" s="511" t="s">
        <v>150</v>
      </c>
      <c r="D90" s="428">
        <v>1</v>
      </c>
      <c r="E90" s="444">
        <f t="shared" si="28"/>
        <v>1</v>
      </c>
      <c r="F90" s="444">
        <f t="shared" si="26"/>
        <v>1</v>
      </c>
      <c r="G90" s="444">
        <f t="shared" si="26"/>
        <v>1</v>
      </c>
      <c r="H90" s="133" t="s">
        <v>4383</v>
      </c>
      <c r="I90" s="133"/>
      <c r="J90" s="133"/>
      <c r="K90" s="444">
        <f t="shared" si="24"/>
        <v>1</v>
      </c>
      <c r="L90" s="444">
        <f t="shared" si="25"/>
        <v>1</v>
      </c>
      <c r="M90" s="444">
        <f t="shared" si="25"/>
        <v>1</v>
      </c>
      <c r="N90" s="133" t="s">
        <v>7472</v>
      </c>
      <c r="O90" s="133"/>
      <c r="P90" s="151">
        <f>COUNTIF(adj!$C$3:$C$74,$A90)</f>
        <v>0</v>
      </c>
      <c r="Q90" s="150">
        <f>SUMIF(adj!$C$3:$C$810,$A90,adj!E$3:E$810)</f>
        <v>0</v>
      </c>
      <c r="R90" s="150">
        <f>SUMIF(adj!$C$3:$C$810,$A90,adj!F$3:F$810)</f>
        <v>0</v>
      </c>
      <c r="S90" s="150">
        <f>SUMIF(adj!$C$3:$C$810,$A90,adj!G$3:G$810)</f>
        <v>0</v>
      </c>
    </row>
    <row r="91" spans="1:19">
      <c r="A91" s="461" t="s">
        <v>4376</v>
      </c>
      <c r="B91" s="576" t="s">
        <v>4380</v>
      </c>
      <c r="C91" s="511" t="s">
        <v>150</v>
      </c>
      <c r="D91" s="428">
        <v>1</v>
      </c>
      <c r="E91" s="444">
        <f t="shared" ref="E91:E103" si="29">IF($C91="R",$D91*(1+Q91),$D91+Q91)</f>
        <v>1</v>
      </c>
      <c r="F91" s="444">
        <f t="shared" si="26"/>
        <v>1</v>
      </c>
      <c r="G91" s="444">
        <f t="shared" si="26"/>
        <v>1</v>
      </c>
      <c r="H91" s="133" t="s">
        <v>4384</v>
      </c>
      <c r="I91" s="133"/>
      <c r="J91" s="133"/>
      <c r="K91" s="444">
        <f t="shared" si="24"/>
        <v>1</v>
      </c>
      <c r="L91" s="444">
        <f t="shared" si="25"/>
        <v>1</v>
      </c>
      <c r="M91" s="444">
        <f t="shared" si="25"/>
        <v>1</v>
      </c>
      <c r="N91" s="133" t="s">
        <v>7473</v>
      </c>
      <c r="O91" s="133"/>
      <c r="P91" s="151">
        <f>COUNTIF(adj!$C$3:$C$74,$A91)</f>
        <v>0</v>
      </c>
      <c r="Q91" s="150">
        <f>SUMIF(adj!$C$3:$C$810,$A91,adj!E$3:E$810)</f>
        <v>0</v>
      </c>
      <c r="R91" s="150">
        <f>SUMIF(adj!$C$3:$C$810,$A91,adj!F$3:F$810)</f>
        <v>0</v>
      </c>
      <c r="S91" s="150">
        <f>SUMIF(adj!$C$3:$C$810,$A91,adj!G$3:G$810)</f>
        <v>0</v>
      </c>
    </row>
    <row r="92" spans="1:19">
      <c r="A92" s="461" t="s">
        <v>4464</v>
      </c>
      <c r="B92" s="510" t="s">
        <v>4440</v>
      </c>
      <c r="C92" s="511" t="s">
        <v>150</v>
      </c>
      <c r="D92" s="428">
        <v>1</v>
      </c>
      <c r="E92" s="444">
        <f t="shared" si="29"/>
        <v>1</v>
      </c>
      <c r="F92" s="444">
        <f t="shared" si="26"/>
        <v>1</v>
      </c>
      <c r="G92" s="444">
        <f t="shared" si="26"/>
        <v>1</v>
      </c>
      <c r="H92" s="133" t="s">
        <v>4441</v>
      </c>
      <c r="I92" s="133"/>
      <c r="J92" s="133"/>
      <c r="K92" s="444">
        <f t="shared" si="24"/>
        <v>1</v>
      </c>
      <c r="L92" s="444">
        <f t="shared" si="25"/>
        <v>1</v>
      </c>
      <c r="M92" s="444">
        <f t="shared" si="25"/>
        <v>1</v>
      </c>
      <c r="N92" s="133" t="s">
        <v>7474</v>
      </c>
      <c r="O92" s="133"/>
      <c r="P92" s="151">
        <f>COUNTIF(adj!$C$3:$C$74,$A92)</f>
        <v>1</v>
      </c>
      <c r="Q92" s="150">
        <f>SUMIF(adj!$C$3:$C$810,$A92,adj!E$3:E$810)</f>
        <v>0</v>
      </c>
      <c r="R92" s="150">
        <f>SUMIF(adj!$C$3:$C$810,$A92,adj!F$3:F$810)</f>
        <v>0</v>
      </c>
      <c r="S92" s="150">
        <f>SUMIF(adj!$C$3:$C$810,$A92,adj!G$3:G$810)</f>
        <v>0</v>
      </c>
    </row>
    <row r="93" spans="1:19">
      <c r="A93" s="461" t="s">
        <v>4465</v>
      </c>
      <c r="B93" s="510" t="s">
        <v>4442</v>
      </c>
      <c r="C93" s="511" t="s">
        <v>150</v>
      </c>
      <c r="D93" s="428">
        <v>1</v>
      </c>
      <c r="E93" s="444">
        <f t="shared" si="29"/>
        <v>1</v>
      </c>
      <c r="F93" s="444">
        <f t="shared" si="26"/>
        <v>1</v>
      </c>
      <c r="G93" s="444">
        <f t="shared" si="26"/>
        <v>1</v>
      </c>
      <c r="H93" s="133" t="s">
        <v>4443</v>
      </c>
      <c r="I93" s="133"/>
      <c r="J93" s="133"/>
      <c r="K93" s="444">
        <f t="shared" si="24"/>
        <v>1</v>
      </c>
      <c r="L93" s="444">
        <f t="shared" si="25"/>
        <v>1</v>
      </c>
      <c r="M93" s="444">
        <f t="shared" si="25"/>
        <v>1</v>
      </c>
      <c r="N93" s="133" t="s">
        <v>7475</v>
      </c>
      <c r="O93" s="133"/>
      <c r="P93" s="151">
        <f>COUNTIF(adj!$C$3:$C$74,$A93)</f>
        <v>0</v>
      </c>
      <c r="Q93" s="150">
        <f>SUMIF(adj!$C$3:$C$810,$A93,adj!E$3:E$810)</f>
        <v>0</v>
      </c>
      <c r="R93" s="150">
        <f>SUMIF(adj!$C$3:$C$810,$A93,adj!F$3:F$810)</f>
        <v>0</v>
      </c>
      <c r="S93" s="150">
        <f>SUMIF(adj!$C$3:$C$810,$A93,adj!G$3:G$810)</f>
        <v>0</v>
      </c>
    </row>
    <row r="94" spans="1:19">
      <c r="A94" s="461" t="s">
        <v>4466</v>
      </c>
      <c r="B94" s="510" t="s">
        <v>4444</v>
      </c>
      <c r="C94" s="511" t="s">
        <v>150</v>
      </c>
      <c r="D94" s="428">
        <v>1</v>
      </c>
      <c r="E94" s="444">
        <f t="shared" si="29"/>
        <v>1</v>
      </c>
      <c r="F94" s="444">
        <f t="shared" si="26"/>
        <v>1</v>
      </c>
      <c r="G94" s="444">
        <f t="shared" si="26"/>
        <v>1</v>
      </c>
      <c r="H94" s="133" t="s">
        <v>4445</v>
      </c>
      <c r="I94" s="133"/>
      <c r="J94" s="133"/>
      <c r="K94" s="444">
        <f t="shared" si="24"/>
        <v>1</v>
      </c>
      <c r="L94" s="444">
        <f t="shared" si="25"/>
        <v>1</v>
      </c>
      <c r="M94" s="444">
        <f t="shared" si="25"/>
        <v>1</v>
      </c>
      <c r="N94" s="133" t="s">
        <v>7476</v>
      </c>
      <c r="O94" s="133"/>
      <c r="P94" s="151">
        <f>COUNTIF(adj!$C$3:$C$74,$A94)</f>
        <v>0</v>
      </c>
      <c r="Q94" s="150">
        <f>SUMIF(adj!$C$3:$C$810,$A94,adj!E$3:E$810)</f>
        <v>0</v>
      </c>
      <c r="R94" s="150">
        <f>SUMIF(adj!$C$3:$C$810,$A94,adj!F$3:F$810)</f>
        <v>0</v>
      </c>
      <c r="S94" s="150">
        <f>SUMIF(adj!$C$3:$C$810,$A94,adj!G$3:G$810)</f>
        <v>0</v>
      </c>
    </row>
    <row r="95" spans="1:19">
      <c r="A95" s="461" t="s">
        <v>4467</v>
      </c>
      <c r="B95" s="510" t="s">
        <v>4446</v>
      </c>
      <c r="C95" s="511" t="s">
        <v>150</v>
      </c>
      <c r="D95" s="428">
        <v>1</v>
      </c>
      <c r="E95" s="444">
        <f t="shared" si="29"/>
        <v>1</v>
      </c>
      <c r="F95" s="444">
        <f t="shared" si="26"/>
        <v>1</v>
      </c>
      <c r="G95" s="444">
        <f t="shared" si="26"/>
        <v>1</v>
      </c>
      <c r="H95" s="133" t="s">
        <v>4447</v>
      </c>
      <c r="I95" s="133"/>
      <c r="J95" s="133"/>
      <c r="K95" s="444">
        <f t="shared" si="24"/>
        <v>1</v>
      </c>
      <c r="L95" s="444">
        <f t="shared" si="25"/>
        <v>1</v>
      </c>
      <c r="M95" s="444">
        <f t="shared" si="25"/>
        <v>1</v>
      </c>
      <c r="N95" s="133" t="s">
        <v>7477</v>
      </c>
      <c r="O95" s="133"/>
      <c r="P95" s="151">
        <f>COUNTIF(adj!$C$3:$C$74,$A95)</f>
        <v>0</v>
      </c>
      <c r="Q95" s="150">
        <f>SUMIF(adj!$C$3:$C$810,$A95,adj!E$3:E$810)</f>
        <v>0</v>
      </c>
      <c r="R95" s="150">
        <f>SUMIF(adj!$C$3:$C$810,$A95,adj!F$3:F$810)</f>
        <v>0</v>
      </c>
      <c r="S95" s="150">
        <f>SUMIF(adj!$C$3:$C$810,$A95,adj!G$3:G$810)</f>
        <v>0</v>
      </c>
    </row>
    <row r="96" spans="1:19">
      <c r="A96" s="461" t="s">
        <v>4468</v>
      </c>
      <c r="B96" s="510" t="s">
        <v>4448</v>
      </c>
      <c r="C96" s="511" t="s">
        <v>150</v>
      </c>
      <c r="D96" s="428">
        <v>1</v>
      </c>
      <c r="E96" s="444">
        <f t="shared" si="29"/>
        <v>1</v>
      </c>
      <c r="F96" s="444">
        <f t="shared" si="26"/>
        <v>1</v>
      </c>
      <c r="G96" s="444">
        <f t="shared" si="26"/>
        <v>1</v>
      </c>
      <c r="H96" s="133" t="s">
        <v>4449</v>
      </c>
      <c r="I96" s="133"/>
      <c r="J96" s="133"/>
      <c r="K96" s="444">
        <f t="shared" si="24"/>
        <v>1</v>
      </c>
      <c r="L96" s="444">
        <f t="shared" si="25"/>
        <v>1</v>
      </c>
      <c r="M96" s="444">
        <f t="shared" si="25"/>
        <v>1</v>
      </c>
      <c r="N96" s="133" t="s">
        <v>7478</v>
      </c>
      <c r="O96" s="133"/>
      <c r="P96" s="151">
        <f>COUNTIF(adj!$C$3:$C$74,$A96)</f>
        <v>1</v>
      </c>
      <c r="Q96" s="150">
        <f>SUMIF(adj!$C$3:$C$810,$A96,adj!E$3:E$810)</f>
        <v>0</v>
      </c>
      <c r="R96" s="150">
        <f>SUMIF(adj!$C$3:$C$810,$A96,adj!F$3:F$810)</f>
        <v>0</v>
      </c>
      <c r="S96" s="150">
        <f>SUMIF(adj!$C$3:$C$810,$A96,adj!G$3:G$810)</f>
        <v>0</v>
      </c>
    </row>
    <row r="97" spans="1:19">
      <c r="A97" s="461" t="s">
        <v>4469</v>
      </c>
      <c r="B97" s="510" t="s">
        <v>4450</v>
      </c>
      <c r="C97" s="511" t="s">
        <v>150</v>
      </c>
      <c r="D97" s="428">
        <v>1</v>
      </c>
      <c r="E97" s="444">
        <f t="shared" si="29"/>
        <v>1</v>
      </c>
      <c r="F97" s="444">
        <f t="shared" si="26"/>
        <v>1</v>
      </c>
      <c r="G97" s="444">
        <f t="shared" si="26"/>
        <v>1</v>
      </c>
      <c r="H97" s="133" t="s">
        <v>4451</v>
      </c>
      <c r="I97" s="133"/>
      <c r="J97" s="133"/>
      <c r="K97" s="444">
        <f t="shared" si="24"/>
        <v>1</v>
      </c>
      <c r="L97" s="444">
        <f t="shared" si="25"/>
        <v>1</v>
      </c>
      <c r="M97" s="444">
        <f t="shared" si="25"/>
        <v>1</v>
      </c>
      <c r="N97" s="133" t="s">
        <v>7479</v>
      </c>
      <c r="O97" s="133"/>
      <c r="P97" s="151">
        <f>COUNTIF(adj!$C$3:$C$74,$A97)</f>
        <v>1</v>
      </c>
      <c r="Q97" s="150">
        <f>SUMIF(adj!$C$3:$C$810,$A97,adj!E$3:E$810)</f>
        <v>0</v>
      </c>
      <c r="R97" s="150">
        <f>SUMIF(adj!$C$3:$C$810,$A97,adj!F$3:F$810)</f>
        <v>0</v>
      </c>
      <c r="S97" s="150">
        <f>SUMIF(adj!$C$3:$C$810,$A97,adj!G$3:G$810)</f>
        <v>0</v>
      </c>
    </row>
    <row r="98" spans="1:19">
      <c r="A98" s="461" t="s">
        <v>4470</v>
      </c>
      <c r="B98" s="510" t="s">
        <v>4452</v>
      </c>
      <c r="C98" s="511" t="s">
        <v>150</v>
      </c>
      <c r="D98" s="428">
        <v>1</v>
      </c>
      <c r="E98" s="444">
        <f t="shared" si="29"/>
        <v>1</v>
      </c>
      <c r="F98" s="444">
        <f t="shared" si="26"/>
        <v>1</v>
      </c>
      <c r="G98" s="444">
        <f t="shared" si="26"/>
        <v>1</v>
      </c>
      <c r="H98" s="133" t="s">
        <v>4453</v>
      </c>
      <c r="I98" s="133"/>
      <c r="J98" s="133"/>
      <c r="K98" s="444">
        <f t="shared" si="24"/>
        <v>1</v>
      </c>
      <c r="L98" s="444">
        <f t="shared" si="25"/>
        <v>1</v>
      </c>
      <c r="M98" s="444">
        <f t="shared" si="25"/>
        <v>1</v>
      </c>
      <c r="N98" s="133" t="s">
        <v>7480</v>
      </c>
      <c r="O98" s="133"/>
      <c r="P98" s="151">
        <f>COUNTIF(adj!$C$3:$C$74,$A98)</f>
        <v>0</v>
      </c>
      <c r="Q98" s="150">
        <f>SUMIF(adj!$C$3:$C$810,$A98,adj!E$3:E$810)</f>
        <v>0</v>
      </c>
      <c r="R98" s="150">
        <f>SUMIF(adj!$C$3:$C$810,$A98,adj!F$3:F$810)</f>
        <v>0</v>
      </c>
      <c r="S98" s="150">
        <f>SUMIF(adj!$C$3:$C$810,$A98,adj!G$3:G$810)</f>
        <v>0</v>
      </c>
    </row>
    <row r="99" spans="1:19">
      <c r="A99" s="461" t="s">
        <v>4471</v>
      </c>
      <c r="B99" s="510" t="s">
        <v>4454</v>
      </c>
      <c r="C99" s="511" t="s">
        <v>150</v>
      </c>
      <c r="D99" s="428">
        <v>1</v>
      </c>
      <c r="E99" s="444">
        <f t="shared" si="29"/>
        <v>1</v>
      </c>
      <c r="F99" s="444">
        <f t="shared" si="26"/>
        <v>1</v>
      </c>
      <c r="G99" s="444">
        <f t="shared" si="26"/>
        <v>1</v>
      </c>
      <c r="H99" s="133" t="s">
        <v>4455</v>
      </c>
      <c r="I99" s="133"/>
      <c r="J99" s="133"/>
      <c r="K99" s="444">
        <f t="shared" si="24"/>
        <v>1</v>
      </c>
      <c r="L99" s="444">
        <f t="shared" si="25"/>
        <v>1</v>
      </c>
      <c r="M99" s="444">
        <f t="shared" si="25"/>
        <v>1</v>
      </c>
      <c r="N99" s="133" t="s">
        <v>7481</v>
      </c>
      <c r="O99" s="133"/>
      <c r="P99" s="151">
        <f>COUNTIF(adj!$C$3:$C$74,$A99)</f>
        <v>0</v>
      </c>
      <c r="Q99" s="150">
        <f>SUMIF(adj!$C$3:$C$810,$A99,adj!E$3:E$810)</f>
        <v>0</v>
      </c>
      <c r="R99" s="150">
        <f>SUMIF(adj!$C$3:$C$810,$A99,adj!F$3:F$810)</f>
        <v>0</v>
      </c>
      <c r="S99" s="150">
        <f>SUMIF(adj!$C$3:$C$810,$A99,adj!G$3:G$810)</f>
        <v>0</v>
      </c>
    </row>
    <row r="100" spans="1:19">
      <c r="A100" s="461" t="s">
        <v>4472</v>
      </c>
      <c r="B100" s="510" t="s">
        <v>4456</v>
      </c>
      <c r="C100" s="511" t="s">
        <v>150</v>
      </c>
      <c r="D100" s="428">
        <v>1</v>
      </c>
      <c r="E100" s="444">
        <f t="shared" si="29"/>
        <v>1</v>
      </c>
      <c r="F100" s="444">
        <f t="shared" si="26"/>
        <v>1</v>
      </c>
      <c r="G100" s="444">
        <f t="shared" si="26"/>
        <v>1</v>
      </c>
      <c r="H100" s="133" t="s">
        <v>4457</v>
      </c>
      <c r="I100" s="133"/>
      <c r="J100" s="133"/>
      <c r="K100" s="444">
        <f t="shared" si="24"/>
        <v>1</v>
      </c>
      <c r="L100" s="444">
        <f t="shared" si="25"/>
        <v>1</v>
      </c>
      <c r="M100" s="444">
        <f t="shared" si="25"/>
        <v>1</v>
      </c>
      <c r="N100" s="133" t="s">
        <v>7482</v>
      </c>
      <c r="O100" s="133"/>
      <c r="P100" s="151">
        <f>COUNTIF(adj!$C$3:$C$74,$A100)</f>
        <v>0</v>
      </c>
      <c r="Q100" s="150">
        <f>SUMIF(adj!$C$3:$C$810,$A100,adj!E$3:E$810)</f>
        <v>0</v>
      </c>
      <c r="R100" s="150">
        <f>SUMIF(adj!$C$3:$C$810,$A100,adj!F$3:F$810)</f>
        <v>0</v>
      </c>
      <c r="S100" s="150">
        <f>SUMIF(adj!$C$3:$C$810,$A100,adj!G$3:G$810)</f>
        <v>0</v>
      </c>
    </row>
    <row r="101" spans="1:19">
      <c r="A101" s="461" t="s">
        <v>4473</v>
      </c>
      <c r="B101" s="510" t="s">
        <v>4458</v>
      </c>
      <c r="C101" s="511" t="s">
        <v>150</v>
      </c>
      <c r="D101" s="428">
        <v>1</v>
      </c>
      <c r="E101" s="444">
        <f t="shared" si="29"/>
        <v>1</v>
      </c>
      <c r="F101" s="444">
        <f t="shared" si="26"/>
        <v>1</v>
      </c>
      <c r="G101" s="444">
        <f t="shared" si="26"/>
        <v>1</v>
      </c>
      <c r="H101" s="133" t="s">
        <v>4459</v>
      </c>
      <c r="I101" s="133"/>
      <c r="J101" s="133"/>
      <c r="K101" s="444">
        <f t="shared" si="24"/>
        <v>1</v>
      </c>
      <c r="L101" s="444">
        <f t="shared" si="25"/>
        <v>1</v>
      </c>
      <c r="M101" s="444">
        <f t="shared" si="25"/>
        <v>1</v>
      </c>
      <c r="N101" s="133" t="s">
        <v>7483</v>
      </c>
      <c r="O101" s="133"/>
      <c r="P101" s="151">
        <f>COUNTIF(adj!$C$3:$C$74,$A101)</f>
        <v>0</v>
      </c>
      <c r="Q101" s="150">
        <f>SUMIF(adj!$C$3:$C$810,$A101,adj!E$3:E$810)</f>
        <v>0</v>
      </c>
      <c r="R101" s="150">
        <f>SUMIF(adj!$C$3:$C$810,$A101,adj!F$3:F$810)</f>
        <v>0</v>
      </c>
      <c r="S101" s="150">
        <f>SUMIF(adj!$C$3:$C$810,$A101,adj!G$3:G$810)</f>
        <v>0</v>
      </c>
    </row>
    <row r="102" spans="1:19">
      <c r="A102" s="461" t="s">
        <v>4474</v>
      </c>
      <c r="B102" s="510" t="s">
        <v>4460</v>
      </c>
      <c r="C102" s="511" t="s">
        <v>150</v>
      </c>
      <c r="D102" s="428">
        <v>1</v>
      </c>
      <c r="E102" s="444">
        <f t="shared" si="29"/>
        <v>1</v>
      </c>
      <c r="F102" s="444">
        <f t="shared" si="26"/>
        <v>1</v>
      </c>
      <c r="G102" s="444">
        <f t="shared" si="26"/>
        <v>1</v>
      </c>
      <c r="H102" s="133" t="s">
        <v>4461</v>
      </c>
      <c r="I102" s="133"/>
      <c r="J102" s="133"/>
      <c r="K102" s="444">
        <f t="shared" si="24"/>
        <v>1</v>
      </c>
      <c r="L102" s="444">
        <f t="shared" si="25"/>
        <v>1</v>
      </c>
      <c r="M102" s="444">
        <f t="shared" si="25"/>
        <v>1</v>
      </c>
      <c r="N102" s="133" t="s">
        <v>7484</v>
      </c>
      <c r="O102" s="133"/>
      <c r="P102" s="151">
        <f>COUNTIF(adj!$C$3:$C$74,$A102)</f>
        <v>0</v>
      </c>
      <c r="Q102" s="150">
        <f>SUMIF(adj!$C$3:$C$810,$A102,adj!E$3:E$810)</f>
        <v>0</v>
      </c>
      <c r="R102" s="150">
        <f>SUMIF(adj!$C$3:$C$810,$A102,adj!F$3:F$810)</f>
        <v>0</v>
      </c>
      <c r="S102" s="150">
        <f>SUMIF(adj!$C$3:$C$810,$A102,adj!G$3:G$810)</f>
        <v>0</v>
      </c>
    </row>
    <row r="103" spans="1:19">
      <c r="A103" s="461" t="s">
        <v>4475</v>
      </c>
      <c r="B103" s="510" t="s">
        <v>4462</v>
      </c>
      <c r="C103" s="511" t="s">
        <v>150</v>
      </c>
      <c r="D103" s="428">
        <v>1</v>
      </c>
      <c r="E103" s="444">
        <f t="shared" si="29"/>
        <v>1</v>
      </c>
      <c r="F103" s="444">
        <f t="shared" si="26"/>
        <v>1</v>
      </c>
      <c r="G103" s="444">
        <f t="shared" si="26"/>
        <v>1</v>
      </c>
      <c r="H103" s="133" t="s">
        <v>4463</v>
      </c>
      <c r="I103" s="133"/>
      <c r="J103" s="133"/>
      <c r="K103" s="444">
        <f t="shared" si="24"/>
        <v>1</v>
      </c>
      <c r="L103" s="444">
        <f t="shared" si="25"/>
        <v>1</v>
      </c>
      <c r="M103" s="444">
        <f t="shared" si="25"/>
        <v>1</v>
      </c>
      <c r="N103" s="133" t="s">
        <v>7485</v>
      </c>
      <c r="O103" s="133"/>
      <c r="P103" s="151">
        <f>COUNTIF(adj!$C$3:$C$74,$A103)</f>
        <v>0</v>
      </c>
      <c r="Q103" s="150">
        <f>SUMIF(adj!$C$3:$C$810,$A103,adj!E$3:E$810)</f>
        <v>0</v>
      </c>
      <c r="R103" s="150">
        <f>SUMIF(adj!$C$3:$C$810,$A103,adj!F$3:F$810)</f>
        <v>0</v>
      </c>
      <c r="S103" s="150">
        <f>SUMIF(adj!$C$3:$C$810,$A103,adj!G$3:G$810)</f>
        <v>0</v>
      </c>
    </row>
    <row r="104" spans="1:19">
      <c r="A104" s="461" t="s">
        <v>4500</v>
      </c>
      <c r="B104" s="510" t="s">
        <v>4476</v>
      </c>
      <c r="C104" s="511" t="s">
        <v>150</v>
      </c>
      <c r="D104" s="428">
        <v>1</v>
      </c>
      <c r="E104" s="444">
        <f t="shared" ref="E104:E115" si="30">IF($C104="R",$D104*(1+Q104),$D104+Q104)</f>
        <v>1</v>
      </c>
      <c r="F104" s="444">
        <f t="shared" si="26"/>
        <v>1</v>
      </c>
      <c r="G104" s="444">
        <f t="shared" si="26"/>
        <v>1</v>
      </c>
      <c r="H104" s="133" t="s">
        <v>4477</v>
      </c>
      <c r="I104" s="133"/>
      <c r="J104" s="133"/>
      <c r="K104" s="444">
        <f t="shared" si="24"/>
        <v>1</v>
      </c>
      <c r="L104" s="444">
        <f t="shared" si="25"/>
        <v>1</v>
      </c>
      <c r="M104" s="444">
        <f t="shared" si="25"/>
        <v>1</v>
      </c>
      <c r="N104" s="133" t="s">
        <v>7486</v>
      </c>
      <c r="O104" s="133"/>
      <c r="P104" s="151">
        <f>COUNTIF(adj!$C$3:$C$74,$A104)</f>
        <v>0</v>
      </c>
      <c r="Q104" s="150">
        <f>SUMIF(adj!$C$3:$C$810,$A104,adj!E$3:E$810)</f>
        <v>0</v>
      </c>
      <c r="R104" s="150">
        <f>SUMIF(adj!$C$3:$C$810,$A104,adj!F$3:F$810)</f>
        <v>0</v>
      </c>
      <c r="S104" s="150">
        <f>SUMIF(adj!$C$3:$C$810,$A104,adj!G$3:G$810)</f>
        <v>0</v>
      </c>
    </row>
    <row r="105" spans="1:19">
      <c r="A105" s="461" t="s">
        <v>4501</v>
      </c>
      <c r="B105" s="510" t="s">
        <v>4478</v>
      </c>
      <c r="C105" s="511" t="s">
        <v>150</v>
      </c>
      <c r="D105" s="428">
        <v>1</v>
      </c>
      <c r="E105" s="444">
        <f t="shared" si="30"/>
        <v>1</v>
      </c>
      <c r="F105" s="444">
        <f t="shared" si="26"/>
        <v>1</v>
      </c>
      <c r="G105" s="444">
        <f t="shared" si="26"/>
        <v>1</v>
      </c>
      <c r="H105" s="133" t="s">
        <v>4479</v>
      </c>
      <c r="I105" s="133"/>
      <c r="J105" s="133"/>
      <c r="K105" s="444">
        <f t="shared" si="24"/>
        <v>1</v>
      </c>
      <c r="L105" s="444">
        <f t="shared" si="25"/>
        <v>1</v>
      </c>
      <c r="M105" s="444">
        <f t="shared" si="25"/>
        <v>1</v>
      </c>
      <c r="N105" s="133" t="s">
        <v>7487</v>
      </c>
      <c r="O105" s="133"/>
      <c r="P105" s="151">
        <f>COUNTIF(adj!$C$3:$C$74,$A105)</f>
        <v>0</v>
      </c>
      <c r="Q105" s="150">
        <f>SUMIF(adj!$C$3:$C$810,$A105,adj!E$3:E$810)</f>
        <v>0</v>
      </c>
      <c r="R105" s="150">
        <f>SUMIF(adj!$C$3:$C$810,$A105,adj!F$3:F$810)</f>
        <v>0</v>
      </c>
      <c r="S105" s="150">
        <f>SUMIF(adj!$C$3:$C$810,$A105,adj!G$3:G$810)</f>
        <v>0</v>
      </c>
    </row>
    <row r="106" spans="1:19">
      <c r="A106" s="461" t="s">
        <v>4502</v>
      </c>
      <c r="B106" s="510" t="s">
        <v>4480</v>
      </c>
      <c r="C106" s="511" t="s">
        <v>150</v>
      </c>
      <c r="D106" s="428">
        <v>1</v>
      </c>
      <c r="E106" s="444">
        <f t="shared" si="30"/>
        <v>1</v>
      </c>
      <c r="F106" s="444">
        <f t="shared" si="26"/>
        <v>1</v>
      </c>
      <c r="G106" s="444">
        <f t="shared" si="26"/>
        <v>1</v>
      </c>
      <c r="H106" s="133" t="s">
        <v>4481</v>
      </c>
      <c r="I106" s="133"/>
      <c r="J106" s="133"/>
      <c r="K106" s="444">
        <f t="shared" si="24"/>
        <v>1</v>
      </c>
      <c r="L106" s="444">
        <f t="shared" si="25"/>
        <v>1</v>
      </c>
      <c r="M106" s="444">
        <f t="shared" si="25"/>
        <v>1</v>
      </c>
      <c r="N106" s="133" t="s">
        <v>7488</v>
      </c>
      <c r="O106" s="133"/>
      <c r="P106" s="151">
        <f>COUNTIF(adj!$C$3:$C$74,$A106)</f>
        <v>1</v>
      </c>
      <c r="Q106" s="150">
        <f>SUMIF(adj!$C$3:$C$810,$A106,adj!E$3:E$810)</f>
        <v>0</v>
      </c>
      <c r="R106" s="150">
        <f>SUMIF(adj!$C$3:$C$810,$A106,adj!F$3:F$810)</f>
        <v>0</v>
      </c>
      <c r="S106" s="150">
        <f>SUMIF(adj!$C$3:$C$810,$A106,adj!G$3:G$810)</f>
        <v>0</v>
      </c>
    </row>
    <row r="107" spans="1:19">
      <c r="A107" s="461" t="s">
        <v>4503</v>
      </c>
      <c r="B107" s="510" t="s">
        <v>4482</v>
      </c>
      <c r="C107" s="511" t="s">
        <v>150</v>
      </c>
      <c r="D107" s="428">
        <v>1</v>
      </c>
      <c r="E107" s="444">
        <f t="shared" si="30"/>
        <v>1</v>
      </c>
      <c r="F107" s="444">
        <f t="shared" si="26"/>
        <v>1</v>
      </c>
      <c r="G107" s="444">
        <f t="shared" si="26"/>
        <v>1</v>
      </c>
      <c r="H107" s="133" t="s">
        <v>4483</v>
      </c>
      <c r="I107" s="133"/>
      <c r="J107" s="133"/>
      <c r="K107" s="444">
        <f t="shared" si="24"/>
        <v>1</v>
      </c>
      <c r="L107" s="444">
        <f t="shared" si="25"/>
        <v>1</v>
      </c>
      <c r="M107" s="444">
        <f t="shared" si="25"/>
        <v>1</v>
      </c>
      <c r="N107" s="133" t="s">
        <v>7489</v>
      </c>
      <c r="O107" s="133"/>
      <c r="P107" s="151">
        <f>COUNTIF(adj!$C$3:$C$74,$A107)</f>
        <v>0</v>
      </c>
      <c r="Q107" s="150">
        <f>SUMIF(adj!$C$3:$C$810,$A107,adj!E$3:E$810)</f>
        <v>0</v>
      </c>
      <c r="R107" s="150">
        <f>SUMIF(adj!$C$3:$C$810,$A107,adj!F$3:F$810)</f>
        <v>0</v>
      </c>
      <c r="S107" s="150">
        <f>SUMIF(adj!$C$3:$C$810,$A107,adj!G$3:G$810)</f>
        <v>0</v>
      </c>
    </row>
    <row r="108" spans="1:19">
      <c r="A108" s="461" t="s">
        <v>4504</v>
      </c>
      <c r="B108" s="510" t="s">
        <v>4484</v>
      </c>
      <c r="C108" s="511" t="s">
        <v>150</v>
      </c>
      <c r="D108" s="428">
        <v>1</v>
      </c>
      <c r="E108" s="444">
        <f t="shared" si="30"/>
        <v>1</v>
      </c>
      <c r="F108" s="444">
        <f t="shared" si="26"/>
        <v>1</v>
      </c>
      <c r="G108" s="444">
        <f t="shared" si="26"/>
        <v>1</v>
      </c>
      <c r="H108" s="133" t="s">
        <v>4485</v>
      </c>
      <c r="I108" s="133"/>
      <c r="J108" s="133"/>
      <c r="K108" s="444">
        <f t="shared" si="24"/>
        <v>1</v>
      </c>
      <c r="L108" s="444">
        <f t="shared" si="25"/>
        <v>1</v>
      </c>
      <c r="M108" s="444">
        <f t="shared" si="25"/>
        <v>1</v>
      </c>
      <c r="N108" s="133" t="s">
        <v>7490</v>
      </c>
      <c r="O108" s="133"/>
      <c r="P108" s="151">
        <f>COUNTIF(adj!$C$3:$C$74,$A108)</f>
        <v>0</v>
      </c>
      <c r="Q108" s="150">
        <f>SUMIF(adj!$C$3:$C$810,$A108,adj!E$3:E$810)</f>
        <v>0</v>
      </c>
      <c r="R108" s="150">
        <f>SUMIF(adj!$C$3:$C$810,$A108,adj!F$3:F$810)</f>
        <v>0</v>
      </c>
      <c r="S108" s="150">
        <f>SUMIF(adj!$C$3:$C$810,$A108,adj!G$3:G$810)</f>
        <v>0</v>
      </c>
    </row>
    <row r="109" spans="1:19">
      <c r="A109" s="461" t="s">
        <v>4505</v>
      </c>
      <c r="B109" s="510" t="s">
        <v>4486</v>
      </c>
      <c r="C109" s="511" t="s">
        <v>150</v>
      </c>
      <c r="D109" s="428">
        <v>1</v>
      </c>
      <c r="E109" s="444">
        <f t="shared" si="30"/>
        <v>1</v>
      </c>
      <c r="F109" s="444">
        <f t="shared" si="26"/>
        <v>1</v>
      </c>
      <c r="G109" s="444">
        <f t="shared" si="26"/>
        <v>1</v>
      </c>
      <c r="H109" s="133" t="s">
        <v>4487</v>
      </c>
      <c r="I109" s="133"/>
      <c r="J109" s="133"/>
      <c r="K109" s="444">
        <f t="shared" si="24"/>
        <v>1</v>
      </c>
      <c r="L109" s="444">
        <f t="shared" si="25"/>
        <v>1</v>
      </c>
      <c r="M109" s="444">
        <f t="shared" si="25"/>
        <v>1</v>
      </c>
      <c r="N109" s="133" t="s">
        <v>7491</v>
      </c>
      <c r="O109" s="133"/>
      <c r="P109" s="151">
        <f>COUNTIF(adj!$C$3:$C$74,$A109)</f>
        <v>0</v>
      </c>
      <c r="Q109" s="150">
        <f>SUMIF(adj!$C$3:$C$810,$A109,adj!E$3:E$810)</f>
        <v>0</v>
      </c>
      <c r="R109" s="150">
        <f>SUMIF(adj!$C$3:$C$810,$A109,adj!F$3:F$810)</f>
        <v>0</v>
      </c>
      <c r="S109" s="150">
        <f>SUMIF(adj!$C$3:$C$810,$A109,adj!G$3:G$810)</f>
        <v>0</v>
      </c>
    </row>
    <row r="110" spans="1:19">
      <c r="A110" s="461" t="s">
        <v>4506</v>
      </c>
      <c r="B110" s="510" t="s">
        <v>4488</v>
      </c>
      <c r="C110" s="511" t="s">
        <v>150</v>
      </c>
      <c r="D110" s="428">
        <v>1</v>
      </c>
      <c r="E110" s="444">
        <f t="shared" si="30"/>
        <v>1</v>
      </c>
      <c r="F110" s="444">
        <f t="shared" si="26"/>
        <v>1</v>
      </c>
      <c r="G110" s="444">
        <f t="shared" si="26"/>
        <v>1</v>
      </c>
      <c r="H110" s="133" t="s">
        <v>4489</v>
      </c>
      <c r="I110" s="133"/>
      <c r="J110" s="133"/>
      <c r="K110" s="444">
        <f t="shared" si="24"/>
        <v>1</v>
      </c>
      <c r="L110" s="444">
        <f t="shared" si="25"/>
        <v>1</v>
      </c>
      <c r="M110" s="444">
        <f t="shared" si="25"/>
        <v>1</v>
      </c>
      <c r="N110" s="133" t="s">
        <v>7492</v>
      </c>
      <c r="O110" s="133"/>
      <c r="P110" s="151">
        <f>COUNTIF(adj!$C$3:$C$74,$A110)</f>
        <v>1</v>
      </c>
      <c r="Q110" s="150">
        <f>SUMIF(adj!$C$3:$C$810,$A110,adj!E$3:E$810)</f>
        <v>0</v>
      </c>
      <c r="R110" s="150">
        <f>SUMIF(adj!$C$3:$C$810,$A110,adj!F$3:F$810)</f>
        <v>0</v>
      </c>
      <c r="S110" s="150">
        <f>SUMIF(adj!$C$3:$C$810,$A110,adj!G$3:G$810)</f>
        <v>0</v>
      </c>
    </row>
    <row r="111" spans="1:19">
      <c r="A111" s="461" t="s">
        <v>4507</v>
      </c>
      <c r="B111" s="510" t="s">
        <v>4490</v>
      </c>
      <c r="C111" s="511" t="s">
        <v>150</v>
      </c>
      <c r="D111" s="428">
        <v>1</v>
      </c>
      <c r="E111" s="444">
        <f t="shared" si="30"/>
        <v>1</v>
      </c>
      <c r="F111" s="444">
        <f t="shared" si="26"/>
        <v>1</v>
      </c>
      <c r="G111" s="444">
        <f t="shared" si="26"/>
        <v>1</v>
      </c>
      <c r="H111" s="133" t="s">
        <v>4491</v>
      </c>
      <c r="I111" s="133"/>
      <c r="J111" s="133"/>
      <c r="K111" s="444">
        <f t="shared" si="24"/>
        <v>1</v>
      </c>
      <c r="L111" s="444">
        <f t="shared" si="25"/>
        <v>1</v>
      </c>
      <c r="M111" s="444">
        <f t="shared" si="25"/>
        <v>1</v>
      </c>
      <c r="N111" s="133" t="s">
        <v>7493</v>
      </c>
      <c r="O111" s="133"/>
      <c r="P111" s="151">
        <f>COUNTIF(adj!$C$3:$C$74,$A111)</f>
        <v>0</v>
      </c>
      <c r="Q111" s="150">
        <f>SUMIF(adj!$C$3:$C$810,$A111,adj!E$3:E$810)</f>
        <v>0</v>
      </c>
      <c r="R111" s="150">
        <f>SUMIF(adj!$C$3:$C$810,$A111,adj!F$3:F$810)</f>
        <v>0</v>
      </c>
      <c r="S111" s="150">
        <f>SUMIF(adj!$C$3:$C$810,$A111,adj!G$3:G$810)</f>
        <v>0</v>
      </c>
    </row>
    <row r="112" spans="1:19">
      <c r="A112" s="461" t="s">
        <v>4508</v>
      </c>
      <c r="B112" s="510" t="s">
        <v>4492</v>
      </c>
      <c r="C112" s="511" t="s">
        <v>150</v>
      </c>
      <c r="D112" s="428">
        <v>1</v>
      </c>
      <c r="E112" s="444">
        <f t="shared" si="30"/>
        <v>1</v>
      </c>
      <c r="F112" s="444">
        <f t="shared" si="26"/>
        <v>1</v>
      </c>
      <c r="G112" s="444">
        <f t="shared" si="26"/>
        <v>1</v>
      </c>
      <c r="H112" s="133" t="s">
        <v>4493</v>
      </c>
      <c r="I112" s="133"/>
      <c r="J112" s="133"/>
      <c r="K112" s="444">
        <f t="shared" si="24"/>
        <v>1</v>
      </c>
      <c r="L112" s="444">
        <f t="shared" ref="L112:M143" si="31">$D112</f>
        <v>1</v>
      </c>
      <c r="M112" s="444">
        <f t="shared" si="31"/>
        <v>1</v>
      </c>
      <c r="N112" s="133" t="s">
        <v>7494</v>
      </c>
      <c r="O112" s="133"/>
      <c r="P112" s="151">
        <f>COUNTIF(adj!$C$3:$C$74,$A112)</f>
        <v>0</v>
      </c>
      <c r="Q112" s="150">
        <f>SUMIF(adj!$C$3:$C$810,$A112,adj!E$3:E$810)</f>
        <v>0</v>
      </c>
      <c r="R112" s="150">
        <f>SUMIF(adj!$C$3:$C$810,$A112,adj!F$3:F$810)</f>
        <v>0</v>
      </c>
      <c r="S112" s="150">
        <f>SUMIF(adj!$C$3:$C$810,$A112,adj!G$3:G$810)</f>
        <v>0</v>
      </c>
    </row>
    <row r="113" spans="1:19">
      <c r="A113" s="461" t="s">
        <v>4509</v>
      </c>
      <c r="B113" s="510" t="s">
        <v>4494</v>
      </c>
      <c r="C113" s="511" t="s">
        <v>150</v>
      </c>
      <c r="D113" s="428">
        <v>1</v>
      </c>
      <c r="E113" s="444">
        <f t="shared" si="30"/>
        <v>1</v>
      </c>
      <c r="F113" s="444">
        <f t="shared" si="26"/>
        <v>1</v>
      </c>
      <c r="G113" s="444">
        <f t="shared" si="26"/>
        <v>1</v>
      </c>
      <c r="H113" s="133" t="s">
        <v>4495</v>
      </c>
      <c r="I113" s="133"/>
      <c r="J113" s="133"/>
      <c r="K113" s="444">
        <f t="shared" si="24"/>
        <v>1</v>
      </c>
      <c r="L113" s="444">
        <f t="shared" si="31"/>
        <v>1</v>
      </c>
      <c r="M113" s="444">
        <f t="shared" si="31"/>
        <v>1</v>
      </c>
      <c r="N113" s="133" t="s">
        <v>7495</v>
      </c>
      <c r="O113" s="133"/>
      <c r="P113" s="151">
        <f>COUNTIF(adj!$C$3:$C$74,$A113)</f>
        <v>0</v>
      </c>
      <c r="Q113" s="150">
        <f>SUMIF(adj!$C$3:$C$810,$A113,adj!E$3:E$810)</f>
        <v>0</v>
      </c>
      <c r="R113" s="150">
        <f>SUMIF(adj!$C$3:$C$810,$A113,adj!F$3:F$810)</f>
        <v>0</v>
      </c>
      <c r="S113" s="150">
        <f>SUMIF(adj!$C$3:$C$810,$A113,adj!G$3:G$810)</f>
        <v>0</v>
      </c>
    </row>
    <row r="114" spans="1:19">
      <c r="A114" s="461" t="s">
        <v>4510</v>
      </c>
      <c r="B114" s="510" t="s">
        <v>4496</v>
      </c>
      <c r="C114" s="511" t="s">
        <v>150</v>
      </c>
      <c r="D114" s="428">
        <v>1</v>
      </c>
      <c r="E114" s="444">
        <f t="shared" si="30"/>
        <v>1</v>
      </c>
      <c r="F114" s="444">
        <f t="shared" si="26"/>
        <v>1</v>
      </c>
      <c r="G114" s="444">
        <f t="shared" si="26"/>
        <v>1</v>
      </c>
      <c r="H114" s="133" t="s">
        <v>4497</v>
      </c>
      <c r="I114" s="133"/>
      <c r="J114" s="133"/>
      <c r="K114" s="444">
        <f t="shared" si="24"/>
        <v>1</v>
      </c>
      <c r="L114" s="444">
        <f t="shared" si="31"/>
        <v>1</v>
      </c>
      <c r="M114" s="444">
        <f t="shared" si="31"/>
        <v>1</v>
      </c>
      <c r="N114" s="133" t="s">
        <v>7496</v>
      </c>
      <c r="O114" s="133"/>
      <c r="P114" s="151">
        <f>COUNTIF(adj!$C$3:$C$74,$A114)</f>
        <v>0</v>
      </c>
      <c r="Q114" s="150">
        <f>SUMIF(adj!$C$3:$C$810,$A114,adj!E$3:E$810)</f>
        <v>0</v>
      </c>
      <c r="R114" s="150">
        <f>SUMIF(adj!$C$3:$C$810,$A114,adj!F$3:F$810)</f>
        <v>0</v>
      </c>
      <c r="S114" s="150">
        <f>SUMIF(adj!$C$3:$C$810,$A114,adj!G$3:G$810)</f>
        <v>0</v>
      </c>
    </row>
    <row r="115" spans="1:19">
      <c r="A115" s="461" t="s">
        <v>4511</v>
      </c>
      <c r="B115" s="510" t="s">
        <v>4498</v>
      </c>
      <c r="C115" s="511" t="s">
        <v>150</v>
      </c>
      <c r="D115" s="428">
        <v>1</v>
      </c>
      <c r="E115" s="444">
        <f t="shared" si="30"/>
        <v>1</v>
      </c>
      <c r="F115" s="444">
        <f t="shared" ref="F115:G146" si="32">$D115</f>
        <v>1</v>
      </c>
      <c r="G115" s="444">
        <f t="shared" si="32"/>
        <v>1</v>
      </c>
      <c r="H115" s="133" t="s">
        <v>4499</v>
      </c>
      <c r="I115" s="133"/>
      <c r="J115" s="133"/>
      <c r="K115" s="444">
        <f t="shared" si="24"/>
        <v>1</v>
      </c>
      <c r="L115" s="444">
        <f t="shared" si="31"/>
        <v>1</v>
      </c>
      <c r="M115" s="444">
        <f t="shared" si="31"/>
        <v>1</v>
      </c>
      <c r="N115" s="133" t="s">
        <v>7497</v>
      </c>
      <c r="O115" s="133"/>
      <c r="P115" s="151">
        <f>COUNTIF(adj!$C$3:$C$74,$A115)</f>
        <v>0</v>
      </c>
      <c r="Q115" s="150">
        <f>SUMIF(adj!$C$3:$C$810,$A115,adj!E$3:E$810)</f>
        <v>0</v>
      </c>
      <c r="R115" s="150">
        <f>SUMIF(adj!$C$3:$C$810,$A115,adj!F$3:F$810)</f>
        <v>0</v>
      </c>
      <c r="S115" s="150">
        <f>SUMIF(adj!$C$3:$C$810,$A115,adj!G$3:G$810)</f>
        <v>0</v>
      </c>
    </row>
    <row r="116" spans="1:19">
      <c r="A116" s="590" t="s">
        <v>4643</v>
      </c>
      <c r="B116" s="510" t="s">
        <v>4644</v>
      </c>
      <c r="C116" s="511" t="s">
        <v>150</v>
      </c>
      <c r="D116" s="428">
        <v>1</v>
      </c>
      <c r="E116" s="444">
        <f t="shared" ref="E116" si="33">IF($C116="R",$D116*(1+Q116),$D116+Q116)</f>
        <v>1</v>
      </c>
      <c r="F116" s="444">
        <f t="shared" si="32"/>
        <v>1</v>
      </c>
      <c r="G116" s="444">
        <f t="shared" si="32"/>
        <v>1</v>
      </c>
      <c r="H116" s="133" t="s">
        <v>4645</v>
      </c>
      <c r="I116" s="133"/>
      <c r="J116" s="133"/>
      <c r="K116" s="768">
        <f>IF($C116="R",$E116*(1+R116),$E116+S116)</f>
        <v>1</v>
      </c>
      <c r="L116" s="444">
        <f t="shared" si="31"/>
        <v>1</v>
      </c>
      <c r="M116" s="444">
        <f t="shared" si="31"/>
        <v>1</v>
      </c>
      <c r="N116" s="133" t="s">
        <v>7498</v>
      </c>
      <c r="O116" s="133"/>
      <c r="P116" s="151">
        <f>COUNTIF(adj!$C$3:$C$74,$A116)</f>
        <v>0</v>
      </c>
      <c r="Q116" s="150">
        <f>SUMIF(adj!$C$3:$C$810,$A116,adj!E$3:E$810)</f>
        <v>0</v>
      </c>
      <c r="R116" s="150">
        <f>SUMIF(adj!$C$3:$C$810,$A116,adj!F$3:F$810)</f>
        <v>0</v>
      </c>
      <c r="S116" s="150">
        <f>SUMIF(adj!$C$3:$C$810,$A116,adj!G$3:G$810)</f>
        <v>0</v>
      </c>
    </row>
    <row r="117" spans="1:19">
      <c r="A117" s="14"/>
      <c r="B117" s="510"/>
      <c r="C117" s="511" t="s">
        <v>150</v>
      </c>
      <c r="D117" s="512"/>
      <c r="E117" s="175">
        <f t="shared" si="20"/>
        <v>0</v>
      </c>
      <c r="F117" s="444">
        <f t="shared" si="32"/>
        <v>0</v>
      </c>
      <c r="G117" s="444">
        <f t="shared" si="32"/>
        <v>0</v>
      </c>
      <c r="H117" s="133"/>
      <c r="I117" s="133"/>
      <c r="J117" s="133"/>
      <c r="K117" s="175">
        <f t="shared" si="24"/>
        <v>0</v>
      </c>
      <c r="L117" s="444">
        <f t="shared" si="31"/>
        <v>0</v>
      </c>
      <c r="M117" s="444">
        <f t="shared" si="31"/>
        <v>0</v>
      </c>
      <c r="N117" s="133"/>
      <c r="O117" s="133"/>
      <c r="P117" s="151">
        <f>COUNTIF(adj!$C$3:$C$74,$A117)</f>
        <v>0</v>
      </c>
      <c r="Q117" s="150">
        <f>SUMIF(adj!$C$3:$C$810,$A117,adj!E$3:E$810)</f>
        <v>0</v>
      </c>
      <c r="R117" s="150">
        <f>SUMIF(adj!$C$3:$C$810,$A117,adj!F$3:F$810)</f>
        <v>0</v>
      </c>
      <c r="S117" s="150">
        <f>SUMIF(adj!$C$3:$C$810,$A117,adj!G$3:G$810)</f>
        <v>0</v>
      </c>
    </row>
    <row r="118" spans="1:19">
      <c r="A118" s="92" t="s">
        <v>3207</v>
      </c>
      <c r="B118" s="510" t="s">
        <v>3208</v>
      </c>
      <c r="C118" s="511" t="s">
        <v>150</v>
      </c>
      <c r="D118" s="428">
        <v>1</v>
      </c>
      <c r="E118" s="444">
        <f t="shared" si="20"/>
        <v>1</v>
      </c>
      <c r="F118" s="444">
        <f t="shared" si="32"/>
        <v>1</v>
      </c>
      <c r="G118" s="444">
        <f t="shared" si="32"/>
        <v>1</v>
      </c>
      <c r="H118" s="133" t="s">
        <v>3209</v>
      </c>
      <c r="I118" s="133"/>
      <c r="J118" s="133"/>
      <c r="K118" s="444">
        <f t="shared" si="24"/>
        <v>1</v>
      </c>
      <c r="L118" s="444">
        <f t="shared" si="31"/>
        <v>1</v>
      </c>
      <c r="M118" s="444">
        <f t="shared" si="31"/>
        <v>1</v>
      </c>
      <c r="N118" s="133" t="s">
        <v>7499</v>
      </c>
      <c r="O118" s="133"/>
      <c r="P118" s="151">
        <f>COUNTIF(adj!$C$3:$C$74,$A118)</f>
        <v>0</v>
      </c>
      <c r="Q118" s="150">
        <f>SUMIF(adj!$C$3:$C$810,$A118,adj!E$3:E$810)</f>
        <v>0</v>
      </c>
      <c r="R118" s="150">
        <f>SUMIF(adj!$C$3:$C$810,$A118,adj!F$3:F$810)</f>
        <v>0</v>
      </c>
      <c r="S118" s="150">
        <f>SUMIF(adj!$C$3:$C$810,$A118,adj!G$3:G$810)</f>
        <v>0</v>
      </c>
    </row>
    <row r="119" spans="1:19">
      <c r="A119" s="92" t="s">
        <v>3210</v>
      </c>
      <c r="B119" s="510" t="s">
        <v>3211</v>
      </c>
      <c r="C119" s="511" t="s">
        <v>150</v>
      </c>
      <c r="D119" s="428">
        <v>1</v>
      </c>
      <c r="E119" s="444">
        <f t="shared" si="20"/>
        <v>1</v>
      </c>
      <c r="F119" s="444">
        <f t="shared" si="32"/>
        <v>1</v>
      </c>
      <c r="G119" s="444">
        <f t="shared" si="32"/>
        <v>1</v>
      </c>
      <c r="H119" s="133" t="s">
        <v>3212</v>
      </c>
      <c r="I119" s="133"/>
      <c r="J119" s="133"/>
      <c r="K119" s="707">
        <f>IF($C119="R",$D119*(1+R119),$D119+S119)</f>
        <v>1</v>
      </c>
      <c r="L119" s="444">
        <f t="shared" si="31"/>
        <v>1</v>
      </c>
      <c r="M119" s="444">
        <f t="shared" si="31"/>
        <v>1</v>
      </c>
      <c r="N119" s="133" t="s">
        <v>7500</v>
      </c>
      <c r="O119" s="133"/>
      <c r="P119" s="151">
        <f>COUNTIF(adj!$C$3:$C$74,$A119)</f>
        <v>0</v>
      </c>
      <c r="Q119" s="150">
        <f>SUMIF(adj!$C$3:$C$810,$A119,adj!E$3:E$810)</f>
        <v>0</v>
      </c>
      <c r="R119" s="150">
        <f>SUMIF(adj!$C$3:$C$810,$A119,adj!F$3:F$810)</f>
        <v>0</v>
      </c>
      <c r="S119" s="150">
        <f>SUMIF(adj!$C$3:$C$810,$A119,adj!G$3:G$810)</f>
        <v>0</v>
      </c>
    </row>
    <row r="120" spans="1:19">
      <c r="A120" s="92" t="s">
        <v>3213</v>
      </c>
      <c r="B120" s="510" t="s">
        <v>3214</v>
      </c>
      <c r="C120" s="511" t="s">
        <v>150</v>
      </c>
      <c r="D120" s="428">
        <v>1</v>
      </c>
      <c r="E120" s="444">
        <f t="shared" si="20"/>
        <v>1</v>
      </c>
      <c r="F120" s="444">
        <f t="shared" si="32"/>
        <v>1</v>
      </c>
      <c r="G120" s="444">
        <f t="shared" si="32"/>
        <v>1</v>
      </c>
      <c r="H120" s="133" t="s">
        <v>3215</v>
      </c>
      <c r="I120" s="133"/>
      <c r="J120" s="133"/>
      <c r="K120" s="707">
        <f t="shared" ref="K120:K122" si="34">IF($C120="R",$D120*(1+R120),$D120+S120)</f>
        <v>1</v>
      </c>
      <c r="L120" s="444">
        <f t="shared" si="31"/>
        <v>1</v>
      </c>
      <c r="M120" s="444">
        <f t="shared" si="31"/>
        <v>1</v>
      </c>
      <c r="N120" s="133" t="s">
        <v>7501</v>
      </c>
      <c r="O120" s="133"/>
      <c r="P120" s="151">
        <f>COUNTIF(adj!$C$3:$C$74,$A120)</f>
        <v>0</v>
      </c>
      <c r="Q120" s="150">
        <f>SUMIF(adj!$C$3:$C$810,$A120,adj!E$3:E$810)</f>
        <v>0</v>
      </c>
      <c r="R120" s="150">
        <f>SUMIF(adj!$C$3:$C$810,$A120,adj!F$3:F$810)</f>
        <v>0</v>
      </c>
      <c r="S120" s="150">
        <f>SUMIF(adj!$C$3:$C$810,$A120,adj!G$3:G$810)</f>
        <v>0</v>
      </c>
    </row>
    <row r="121" spans="1:19">
      <c r="A121" s="92" t="s">
        <v>3216</v>
      </c>
      <c r="B121" s="510" t="s">
        <v>3217</v>
      </c>
      <c r="C121" s="511" t="s">
        <v>150</v>
      </c>
      <c r="D121" s="428">
        <v>1</v>
      </c>
      <c r="E121" s="444">
        <f t="shared" si="20"/>
        <v>1</v>
      </c>
      <c r="F121" s="444">
        <f t="shared" si="32"/>
        <v>1</v>
      </c>
      <c r="G121" s="444">
        <f t="shared" si="32"/>
        <v>1</v>
      </c>
      <c r="H121" s="133" t="s">
        <v>3218</v>
      </c>
      <c r="I121" s="133"/>
      <c r="J121" s="133"/>
      <c r="K121" s="707">
        <f t="shared" si="34"/>
        <v>1</v>
      </c>
      <c r="L121" s="444">
        <f t="shared" si="31"/>
        <v>1</v>
      </c>
      <c r="M121" s="444">
        <f t="shared" si="31"/>
        <v>1</v>
      </c>
      <c r="N121" s="133" t="s">
        <v>7502</v>
      </c>
      <c r="O121" s="133"/>
      <c r="P121" s="151">
        <f>COUNTIF(adj!$C$3:$C$74,$A121)</f>
        <v>0</v>
      </c>
      <c r="Q121" s="150">
        <f>SUMIF(adj!$C$3:$C$810,$A121,adj!E$3:E$810)</f>
        <v>0</v>
      </c>
      <c r="R121" s="150">
        <f>SUMIF(adj!$C$3:$C$810,$A121,adj!F$3:F$810)</f>
        <v>0</v>
      </c>
      <c r="S121" s="150">
        <f>SUMIF(adj!$C$3:$C$810,$A121,adj!G$3:G$810)</f>
        <v>0</v>
      </c>
    </row>
    <row r="122" spans="1:19">
      <c r="A122" s="92" t="s">
        <v>3219</v>
      </c>
      <c r="B122" s="510" t="s">
        <v>3220</v>
      </c>
      <c r="C122" s="511" t="s">
        <v>150</v>
      </c>
      <c r="D122" s="428">
        <v>1</v>
      </c>
      <c r="E122" s="444">
        <f t="shared" si="20"/>
        <v>1</v>
      </c>
      <c r="F122" s="444">
        <f t="shared" si="32"/>
        <v>1</v>
      </c>
      <c r="G122" s="444">
        <f t="shared" si="32"/>
        <v>1</v>
      </c>
      <c r="H122" s="133" t="s">
        <v>3221</v>
      </c>
      <c r="I122" s="133"/>
      <c r="J122" s="133"/>
      <c r="K122" s="707">
        <f t="shared" si="34"/>
        <v>1</v>
      </c>
      <c r="L122" s="444">
        <f t="shared" si="31"/>
        <v>1</v>
      </c>
      <c r="M122" s="444">
        <f t="shared" si="31"/>
        <v>1</v>
      </c>
      <c r="N122" s="133" t="s">
        <v>7503</v>
      </c>
      <c r="O122" s="133"/>
      <c r="P122" s="151">
        <f>COUNTIF(adj!$C$3:$C$74,$A122)</f>
        <v>0</v>
      </c>
      <c r="Q122" s="150">
        <f>SUMIF(adj!$C$3:$C$810,$A122,adj!E$3:E$810)</f>
        <v>0</v>
      </c>
      <c r="R122" s="150">
        <f>SUMIF(adj!$C$3:$C$810,$A122,adj!F$3:F$810)</f>
        <v>0</v>
      </c>
      <c r="S122" s="150">
        <f>SUMIF(adj!$C$3:$C$810,$A122,adj!G$3:G$810)</f>
        <v>0</v>
      </c>
    </row>
    <row r="123" spans="1:19">
      <c r="A123" s="92" t="s">
        <v>3222</v>
      </c>
      <c r="B123" s="510" t="s">
        <v>3223</v>
      </c>
      <c r="C123" s="511" t="s">
        <v>150</v>
      </c>
      <c r="D123" s="428">
        <v>1</v>
      </c>
      <c r="E123" s="444">
        <f t="shared" si="20"/>
        <v>1</v>
      </c>
      <c r="F123" s="444">
        <f t="shared" si="32"/>
        <v>1</v>
      </c>
      <c r="G123" s="444">
        <f t="shared" si="32"/>
        <v>1</v>
      </c>
      <c r="H123" s="133" t="s">
        <v>3224</v>
      </c>
      <c r="I123" s="133"/>
      <c r="J123" s="133"/>
      <c r="K123" s="707">
        <f>IF($C123="R",$D123*(1+R123),$D123+S123)</f>
        <v>1</v>
      </c>
      <c r="L123" s="444">
        <f t="shared" si="31"/>
        <v>1</v>
      </c>
      <c r="M123" s="444">
        <f t="shared" si="31"/>
        <v>1</v>
      </c>
      <c r="N123" s="133" t="s">
        <v>7504</v>
      </c>
      <c r="O123" s="133"/>
      <c r="P123" s="151">
        <f>COUNTIF(adj!$C$3:$C$74,$A123)</f>
        <v>0</v>
      </c>
      <c r="Q123" s="150">
        <f>SUMIF(adj!$C$3:$C$810,$A123,adj!E$3:E$810)</f>
        <v>0</v>
      </c>
      <c r="R123" s="150">
        <f>SUMIF(adj!$C$3:$C$810,$A123,adj!F$3:F$810)</f>
        <v>0</v>
      </c>
      <c r="S123" s="150">
        <f>SUMIF(adj!$C$3:$C$810,$A123,adj!G$3:G$810)</f>
        <v>0</v>
      </c>
    </row>
    <row r="124" spans="1:19">
      <c r="A124" s="92" t="s">
        <v>3225</v>
      </c>
      <c r="B124" s="510" t="s">
        <v>3226</v>
      </c>
      <c r="C124" s="511" t="s">
        <v>150</v>
      </c>
      <c r="D124" s="428">
        <v>1</v>
      </c>
      <c r="E124" s="444">
        <f t="shared" si="20"/>
        <v>1</v>
      </c>
      <c r="F124" s="684">
        <v>0.95</v>
      </c>
      <c r="G124" s="684">
        <v>1.05</v>
      </c>
      <c r="H124" s="133" t="s">
        <v>3227</v>
      </c>
      <c r="I124" s="133"/>
      <c r="J124" s="133"/>
      <c r="K124" s="444">
        <f t="shared" si="24"/>
        <v>1</v>
      </c>
      <c r="L124" s="684">
        <v>1</v>
      </c>
      <c r="M124" s="684">
        <v>1.05</v>
      </c>
      <c r="N124" s="133" t="s">
        <v>7505</v>
      </c>
      <c r="O124" s="133"/>
      <c r="P124" s="151">
        <f>COUNTIF(adj!$C$3:$C$74,$A124)</f>
        <v>0</v>
      </c>
      <c r="Q124" s="150">
        <f>SUMIF(adj!$C$3:$C$810,$A124,adj!E$3:E$810)</f>
        <v>0</v>
      </c>
      <c r="R124" s="150">
        <f>SUMIF(adj!$C$3:$C$810,$A124,adj!F$3:F$810)</f>
        <v>0</v>
      </c>
      <c r="S124" s="150">
        <f>SUMIF(adj!$C$3:$C$810,$A124,adj!G$3:G$810)</f>
        <v>0</v>
      </c>
    </row>
    <row r="125" spans="1:19">
      <c r="A125" s="92" t="s">
        <v>3228</v>
      </c>
      <c r="B125" s="510" t="s">
        <v>3229</v>
      </c>
      <c r="C125" s="511" t="s">
        <v>150</v>
      </c>
      <c r="D125" s="428">
        <v>1</v>
      </c>
      <c r="E125" s="444">
        <f t="shared" si="20"/>
        <v>1</v>
      </c>
      <c r="F125" s="684">
        <v>1.02</v>
      </c>
      <c r="G125" s="684">
        <v>1.05</v>
      </c>
      <c r="H125" s="133" t="s">
        <v>3230</v>
      </c>
      <c r="I125" s="133"/>
      <c r="J125" s="133"/>
      <c r="K125" s="444">
        <f t="shared" si="24"/>
        <v>1</v>
      </c>
      <c r="L125" s="684">
        <v>1.02</v>
      </c>
      <c r="M125" s="684">
        <v>1.05</v>
      </c>
      <c r="N125" s="133" t="s">
        <v>7506</v>
      </c>
      <c r="O125" s="133"/>
      <c r="P125" s="151">
        <f>COUNTIF(adj!$C$3:$C$74,$A125)</f>
        <v>0</v>
      </c>
      <c r="Q125" s="150">
        <f>SUMIF(adj!$C$3:$C$810,$A125,adj!E$3:E$810)</f>
        <v>0</v>
      </c>
      <c r="R125" s="150">
        <f>SUMIF(adj!$C$3:$C$810,$A125,adj!F$3:F$810)</f>
        <v>0</v>
      </c>
      <c r="S125" s="150">
        <f>SUMIF(adj!$C$3:$C$810,$A125,adj!G$3:G$810)</f>
        <v>0</v>
      </c>
    </row>
    <row r="126" spans="1:19">
      <c r="A126" s="92" t="s">
        <v>3231</v>
      </c>
      <c r="B126" s="510" t="s">
        <v>3232</v>
      </c>
      <c r="C126" s="511" t="s">
        <v>150</v>
      </c>
      <c r="D126" s="428">
        <v>1</v>
      </c>
      <c r="E126" s="444">
        <f t="shared" si="20"/>
        <v>1</v>
      </c>
      <c r="F126" s="444">
        <f t="shared" si="32"/>
        <v>1</v>
      </c>
      <c r="G126" s="444">
        <f t="shared" si="32"/>
        <v>1</v>
      </c>
      <c r="H126" s="133" t="s">
        <v>3233</v>
      </c>
      <c r="I126" s="133"/>
      <c r="J126" s="133"/>
      <c r="K126" s="444">
        <f t="shared" si="24"/>
        <v>1</v>
      </c>
      <c r="L126" s="444">
        <f t="shared" ref="L126:M131" si="35">$D126</f>
        <v>1</v>
      </c>
      <c r="M126" s="444">
        <f t="shared" si="35"/>
        <v>1</v>
      </c>
      <c r="N126" s="133" t="s">
        <v>7507</v>
      </c>
      <c r="O126" s="133"/>
      <c r="P126" s="151">
        <f>COUNTIF(adj!$C$3:$C$74,$A126)</f>
        <v>0</v>
      </c>
      <c r="Q126" s="150">
        <f>SUMIF(adj!$C$3:$C$810,$A126,adj!E$3:E$810)</f>
        <v>0</v>
      </c>
      <c r="R126" s="150">
        <f>SUMIF(adj!$C$3:$C$810,$A126,adj!F$3:F$810)</f>
        <v>0</v>
      </c>
      <c r="S126" s="150">
        <f>SUMIF(adj!$C$3:$C$810,$A126,adj!G$3:G$810)</f>
        <v>0</v>
      </c>
    </row>
    <row r="127" spans="1:19">
      <c r="A127" s="92" t="s">
        <v>3234</v>
      </c>
      <c r="B127" s="510" t="s">
        <v>3235</v>
      </c>
      <c r="C127" s="511" t="s">
        <v>150</v>
      </c>
      <c r="D127" s="428">
        <v>1</v>
      </c>
      <c r="E127" s="444">
        <f t="shared" si="20"/>
        <v>1</v>
      </c>
      <c r="F127" s="684">
        <v>1.1000000000000001</v>
      </c>
      <c r="G127" s="684">
        <v>1.08</v>
      </c>
      <c r="H127" s="133" t="s">
        <v>3236</v>
      </c>
      <c r="I127" s="133"/>
      <c r="J127" s="133"/>
      <c r="K127" s="707">
        <f>IF($C127="R",$D127*(1+R127),$D127+S127)</f>
        <v>1</v>
      </c>
      <c r="L127" s="684">
        <v>1.1000000000000001</v>
      </c>
      <c r="M127" s="684">
        <v>1.08</v>
      </c>
      <c r="N127" s="133" t="s">
        <v>7508</v>
      </c>
      <c r="O127" s="133"/>
      <c r="P127" s="151">
        <f>COUNTIF(adj!$C$3:$C$74,$A127)</f>
        <v>0</v>
      </c>
      <c r="Q127" s="150">
        <f>SUMIF(adj!$C$3:$C$810,$A127,adj!E$3:E$810)</f>
        <v>0</v>
      </c>
      <c r="R127" s="150">
        <f>SUMIF(adj!$C$3:$C$810,$A127,adj!F$3:F$810)</f>
        <v>0</v>
      </c>
      <c r="S127" s="150">
        <f>SUMIF(adj!$C$3:$C$810,$A127,adj!G$3:G$810)</f>
        <v>0</v>
      </c>
    </row>
    <row r="128" spans="1:19">
      <c r="A128" s="92" t="s">
        <v>3237</v>
      </c>
      <c r="B128" s="510" t="s">
        <v>3238</v>
      </c>
      <c r="C128" s="511" t="s">
        <v>150</v>
      </c>
      <c r="D128" s="428">
        <v>1</v>
      </c>
      <c r="E128" s="444">
        <f t="shared" si="20"/>
        <v>1</v>
      </c>
      <c r="F128" s="444">
        <f t="shared" si="32"/>
        <v>1</v>
      </c>
      <c r="G128" s="444">
        <f t="shared" si="32"/>
        <v>1</v>
      </c>
      <c r="H128" s="133" t="s">
        <v>3239</v>
      </c>
      <c r="I128" s="133"/>
      <c r="J128" s="133"/>
      <c r="K128" s="444">
        <f t="shared" si="24"/>
        <v>1</v>
      </c>
      <c r="L128" s="444">
        <f t="shared" si="35"/>
        <v>1</v>
      </c>
      <c r="M128" s="444">
        <f t="shared" si="35"/>
        <v>1</v>
      </c>
      <c r="N128" s="133" t="s">
        <v>7509</v>
      </c>
      <c r="O128" s="133"/>
      <c r="P128" s="151">
        <f>COUNTIF(adj!$C$3:$C$74,$A128)</f>
        <v>0</v>
      </c>
      <c r="Q128" s="150">
        <f>SUMIF(adj!$C$3:$C$810,$A128,adj!E$3:E$810)</f>
        <v>0</v>
      </c>
      <c r="R128" s="150">
        <f>SUMIF(adj!$C$3:$C$810,$A128,adj!F$3:F$810)</f>
        <v>0</v>
      </c>
      <c r="S128" s="150">
        <f>SUMIF(adj!$C$3:$C$810,$A128,adj!G$3:G$810)</f>
        <v>0</v>
      </c>
    </row>
    <row r="129" spans="1:19">
      <c r="A129" s="92" t="s">
        <v>3240</v>
      </c>
      <c r="B129" s="510" t="s">
        <v>3241</v>
      </c>
      <c r="C129" s="511" t="s">
        <v>150</v>
      </c>
      <c r="D129" s="428">
        <v>1</v>
      </c>
      <c r="E129" s="444">
        <f t="shared" si="20"/>
        <v>1</v>
      </c>
      <c r="F129" s="444">
        <f t="shared" si="32"/>
        <v>1</v>
      </c>
      <c r="G129" s="444">
        <f t="shared" si="32"/>
        <v>1</v>
      </c>
      <c r="H129" s="133" t="s">
        <v>3242</v>
      </c>
      <c r="I129" s="133"/>
      <c r="J129" s="133"/>
      <c r="K129" s="444">
        <f t="shared" si="24"/>
        <v>1</v>
      </c>
      <c r="L129" s="444">
        <f t="shared" si="35"/>
        <v>1</v>
      </c>
      <c r="M129" s="444">
        <f t="shared" si="35"/>
        <v>1</v>
      </c>
      <c r="N129" s="133" t="s">
        <v>7510</v>
      </c>
      <c r="O129" s="133"/>
      <c r="P129" s="151">
        <f>COUNTIF(adj!$C$3:$C$74,$A129)</f>
        <v>0</v>
      </c>
      <c r="Q129" s="150">
        <f>SUMIF(adj!$C$3:$C$810,$A129,adj!E$3:E$810)</f>
        <v>0</v>
      </c>
      <c r="R129" s="150">
        <f>SUMIF(adj!$C$3:$C$810,$A129,adj!F$3:F$810)</f>
        <v>0</v>
      </c>
      <c r="S129" s="150">
        <f>SUMIF(adj!$C$3:$C$810,$A129,adj!G$3:G$810)</f>
        <v>0</v>
      </c>
    </row>
    <row r="130" spans="1:19">
      <c r="A130" s="92" t="s">
        <v>3243</v>
      </c>
      <c r="B130" s="510" t="s">
        <v>3244</v>
      </c>
      <c r="C130" s="511" t="s">
        <v>150</v>
      </c>
      <c r="D130" s="428">
        <v>1</v>
      </c>
      <c r="E130" s="444">
        <f t="shared" si="20"/>
        <v>1</v>
      </c>
      <c r="F130" s="444">
        <f t="shared" si="32"/>
        <v>1</v>
      </c>
      <c r="G130" s="444">
        <f t="shared" si="32"/>
        <v>1</v>
      </c>
      <c r="H130" s="133" t="s">
        <v>3245</v>
      </c>
      <c r="I130" s="133"/>
      <c r="J130" s="133"/>
      <c r="K130" s="707">
        <f>IF($C130="R",$D130*(1+R130),$D130+S130)</f>
        <v>1</v>
      </c>
      <c r="L130" s="444">
        <f t="shared" si="35"/>
        <v>1</v>
      </c>
      <c r="M130" s="444">
        <f t="shared" si="35"/>
        <v>1</v>
      </c>
      <c r="N130" s="133" t="s">
        <v>7511</v>
      </c>
      <c r="O130" s="133"/>
      <c r="P130" s="151">
        <f>COUNTIF(adj!$C$3:$C$74,$A130)</f>
        <v>0</v>
      </c>
      <c r="Q130" s="150">
        <f>SUMIF(adj!$C$3:$C$810,$A130,adj!E$3:E$810)</f>
        <v>0</v>
      </c>
      <c r="R130" s="150">
        <f>SUMIF(adj!$C$3:$C$810,$A130,adj!F$3:F$810)</f>
        <v>0</v>
      </c>
      <c r="S130" s="150">
        <f>SUMIF(adj!$C$3:$C$810,$A130,adj!G$3:G$810)</f>
        <v>0</v>
      </c>
    </row>
    <row r="131" spans="1:19">
      <c r="A131" s="92" t="s">
        <v>3246</v>
      </c>
      <c r="B131" s="510" t="s">
        <v>3247</v>
      </c>
      <c r="C131" s="511" t="s">
        <v>150</v>
      </c>
      <c r="D131" s="428">
        <v>1</v>
      </c>
      <c r="E131" s="444">
        <f t="shared" si="20"/>
        <v>1</v>
      </c>
      <c r="F131" s="444">
        <f t="shared" si="32"/>
        <v>1</v>
      </c>
      <c r="G131" s="444">
        <f t="shared" si="32"/>
        <v>1</v>
      </c>
      <c r="H131" s="133" t="s">
        <v>3248</v>
      </c>
      <c r="I131" s="133"/>
      <c r="J131" s="133"/>
      <c r="K131" s="707">
        <f>IF($C131="R",$D131*(1+R131),$D131+S131)</f>
        <v>1</v>
      </c>
      <c r="L131" s="444">
        <f t="shared" si="35"/>
        <v>1</v>
      </c>
      <c r="M131" s="444">
        <f t="shared" si="35"/>
        <v>1</v>
      </c>
      <c r="N131" s="133" t="s">
        <v>7512</v>
      </c>
      <c r="O131" s="133"/>
      <c r="P131" s="151">
        <f>COUNTIF(adj!$C$3:$C$74,$A131)</f>
        <v>0</v>
      </c>
      <c r="Q131" s="150">
        <f>SUMIF(adj!$C$3:$C$810,$A131,adj!E$3:E$810)</f>
        <v>0</v>
      </c>
      <c r="R131" s="150">
        <f>SUMIF(adj!$C$3:$C$810,$A131,adj!F$3:F$810)</f>
        <v>0</v>
      </c>
      <c r="S131" s="150">
        <f>SUMIF(adj!$C$3:$C$810,$A131,adj!G$3:G$810)</f>
        <v>0</v>
      </c>
    </row>
    <row r="132" spans="1:19">
      <c r="A132" s="92" t="s">
        <v>3249</v>
      </c>
      <c r="B132" s="510" t="s">
        <v>4353</v>
      </c>
      <c r="C132" s="511" t="s">
        <v>150</v>
      </c>
      <c r="D132" s="428">
        <v>1</v>
      </c>
      <c r="E132" s="444">
        <f t="shared" si="20"/>
        <v>1</v>
      </c>
      <c r="F132" s="684">
        <v>1.1200000000000001</v>
      </c>
      <c r="G132" s="684">
        <v>1.1200000000000001</v>
      </c>
      <c r="H132" s="133" t="s">
        <v>3250</v>
      </c>
      <c r="I132" s="133"/>
      <c r="J132" s="133"/>
      <c r="K132" s="707">
        <f>IF($C132="R",$D132*(1+R132),$D132+S132)</f>
        <v>1</v>
      </c>
      <c r="L132" s="684">
        <v>1.05</v>
      </c>
      <c r="M132" s="684">
        <v>1.03</v>
      </c>
      <c r="N132" s="133" t="s">
        <v>7513</v>
      </c>
      <c r="O132" s="133"/>
      <c r="P132" s="151">
        <f>COUNTIF(adj!$C$3:$C$74,$A132)</f>
        <v>0</v>
      </c>
      <c r="Q132" s="150">
        <f>SUMIF(adj!$C$3:$C$810,$A132,adj!E$3:E$810)</f>
        <v>0</v>
      </c>
      <c r="R132" s="150">
        <f>SUMIF(adj!$C$3:$C$810,$A132,adj!F$3:F$810)</f>
        <v>0</v>
      </c>
      <c r="S132" s="150">
        <f>SUMIF(adj!$C$3:$C$810,$A132,adj!G$3:G$810)</f>
        <v>0</v>
      </c>
    </row>
    <row r="133" spans="1:19">
      <c r="A133" s="92" t="s">
        <v>3251</v>
      </c>
      <c r="B133" s="510" t="str">
        <f>"LOB2 - "&amp;nmDisc1&amp;" Meetings"</f>
        <v>LOB2 - RN Meetings</v>
      </c>
      <c r="C133" s="511" t="s">
        <v>150</v>
      </c>
      <c r="D133" s="428">
        <v>1</v>
      </c>
      <c r="E133" s="444">
        <f t="shared" si="20"/>
        <v>1</v>
      </c>
      <c r="F133" s="444">
        <f t="shared" si="32"/>
        <v>1</v>
      </c>
      <c r="G133" s="444">
        <f t="shared" si="32"/>
        <v>1</v>
      </c>
      <c r="H133" s="133" t="s">
        <v>3252</v>
      </c>
      <c r="I133" s="133"/>
      <c r="J133" s="133"/>
      <c r="K133" s="707">
        <f t="shared" ref="K133:K165" si="36">IF($C133="R",$D133*(1+R133),$D133+S133)</f>
        <v>1</v>
      </c>
      <c r="L133" s="444">
        <f t="shared" si="31"/>
        <v>1</v>
      </c>
      <c r="M133" s="444">
        <f t="shared" si="31"/>
        <v>1</v>
      </c>
      <c r="N133" s="133" t="s">
        <v>7514</v>
      </c>
      <c r="O133" s="133"/>
      <c r="P133" s="151">
        <f>COUNTIF(adj!$C$3:$C$74,$A133)</f>
        <v>0</v>
      </c>
      <c r="Q133" s="150">
        <f>SUMIF(adj!$C$3:$C$810,$A133,adj!E$3:E$810)</f>
        <v>0</v>
      </c>
      <c r="R133" s="150">
        <f>SUMIF(adj!$C$3:$C$810,$A133,adj!F$3:F$810)</f>
        <v>0</v>
      </c>
      <c r="S133" s="150">
        <f>SUMIF(adj!$C$3:$C$810,$A133,adj!G$3:G$810)</f>
        <v>0</v>
      </c>
    </row>
    <row r="134" spans="1:19">
      <c r="A134" s="92" t="s">
        <v>3253</v>
      </c>
      <c r="B134" s="510" t="str">
        <f>"LOB2 - "&amp;nmDisc2&amp;" Meetings"</f>
        <v>LOB2 - LPN Meetings</v>
      </c>
      <c r="C134" s="511" t="s">
        <v>150</v>
      </c>
      <c r="D134" s="428">
        <v>1</v>
      </c>
      <c r="E134" s="444">
        <f t="shared" si="20"/>
        <v>1</v>
      </c>
      <c r="F134" s="444">
        <f t="shared" si="32"/>
        <v>1</v>
      </c>
      <c r="G134" s="444">
        <f t="shared" si="32"/>
        <v>1</v>
      </c>
      <c r="H134" s="133" t="s">
        <v>3254</v>
      </c>
      <c r="I134" s="133"/>
      <c r="J134" s="133"/>
      <c r="K134" s="707">
        <f t="shared" si="36"/>
        <v>1</v>
      </c>
      <c r="L134" s="444">
        <f t="shared" si="31"/>
        <v>1</v>
      </c>
      <c r="M134" s="444">
        <f t="shared" si="31"/>
        <v>1</v>
      </c>
      <c r="N134" s="133" t="s">
        <v>7515</v>
      </c>
      <c r="O134" s="133"/>
      <c r="P134" s="151">
        <f>COUNTIF(adj!$C$3:$C$74,$A134)</f>
        <v>0</v>
      </c>
      <c r="Q134" s="150">
        <f>SUMIF(adj!$C$3:$C$810,$A134,adj!E$3:E$810)</f>
        <v>0</v>
      </c>
      <c r="R134" s="150">
        <f>SUMIF(adj!$C$3:$C$810,$A134,adj!F$3:F$810)</f>
        <v>0</v>
      </c>
      <c r="S134" s="150">
        <f>SUMIF(adj!$C$3:$C$810,$A134,adj!G$3:G$810)</f>
        <v>0</v>
      </c>
    </row>
    <row r="135" spans="1:19">
      <c r="A135" s="92" t="s">
        <v>3255</v>
      </c>
      <c r="B135" s="510" t="str">
        <f>"LOB2 - "&amp;nmDisc3&amp;" Meetings"</f>
        <v>LOB2 - PT Meetings</v>
      </c>
      <c r="C135" s="511" t="s">
        <v>150</v>
      </c>
      <c r="D135" s="428">
        <v>1</v>
      </c>
      <c r="E135" s="444">
        <f t="shared" si="20"/>
        <v>1</v>
      </c>
      <c r="F135" s="444">
        <f t="shared" si="32"/>
        <v>1</v>
      </c>
      <c r="G135" s="444">
        <f t="shared" si="32"/>
        <v>1</v>
      </c>
      <c r="H135" s="133" t="s">
        <v>3256</v>
      </c>
      <c r="I135" s="133"/>
      <c r="J135" s="133"/>
      <c r="K135" s="707">
        <f t="shared" si="36"/>
        <v>1</v>
      </c>
      <c r="L135" s="444">
        <f t="shared" si="31"/>
        <v>1</v>
      </c>
      <c r="M135" s="444">
        <f t="shared" si="31"/>
        <v>1</v>
      </c>
      <c r="N135" s="133" t="s">
        <v>7516</v>
      </c>
      <c r="O135" s="133"/>
      <c r="P135" s="151">
        <f>COUNTIF(adj!$C$3:$C$74,$A135)</f>
        <v>0</v>
      </c>
      <c r="Q135" s="150">
        <f>SUMIF(adj!$C$3:$C$810,$A135,adj!E$3:E$810)</f>
        <v>0</v>
      </c>
      <c r="R135" s="150">
        <f>SUMIF(adj!$C$3:$C$810,$A135,adj!F$3:F$810)</f>
        <v>0</v>
      </c>
      <c r="S135" s="150">
        <f>SUMIF(adj!$C$3:$C$810,$A135,adj!G$3:G$810)</f>
        <v>0</v>
      </c>
    </row>
    <row r="136" spans="1:19">
      <c r="A136" s="92" t="s">
        <v>3257</v>
      </c>
      <c r="B136" s="510" t="str">
        <f>"LOB2 - "&amp;nmDisc4&amp;" Meetings"</f>
        <v>LOB2 - OT Meetings</v>
      </c>
      <c r="C136" s="511" t="s">
        <v>150</v>
      </c>
      <c r="D136" s="428">
        <v>1</v>
      </c>
      <c r="E136" s="444">
        <f t="shared" si="20"/>
        <v>1</v>
      </c>
      <c r="F136" s="444">
        <f t="shared" si="32"/>
        <v>1</v>
      </c>
      <c r="G136" s="444">
        <f t="shared" si="32"/>
        <v>1</v>
      </c>
      <c r="H136" s="133" t="s">
        <v>3258</v>
      </c>
      <c r="I136" s="133"/>
      <c r="J136" s="133"/>
      <c r="K136" s="707">
        <f t="shared" si="36"/>
        <v>1</v>
      </c>
      <c r="L136" s="444">
        <f t="shared" si="31"/>
        <v>1</v>
      </c>
      <c r="M136" s="444">
        <f t="shared" si="31"/>
        <v>1</v>
      </c>
      <c r="N136" s="133" t="s">
        <v>7517</v>
      </c>
      <c r="O136" s="133"/>
      <c r="P136" s="151">
        <f>COUNTIF(adj!$C$3:$C$74,$A136)</f>
        <v>0</v>
      </c>
      <c r="Q136" s="150">
        <f>SUMIF(adj!$C$3:$C$810,$A136,adj!E$3:E$810)</f>
        <v>0</v>
      </c>
      <c r="R136" s="150">
        <f>SUMIF(adj!$C$3:$C$810,$A136,adj!F$3:F$810)</f>
        <v>0</v>
      </c>
      <c r="S136" s="150">
        <f>SUMIF(adj!$C$3:$C$810,$A136,adj!G$3:G$810)</f>
        <v>0</v>
      </c>
    </row>
    <row r="137" spans="1:19">
      <c r="A137" s="92" t="s">
        <v>3259</v>
      </c>
      <c r="B137" s="510" t="str">
        <f>"LOB2 - "&amp;nmDisc1&amp;" Missed"</f>
        <v>LOB2 - RN Missed</v>
      </c>
      <c r="C137" s="511" t="s">
        <v>150</v>
      </c>
      <c r="D137" s="428">
        <v>1</v>
      </c>
      <c r="E137" s="444">
        <f t="shared" si="20"/>
        <v>1</v>
      </c>
      <c r="F137" s="444">
        <f t="shared" si="32"/>
        <v>1</v>
      </c>
      <c r="G137" s="444">
        <f t="shared" si="32"/>
        <v>1</v>
      </c>
      <c r="H137" s="133" t="s">
        <v>3260</v>
      </c>
      <c r="I137" s="133"/>
      <c r="J137" s="133"/>
      <c r="K137" s="707">
        <f t="shared" si="36"/>
        <v>1</v>
      </c>
      <c r="L137" s="444">
        <f t="shared" si="31"/>
        <v>1</v>
      </c>
      <c r="M137" s="444">
        <f t="shared" si="31"/>
        <v>1</v>
      </c>
      <c r="N137" s="133" t="s">
        <v>7518</v>
      </c>
      <c r="O137" s="133"/>
      <c r="P137" s="151">
        <f>COUNTIF(adj!$C$3:$C$74,$A137)</f>
        <v>0</v>
      </c>
      <c r="Q137" s="150">
        <f>SUMIF(adj!$C$3:$C$810,$A137,adj!E$3:E$810)</f>
        <v>0</v>
      </c>
      <c r="R137" s="150">
        <f>SUMIF(adj!$C$3:$C$810,$A137,adj!F$3:F$810)</f>
        <v>0</v>
      </c>
      <c r="S137" s="150">
        <f>SUMIF(adj!$C$3:$C$810,$A137,adj!G$3:G$810)</f>
        <v>0</v>
      </c>
    </row>
    <row r="138" spans="1:19">
      <c r="A138" s="92" t="s">
        <v>3261</v>
      </c>
      <c r="B138" s="510" t="str">
        <f>"LOB2 - "&amp;nmDisc2&amp;" Missed"</f>
        <v>LOB2 - LPN Missed</v>
      </c>
      <c r="C138" s="511" t="s">
        <v>150</v>
      </c>
      <c r="D138" s="428">
        <v>1</v>
      </c>
      <c r="E138" s="444">
        <f t="shared" si="20"/>
        <v>1</v>
      </c>
      <c r="F138" s="444">
        <f t="shared" si="32"/>
        <v>1</v>
      </c>
      <c r="G138" s="444">
        <f t="shared" si="32"/>
        <v>1</v>
      </c>
      <c r="H138" s="133" t="s">
        <v>3262</v>
      </c>
      <c r="I138" s="133"/>
      <c r="J138" s="133"/>
      <c r="K138" s="707">
        <f t="shared" si="36"/>
        <v>1</v>
      </c>
      <c r="L138" s="444">
        <f t="shared" si="31"/>
        <v>1</v>
      </c>
      <c r="M138" s="444">
        <f t="shared" si="31"/>
        <v>1</v>
      </c>
      <c r="N138" s="133" t="s">
        <v>7519</v>
      </c>
      <c r="O138" s="133"/>
      <c r="P138" s="151">
        <f>COUNTIF(adj!$C$3:$C$74,$A138)</f>
        <v>0</v>
      </c>
      <c r="Q138" s="150">
        <f>SUMIF(adj!$C$3:$C$810,$A138,adj!E$3:E$810)</f>
        <v>0</v>
      </c>
      <c r="R138" s="150">
        <f>SUMIF(adj!$C$3:$C$810,$A138,adj!F$3:F$810)</f>
        <v>0</v>
      </c>
      <c r="S138" s="150">
        <f>SUMIF(adj!$C$3:$C$810,$A138,adj!G$3:G$810)</f>
        <v>0</v>
      </c>
    </row>
    <row r="139" spans="1:19">
      <c r="A139" s="92" t="s">
        <v>3263</v>
      </c>
      <c r="B139" s="510" t="str">
        <f>"LOB2 - "&amp;nmDisc3&amp;" Missed"</f>
        <v>LOB2 - PT Missed</v>
      </c>
      <c r="C139" s="511" t="s">
        <v>150</v>
      </c>
      <c r="D139" s="428">
        <v>1</v>
      </c>
      <c r="E139" s="444">
        <f t="shared" si="20"/>
        <v>1</v>
      </c>
      <c r="F139" s="444">
        <f t="shared" si="32"/>
        <v>1</v>
      </c>
      <c r="G139" s="444">
        <f t="shared" si="32"/>
        <v>1</v>
      </c>
      <c r="H139" s="133" t="s">
        <v>3264</v>
      </c>
      <c r="I139" s="133"/>
      <c r="J139" s="133"/>
      <c r="K139" s="707">
        <f t="shared" si="36"/>
        <v>1</v>
      </c>
      <c r="L139" s="444">
        <f t="shared" si="31"/>
        <v>1</v>
      </c>
      <c r="M139" s="444">
        <f t="shared" si="31"/>
        <v>1</v>
      </c>
      <c r="N139" s="133" t="s">
        <v>7520</v>
      </c>
      <c r="O139" s="133"/>
      <c r="P139" s="151">
        <f>COUNTIF(adj!$C$3:$C$74,$A139)</f>
        <v>0</v>
      </c>
      <c r="Q139" s="150">
        <f>SUMIF(adj!$C$3:$C$810,$A139,adj!E$3:E$810)</f>
        <v>0</v>
      </c>
      <c r="R139" s="150">
        <f>SUMIF(adj!$C$3:$C$810,$A139,adj!F$3:F$810)</f>
        <v>0</v>
      </c>
      <c r="S139" s="150">
        <f>SUMIF(adj!$C$3:$C$810,$A139,adj!G$3:G$810)</f>
        <v>0</v>
      </c>
    </row>
    <row r="140" spans="1:19">
      <c r="A140" s="92" t="s">
        <v>3265</v>
      </c>
      <c r="B140" s="510" t="str">
        <f>"LOB2 - "&amp;nmDisc4&amp;" Missed"</f>
        <v>LOB2 - OT Missed</v>
      </c>
      <c r="C140" s="511" t="s">
        <v>150</v>
      </c>
      <c r="D140" s="428">
        <v>1</v>
      </c>
      <c r="E140" s="444">
        <f t="shared" si="20"/>
        <v>1</v>
      </c>
      <c r="F140" s="444">
        <f t="shared" si="32"/>
        <v>1</v>
      </c>
      <c r="G140" s="444">
        <f t="shared" si="32"/>
        <v>1</v>
      </c>
      <c r="H140" s="133" t="s">
        <v>3266</v>
      </c>
      <c r="I140" s="133"/>
      <c r="J140" s="133"/>
      <c r="K140" s="707">
        <f t="shared" si="36"/>
        <v>1</v>
      </c>
      <c r="L140" s="444">
        <f t="shared" si="31"/>
        <v>1</v>
      </c>
      <c r="M140" s="444">
        <f t="shared" si="31"/>
        <v>1</v>
      </c>
      <c r="N140" s="133" t="s">
        <v>7521</v>
      </c>
      <c r="O140" s="133"/>
      <c r="P140" s="151">
        <f>COUNTIF(adj!$C$3:$C$74,$A140)</f>
        <v>0</v>
      </c>
      <c r="Q140" s="150">
        <f>SUMIF(adj!$C$3:$C$810,$A140,adj!E$3:E$810)</f>
        <v>0</v>
      </c>
      <c r="R140" s="150">
        <f>SUMIF(adj!$C$3:$C$810,$A140,adj!F$3:F$810)</f>
        <v>0</v>
      </c>
      <c r="S140" s="150">
        <f>SUMIF(adj!$C$3:$C$810,$A140,adj!G$3:G$810)</f>
        <v>0</v>
      </c>
    </row>
    <row r="141" spans="1:19">
      <c r="A141" s="92" t="s">
        <v>3267</v>
      </c>
      <c r="B141" s="510" t="s">
        <v>3268</v>
      </c>
      <c r="C141" s="511" t="s">
        <v>150</v>
      </c>
      <c r="D141" s="428">
        <v>1</v>
      </c>
      <c r="E141" s="444">
        <f t="shared" si="20"/>
        <v>1</v>
      </c>
      <c r="F141" s="444">
        <f t="shared" si="32"/>
        <v>1</v>
      </c>
      <c r="G141" s="444">
        <f t="shared" si="32"/>
        <v>1</v>
      </c>
      <c r="H141" s="133" t="s">
        <v>3269</v>
      </c>
      <c r="I141" s="133"/>
      <c r="J141" s="133"/>
      <c r="K141" s="444">
        <f t="shared" si="24"/>
        <v>1</v>
      </c>
      <c r="L141" s="444">
        <f t="shared" si="31"/>
        <v>1</v>
      </c>
      <c r="M141" s="444">
        <f t="shared" si="31"/>
        <v>1</v>
      </c>
      <c r="N141" s="133" t="s">
        <v>7522</v>
      </c>
      <c r="O141" s="133"/>
      <c r="P141" s="151">
        <f>COUNTIF(adj!$C$3:$C$74,$A141)</f>
        <v>0</v>
      </c>
      <c r="Q141" s="150">
        <f>SUMIF(adj!$C$3:$C$810,$A141,adj!E$3:E$810)</f>
        <v>0</v>
      </c>
      <c r="R141" s="150">
        <f>SUMIF(adj!$C$3:$C$810,$A141,adj!F$3:F$810)</f>
        <v>0</v>
      </c>
      <c r="S141" s="150">
        <f>SUMIF(adj!$C$3:$C$810,$A141,adj!G$3:G$810)</f>
        <v>0</v>
      </c>
    </row>
    <row r="142" spans="1:19">
      <c r="A142" s="92" t="s">
        <v>3997</v>
      </c>
      <c r="B142" s="510" t="s">
        <v>3270</v>
      </c>
      <c r="C142" s="511" t="s">
        <v>150</v>
      </c>
      <c r="D142" s="428">
        <v>1</v>
      </c>
      <c r="E142" s="444">
        <f t="shared" si="20"/>
        <v>1</v>
      </c>
      <c r="F142" s="444">
        <f t="shared" si="32"/>
        <v>1</v>
      </c>
      <c r="G142" s="444">
        <f t="shared" si="32"/>
        <v>1</v>
      </c>
      <c r="H142" s="133" t="s">
        <v>3271</v>
      </c>
      <c r="I142" s="133"/>
      <c r="J142" s="133"/>
      <c r="K142" s="707">
        <f t="shared" si="36"/>
        <v>1</v>
      </c>
      <c r="L142" s="444">
        <f t="shared" si="31"/>
        <v>1</v>
      </c>
      <c r="M142" s="444">
        <f t="shared" si="31"/>
        <v>1</v>
      </c>
      <c r="N142" s="133" t="s">
        <v>7523</v>
      </c>
      <c r="O142" s="133"/>
      <c r="P142" s="151">
        <f>COUNTIF(adj!$C$3:$C$74,$A142)</f>
        <v>0</v>
      </c>
      <c r="Q142" s="150">
        <f>SUMIF(adj!$C$3:$C$810,$A142,adj!E$3:E$810)</f>
        <v>0</v>
      </c>
      <c r="R142" s="150">
        <f>SUMIF(adj!$C$3:$C$810,$A142,adj!F$3:F$810)</f>
        <v>0</v>
      </c>
      <c r="S142" s="150">
        <f>SUMIF(adj!$C$3:$C$810,$A142,adj!G$3:G$810)</f>
        <v>0</v>
      </c>
    </row>
    <row r="143" spans="1:19">
      <c r="A143" s="92" t="s">
        <v>4162</v>
      </c>
      <c r="B143" s="510" t="s">
        <v>3272</v>
      </c>
      <c r="C143" s="511" t="s">
        <v>150</v>
      </c>
      <c r="D143" s="428">
        <v>1</v>
      </c>
      <c r="E143" s="444">
        <f t="shared" si="20"/>
        <v>1</v>
      </c>
      <c r="F143" s="444">
        <f t="shared" si="32"/>
        <v>1</v>
      </c>
      <c r="G143" s="444">
        <f t="shared" si="32"/>
        <v>1</v>
      </c>
      <c r="H143" s="133" t="s">
        <v>3273</v>
      </c>
      <c r="I143" s="133"/>
      <c r="J143" s="133"/>
      <c r="K143" s="707">
        <f t="shared" si="36"/>
        <v>1</v>
      </c>
      <c r="L143" s="444">
        <f t="shared" si="31"/>
        <v>1</v>
      </c>
      <c r="M143" s="444">
        <f t="shared" si="31"/>
        <v>1</v>
      </c>
      <c r="N143" s="133" t="s">
        <v>7524</v>
      </c>
      <c r="O143" s="133"/>
      <c r="P143" s="151">
        <f>COUNTIF(adj!$C$3:$C$74,$A143)</f>
        <v>0</v>
      </c>
      <c r="Q143" s="150">
        <f>SUMIF(adj!$C$3:$C$810,$A143,adj!E$3:E$810)</f>
        <v>0</v>
      </c>
      <c r="R143" s="150">
        <f>SUMIF(adj!$C$3:$C$810,$A143,adj!F$3:F$810)</f>
        <v>0</v>
      </c>
      <c r="S143" s="150">
        <f>SUMIF(adj!$C$3:$C$810,$A143,adj!G$3:G$810)</f>
        <v>0</v>
      </c>
    </row>
    <row r="144" spans="1:19">
      <c r="A144" s="92" t="s">
        <v>4163</v>
      </c>
      <c r="B144" s="510" t="s">
        <v>3274</v>
      </c>
      <c r="C144" s="511" t="s">
        <v>150</v>
      </c>
      <c r="D144" s="428">
        <v>1</v>
      </c>
      <c r="E144" s="444">
        <f t="shared" si="20"/>
        <v>1</v>
      </c>
      <c r="F144" s="444">
        <f t="shared" si="32"/>
        <v>1</v>
      </c>
      <c r="G144" s="444">
        <f t="shared" si="32"/>
        <v>1</v>
      </c>
      <c r="H144" s="133" t="s">
        <v>3275</v>
      </c>
      <c r="I144" s="133"/>
      <c r="J144" s="133"/>
      <c r="K144" s="707">
        <f t="shared" si="36"/>
        <v>1</v>
      </c>
      <c r="L144" s="444">
        <f t="shared" ref="L144:M175" si="37">$D144</f>
        <v>1</v>
      </c>
      <c r="M144" s="444">
        <f t="shared" si="37"/>
        <v>1</v>
      </c>
      <c r="N144" s="133" t="s">
        <v>7525</v>
      </c>
      <c r="O144" s="133"/>
      <c r="P144" s="151">
        <f>COUNTIF(adj!$C$3:$C$74,$A144)</f>
        <v>0</v>
      </c>
      <c r="Q144" s="150">
        <f>SUMIF(adj!$C$3:$C$810,$A144,adj!E$3:E$810)</f>
        <v>0</v>
      </c>
      <c r="R144" s="150">
        <f>SUMIF(adj!$C$3:$C$810,$A144,adj!F$3:F$810)</f>
        <v>0</v>
      </c>
      <c r="S144" s="150">
        <f>SUMIF(adj!$C$3:$C$810,$A144,adj!G$3:G$810)</f>
        <v>0</v>
      </c>
    </row>
    <row r="145" spans="1:19">
      <c r="A145" s="92" t="s">
        <v>4164</v>
      </c>
      <c r="B145" s="510" t="s">
        <v>3276</v>
      </c>
      <c r="C145" s="511" t="s">
        <v>150</v>
      </c>
      <c r="D145" s="428">
        <v>1</v>
      </c>
      <c r="E145" s="444">
        <f t="shared" si="20"/>
        <v>1</v>
      </c>
      <c r="F145" s="444">
        <f t="shared" si="32"/>
        <v>1</v>
      </c>
      <c r="G145" s="444">
        <f t="shared" si="32"/>
        <v>1</v>
      </c>
      <c r="H145" s="133" t="s">
        <v>3277</v>
      </c>
      <c r="I145" s="133"/>
      <c r="J145" s="133"/>
      <c r="K145" s="707">
        <f t="shared" si="36"/>
        <v>1</v>
      </c>
      <c r="L145" s="444">
        <f t="shared" si="37"/>
        <v>1</v>
      </c>
      <c r="M145" s="444">
        <f t="shared" si="37"/>
        <v>1</v>
      </c>
      <c r="N145" s="133" t="s">
        <v>7526</v>
      </c>
      <c r="O145" s="133"/>
      <c r="P145" s="151">
        <f>COUNTIF(adj!$C$3:$C$74,$A145)</f>
        <v>0</v>
      </c>
      <c r="Q145" s="150">
        <f>SUMIF(adj!$C$3:$C$810,$A145,adj!E$3:E$810)</f>
        <v>0</v>
      </c>
      <c r="R145" s="150">
        <f>SUMIF(adj!$C$3:$C$810,$A145,adj!F$3:F$810)</f>
        <v>0</v>
      </c>
      <c r="S145" s="150">
        <f>SUMIF(adj!$C$3:$C$810,$A145,adj!G$3:G$810)</f>
        <v>0</v>
      </c>
    </row>
    <row r="146" spans="1:19">
      <c r="A146" s="92" t="s">
        <v>4165</v>
      </c>
      <c r="B146" s="510" t="s">
        <v>3278</v>
      </c>
      <c r="C146" s="511" t="s">
        <v>150</v>
      </c>
      <c r="D146" s="428">
        <v>1</v>
      </c>
      <c r="E146" s="444">
        <f t="shared" si="20"/>
        <v>1</v>
      </c>
      <c r="F146" s="444">
        <f t="shared" si="32"/>
        <v>1</v>
      </c>
      <c r="G146" s="444">
        <f t="shared" si="32"/>
        <v>1</v>
      </c>
      <c r="H146" s="133" t="s">
        <v>3279</v>
      </c>
      <c r="I146" s="133"/>
      <c r="J146" s="133"/>
      <c r="K146" s="707">
        <f t="shared" si="36"/>
        <v>1</v>
      </c>
      <c r="L146" s="444">
        <f t="shared" si="37"/>
        <v>1</v>
      </c>
      <c r="M146" s="444">
        <f t="shared" si="37"/>
        <v>1</v>
      </c>
      <c r="N146" s="133" t="s">
        <v>7527</v>
      </c>
      <c r="O146" s="133"/>
      <c r="P146" s="151">
        <f>COUNTIF(adj!$C$3:$C$74,$A146)</f>
        <v>0</v>
      </c>
      <c r="Q146" s="150">
        <f>SUMIF(adj!$C$3:$C$810,$A146,adj!E$3:E$810)</f>
        <v>0</v>
      </c>
      <c r="R146" s="150">
        <f>SUMIF(adj!$C$3:$C$810,$A146,adj!F$3:F$810)</f>
        <v>0</v>
      </c>
      <c r="S146" s="150">
        <f>SUMIF(adj!$C$3:$C$810,$A146,adj!G$3:G$810)</f>
        <v>0</v>
      </c>
    </row>
    <row r="147" spans="1:19">
      <c r="A147" s="92" t="s">
        <v>4166</v>
      </c>
      <c r="B147" s="510" t="s">
        <v>3280</v>
      </c>
      <c r="C147" s="511" t="s">
        <v>150</v>
      </c>
      <c r="D147" s="428">
        <v>1</v>
      </c>
      <c r="E147" s="444">
        <f t="shared" si="20"/>
        <v>1</v>
      </c>
      <c r="F147" s="444">
        <f t="shared" ref="F147:G178" si="38">$D147</f>
        <v>1</v>
      </c>
      <c r="G147" s="444">
        <f t="shared" si="38"/>
        <v>1</v>
      </c>
      <c r="H147" s="133" t="s">
        <v>3281</v>
      </c>
      <c r="I147" s="133"/>
      <c r="J147" s="133"/>
      <c r="K147" s="707">
        <f t="shared" si="36"/>
        <v>1</v>
      </c>
      <c r="L147" s="444">
        <f t="shared" si="37"/>
        <v>1</v>
      </c>
      <c r="M147" s="444">
        <f t="shared" si="37"/>
        <v>1</v>
      </c>
      <c r="N147" s="133" t="s">
        <v>7528</v>
      </c>
      <c r="O147" s="133"/>
      <c r="P147" s="151">
        <f>COUNTIF(adj!$C$3:$C$74,$A147)</f>
        <v>0</v>
      </c>
      <c r="Q147" s="150">
        <f>SUMIF(adj!$C$3:$C$810,$A147,adj!E$3:E$810)</f>
        <v>0</v>
      </c>
      <c r="R147" s="150">
        <f>SUMIF(adj!$C$3:$C$810,$A147,adj!F$3:F$810)</f>
        <v>0</v>
      </c>
      <c r="S147" s="150">
        <f>SUMIF(adj!$C$3:$C$810,$A147,adj!G$3:G$810)</f>
        <v>0</v>
      </c>
    </row>
    <row r="148" spans="1:19">
      <c r="A148" s="92" t="s">
        <v>4167</v>
      </c>
      <c r="B148" s="510" t="s">
        <v>3282</v>
      </c>
      <c r="C148" s="511" t="s">
        <v>150</v>
      </c>
      <c r="D148" s="428">
        <v>1</v>
      </c>
      <c r="E148" s="444">
        <f t="shared" si="20"/>
        <v>1</v>
      </c>
      <c r="F148" s="444">
        <f t="shared" si="38"/>
        <v>1</v>
      </c>
      <c r="G148" s="444">
        <f t="shared" si="38"/>
        <v>1</v>
      </c>
      <c r="H148" s="133" t="s">
        <v>3283</v>
      </c>
      <c r="I148" s="133"/>
      <c r="J148" s="133"/>
      <c r="K148" s="707">
        <f t="shared" si="36"/>
        <v>1</v>
      </c>
      <c r="L148" s="444">
        <f t="shared" si="37"/>
        <v>1</v>
      </c>
      <c r="M148" s="444">
        <f t="shared" si="37"/>
        <v>1</v>
      </c>
      <c r="N148" s="133" t="s">
        <v>7529</v>
      </c>
      <c r="O148" s="133"/>
      <c r="P148" s="151">
        <f>COUNTIF(adj!$C$3:$C$74,$A148)</f>
        <v>0</v>
      </c>
      <c r="Q148" s="150">
        <f>SUMIF(adj!$C$3:$C$810,$A148,adj!E$3:E$810)</f>
        <v>0</v>
      </c>
      <c r="R148" s="150">
        <f>SUMIF(adj!$C$3:$C$810,$A148,adj!F$3:F$810)</f>
        <v>0</v>
      </c>
      <c r="S148" s="150">
        <f>SUMIF(adj!$C$3:$C$810,$A148,adj!G$3:G$810)</f>
        <v>0</v>
      </c>
    </row>
    <row r="149" spans="1:19">
      <c r="A149" s="92" t="s">
        <v>4168</v>
      </c>
      <c r="B149" s="510" t="s">
        <v>3284</v>
      </c>
      <c r="C149" s="511" t="s">
        <v>150</v>
      </c>
      <c r="D149" s="428">
        <v>1</v>
      </c>
      <c r="E149" s="444">
        <f t="shared" si="20"/>
        <v>1</v>
      </c>
      <c r="F149" s="444">
        <f t="shared" si="38"/>
        <v>1</v>
      </c>
      <c r="G149" s="444">
        <f t="shared" si="38"/>
        <v>1</v>
      </c>
      <c r="H149" s="133" t="s">
        <v>3285</v>
      </c>
      <c r="I149" s="133"/>
      <c r="J149" s="133"/>
      <c r="K149" s="707">
        <f t="shared" si="36"/>
        <v>1</v>
      </c>
      <c r="L149" s="444">
        <f t="shared" si="37"/>
        <v>1</v>
      </c>
      <c r="M149" s="444">
        <f t="shared" si="37"/>
        <v>1</v>
      </c>
      <c r="N149" s="133" t="s">
        <v>7530</v>
      </c>
      <c r="O149" s="133"/>
      <c r="P149" s="151">
        <f>COUNTIF(adj!$C$3:$C$74,$A149)</f>
        <v>0</v>
      </c>
      <c r="Q149" s="150">
        <f>SUMIF(adj!$C$3:$C$810,$A149,adj!E$3:E$810)</f>
        <v>0</v>
      </c>
      <c r="R149" s="150">
        <f>SUMIF(adj!$C$3:$C$810,$A149,adj!F$3:F$810)</f>
        <v>0</v>
      </c>
      <c r="S149" s="150">
        <f>SUMIF(adj!$C$3:$C$810,$A149,adj!G$3:G$810)</f>
        <v>0</v>
      </c>
    </row>
    <row r="150" spans="1:19">
      <c r="A150" s="92" t="s">
        <v>4169</v>
      </c>
      <c r="B150" s="510" t="s">
        <v>3286</v>
      </c>
      <c r="C150" s="511" t="s">
        <v>150</v>
      </c>
      <c r="D150" s="428">
        <v>1</v>
      </c>
      <c r="E150" s="444">
        <f t="shared" si="20"/>
        <v>1</v>
      </c>
      <c r="F150" s="444">
        <f t="shared" si="38"/>
        <v>1</v>
      </c>
      <c r="G150" s="444">
        <f t="shared" si="38"/>
        <v>1</v>
      </c>
      <c r="H150" s="133" t="s">
        <v>3287</v>
      </c>
      <c r="I150" s="133"/>
      <c r="J150" s="133"/>
      <c r="K150" s="707">
        <f t="shared" si="36"/>
        <v>1</v>
      </c>
      <c r="L150" s="444">
        <f t="shared" si="37"/>
        <v>1</v>
      </c>
      <c r="M150" s="444">
        <f t="shared" si="37"/>
        <v>1</v>
      </c>
      <c r="N150" s="133" t="s">
        <v>7531</v>
      </c>
      <c r="O150" s="133"/>
      <c r="P150" s="151">
        <f>COUNTIF(adj!$C$3:$C$74,$A150)</f>
        <v>0</v>
      </c>
      <c r="Q150" s="150">
        <f>SUMIF(adj!$C$3:$C$810,$A150,adj!E$3:E$810)</f>
        <v>0</v>
      </c>
      <c r="R150" s="150">
        <f>SUMIF(adj!$C$3:$C$810,$A150,adj!F$3:F$810)</f>
        <v>0</v>
      </c>
      <c r="S150" s="150">
        <f>SUMIF(adj!$C$3:$C$810,$A150,adj!G$3:G$810)</f>
        <v>0</v>
      </c>
    </row>
    <row r="151" spans="1:19">
      <c r="A151" s="92" t="s">
        <v>4170</v>
      </c>
      <c r="B151" s="510" t="s">
        <v>3288</v>
      </c>
      <c r="C151" s="511" t="s">
        <v>150</v>
      </c>
      <c r="D151" s="428">
        <v>1</v>
      </c>
      <c r="E151" s="444">
        <f t="shared" si="20"/>
        <v>1</v>
      </c>
      <c r="F151" s="444">
        <f t="shared" si="38"/>
        <v>1</v>
      </c>
      <c r="G151" s="444">
        <f t="shared" si="38"/>
        <v>1</v>
      </c>
      <c r="H151" s="133" t="s">
        <v>3289</v>
      </c>
      <c r="I151" s="133"/>
      <c r="J151" s="133"/>
      <c r="K151" s="707">
        <f t="shared" si="36"/>
        <v>1</v>
      </c>
      <c r="L151" s="444">
        <f t="shared" si="37"/>
        <v>1</v>
      </c>
      <c r="M151" s="444">
        <f t="shared" si="37"/>
        <v>1</v>
      </c>
      <c r="N151" s="133" t="s">
        <v>7532</v>
      </c>
      <c r="O151" s="133"/>
      <c r="P151" s="151">
        <f>COUNTIF(adj!$C$3:$C$74,$A151)</f>
        <v>0</v>
      </c>
      <c r="Q151" s="150">
        <f>SUMIF(adj!$C$3:$C$810,$A151,adj!E$3:E$810)</f>
        <v>0</v>
      </c>
      <c r="R151" s="150">
        <f>SUMIF(adj!$C$3:$C$810,$A151,adj!F$3:F$810)</f>
        <v>0</v>
      </c>
      <c r="S151" s="150">
        <f>SUMIF(adj!$C$3:$C$810,$A151,adj!G$3:G$810)</f>
        <v>0</v>
      </c>
    </row>
    <row r="152" spans="1:19">
      <c r="A152" s="92" t="s">
        <v>4171</v>
      </c>
      <c r="B152" s="510" t="s">
        <v>3290</v>
      </c>
      <c r="C152" s="511" t="s">
        <v>150</v>
      </c>
      <c r="D152" s="428">
        <v>1</v>
      </c>
      <c r="E152" s="444">
        <f t="shared" si="20"/>
        <v>1</v>
      </c>
      <c r="F152" s="444">
        <f t="shared" si="38"/>
        <v>1</v>
      </c>
      <c r="G152" s="444">
        <f t="shared" si="38"/>
        <v>1</v>
      </c>
      <c r="H152" s="133" t="s">
        <v>3291</v>
      </c>
      <c r="I152" s="133"/>
      <c r="J152" s="133"/>
      <c r="K152" s="707">
        <f t="shared" si="36"/>
        <v>1</v>
      </c>
      <c r="L152" s="444">
        <f t="shared" si="37"/>
        <v>1</v>
      </c>
      <c r="M152" s="444">
        <f t="shared" si="37"/>
        <v>1</v>
      </c>
      <c r="N152" s="133" t="s">
        <v>7533</v>
      </c>
      <c r="O152" s="133"/>
      <c r="P152" s="151">
        <f>COUNTIF(adj!$C$3:$C$74,$A152)</f>
        <v>0</v>
      </c>
      <c r="Q152" s="150">
        <f>SUMIF(adj!$C$3:$C$810,$A152,adj!E$3:E$810)</f>
        <v>0</v>
      </c>
      <c r="R152" s="150">
        <f>SUMIF(adj!$C$3:$C$810,$A152,adj!F$3:F$810)</f>
        <v>0</v>
      </c>
      <c r="S152" s="150">
        <f>SUMIF(adj!$C$3:$C$810,$A152,adj!G$3:G$810)</f>
        <v>0</v>
      </c>
    </row>
    <row r="153" spans="1:19">
      <c r="A153" s="92" t="s">
        <v>4172</v>
      </c>
      <c r="B153" s="510" t="s">
        <v>3292</v>
      </c>
      <c r="C153" s="511" t="s">
        <v>150</v>
      </c>
      <c r="D153" s="428">
        <v>1</v>
      </c>
      <c r="E153" s="444">
        <f t="shared" si="20"/>
        <v>1</v>
      </c>
      <c r="F153" s="444">
        <f t="shared" si="38"/>
        <v>1</v>
      </c>
      <c r="G153" s="444">
        <f t="shared" si="38"/>
        <v>1</v>
      </c>
      <c r="H153" s="133" t="s">
        <v>3293</v>
      </c>
      <c r="I153" s="133"/>
      <c r="J153" s="133"/>
      <c r="K153" s="707">
        <f t="shared" si="36"/>
        <v>1</v>
      </c>
      <c r="L153" s="444">
        <f t="shared" si="37"/>
        <v>1</v>
      </c>
      <c r="M153" s="444">
        <f t="shared" si="37"/>
        <v>1</v>
      </c>
      <c r="N153" s="133" t="s">
        <v>7534</v>
      </c>
      <c r="O153" s="133"/>
      <c r="P153" s="151">
        <f>COUNTIF(adj!$C$3:$C$74,$A153)</f>
        <v>0</v>
      </c>
      <c r="Q153" s="150">
        <f>SUMIF(adj!$C$3:$C$810,$A153,adj!E$3:E$810)</f>
        <v>0</v>
      </c>
      <c r="R153" s="150">
        <f>SUMIF(adj!$C$3:$C$810,$A153,adj!F$3:F$810)</f>
        <v>0</v>
      </c>
      <c r="S153" s="150">
        <f>SUMIF(adj!$C$3:$C$810,$A153,adj!G$3:G$810)</f>
        <v>0</v>
      </c>
    </row>
    <row r="154" spans="1:19">
      <c r="A154" s="92" t="s">
        <v>4173</v>
      </c>
      <c r="B154" s="510" t="s">
        <v>3294</v>
      </c>
      <c r="C154" s="511" t="s">
        <v>150</v>
      </c>
      <c r="D154" s="428">
        <v>1</v>
      </c>
      <c r="E154" s="444">
        <f t="shared" si="20"/>
        <v>1</v>
      </c>
      <c r="F154" s="444">
        <f t="shared" si="38"/>
        <v>1</v>
      </c>
      <c r="G154" s="444">
        <f t="shared" si="38"/>
        <v>1</v>
      </c>
      <c r="H154" s="133" t="s">
        <v>3295</v>
      </c>
      <c r="I154" s="133"/>
      <c r="J154" s="133"/>
      <c r="K154" s="707">
        <f t="shared" si="36"/>
        <v>1</v>
      </c>
      <c r="L154" s="444">
        <f t="shared" si="37"/>
        <v>1</v>
      </c>
      <c r="M154" s="444">
        <f t="shared" si="37"/>
        <v>1</v>
      </c>
      <c r="N154" s="133" t="s">
        <v>7535</v>
      </c>
      <c r="O154" s="133"/>
      <c r="P154" s="151">
        <f>COUNTIF(adj!$C$3:$C$74,$A154)</f>
        <v>0</v>
      </c>
      <c r="Q154" s="150">
        <f>SUMIF(adj!$C$3:$C$810,$A154,adj!E$3:E$810)</f>
        <v>0</v>
      </c>
      <c r="R154" s="150">
        <f>SUMIF(adj!$C$3:$C$810,$A154,adj!F$3:F$810)</f>
        <v>0</v>
      </c>
      <c r="S154" s="150">
        <f>SUMIF(adj!$C$3:$C$810,$A154,adj!G$3:G$810)</f>
        <v>0</v>
      </c>
    </row>
    <row r="155" spans="1:19">
      <c r="A155" s="92" t="s">
        <v>4174</v>
      </c>
      <c r="B155" s="510" t="s">
        <v>3296</v>
      </c>
      <c r="C155" s="511" t="s">
        <v>150</v>
      </c>
      <c r="D155" s="428">
        <v>1</v>
      </c>
      <c r="E155" s="444">
        <f t="shared" si="20"/>
        <v>1</v>
      </c>
      <c r="F155" s="444">
        <f t="shared" si="38"/>
        <v>1</v>
      </c>
      <c r="G155" s="444">
        <f t="shared" si="38"/>
        <v>1</v>
      </c>
      <c r="H155" s="133" t="s">
        <v>3297</v>
      </c>
      <c r="I155" s="133"/>
      <c r="J155" s="133"/>
      <c r="K155" s="707">
        <f t="shared" si="36"/>
        <v>1</v>
      </c>
      <c r="L155" s="444">
        <f t="shared" si="37"/>
        <v>1</v>
      </c>
      <c r="M155" s="444">
        <f t="shared" si="37"/>
        <v>1</v>
      </c>
      <c r="N155" s="133" t="s">
        <v>7536</v>
      </c>
      <c r="O155" s="133"/>
      <c r="P155" s="151">
        <f>COUNTIF(adj!$C$3:$C$74,$A155)</f>
        <v>0</v>
      </c>
      <c r="Q155" s="150">
        <f>SUMIF(adj!$C$3:$C$810,$A155,adj!E$3:E$810)</f>
        <v>0</v>
      </c>
      <c r="R155" s="150">
        <f>SUMIF(adj!$C$3:$C$810,$A155,adj!F$3:F$810)</f>
        <v>0</v>
      </c>
      <c r="S155" s="150">
        <f>SUMIF(adj!$C$3:$C$810,$A155,adj!G$3:G$810)</f>
        <v>0</v>
      </c>
    </row>
    <row r="156" spans="1:19">
      <c r="A156" s="92" t="s">
        <v>4175</v>
      </c>
      <c r="B156" s="510" t="s">
        <v>3298</v>
      </c>
      <c r="C156" s="511" t="s">
        <v>150</v>
      </c>
      <c r="D156" s="428">
        <v>1</v>
      </c>
      <c r="E156" s="444">
        <f t="shared" si="20"/>
        <v>1</v>
      </c>
      <c r="F156" s="444">
        <f t="shared" si="38"/>
        <v>1</v>
      </c>
      <c r="G156" s="444">
        <f t="shared" si="38"/>
        <v>1</v>
      </c>
      <c r="H156" s="133" t="s">
        <v>3299</v>
      </c>
      <c r="I156" s="133"/>
      <c r="J156" s="133"/>
      <c r="K156" s="707">
        <f t="shared" si="36"/>
        <v>1</v>
      </c>
      <c r="L156" s="444">
        <f t="shared" si="37"/>
        <v>1</v>
      </c>
      <c r="M156" s="444">
        <f t="shared" si="37"/>
        <v>1</v>
      </c>
      <c r="N156" s="133" t="s">
        <v>7537</v>
      </c>
      <c r="O156" s="133"/>
      <c r="P156" s="151">
        <f>COUNTIF(adj!$C$3:$C$74,$A156)</f>
        <v>0</v>
      </c>
      <c r="Q156" s="150">
        <f>SUMIF(adj!$C$3:$C$810,$A156,adj!E$3:E$810)</f>
        <v>0</v>
      </c>
      <c r="R156" s="150">
        <f>SUMIF(adj!$C$3:$C$810,$A156,adj!F$3:F$810)</f>
        <v>0</v>
      </c>
      <c r="S156" s="150">
        <f>SUMIF(adj!$C$3:$C$810,$A156,adj!G$3:G$810)</f>
        <v>0</v>
      </c>
    </row>
    <row r="157" spans="1:19">
      <c r="A157" s="92" t="s">
        <v>4176</v>
      </c>
      <c r="B157" s="510" t="s">
        <v>3300</v>
      </c>
      <c r="C157" s="511" t="s">
        <v>150</v>
      </c>
      <c r="D157" s="428">
        <v>1</v>
      </c>
      <c r="E157" s="444">
        <f t="shared" si="20"/>
        <v>1</v>
      </c>
      <c r="F157" s="444">
        <f t="shared" si="38"/>
        <v>1</v>
      </c>
      <c r="G157" s="444">
        <f t="shared" si="38"/>
        <v>1</v>
      </c>
      <c r="H157" s="133" t="s">
        <v>3301</v>
      </c>
      <c r="I157" s="133"/>
      <c r="J157" s="133"/>
      <c r="K157" s="707">
        <f t="shared" si="36"/>
        <v>1</v>
      </c>
      <c r="L157" s="444">
        <f t="shared" si="37"/>
        <v>1</v>
      </c>
      <c r="M157" s="444">
        <f t="shared" si="37"/>
        <v>1</v>
      </c>
      <c r="N157" s="133" t="s">
        <v>7538</v>
      </c>
      <c r="O157" s="133"/>
      <c r="P157" s="151">
        <f>COUNTIF(adj!$C$3:$C$74,$A157)</f>
        <v>0</v>
      </c>
      <c r="Q157" s="150">
        <f>SUMIF(adj!$C$3:$C$810,$A157,adj!E$3:E$810)</f>
        <v>0</v>
      </c>
      <c r="R157" s="150">
        <f>SUMIF(adj!$C$3:$C$810,$A157,adj!F$3:F$810)</f>
        <v>0</v>
      </c>
      <c r="S157" s="150">
        <f>SUMIF(adj!$C$3:$C$810,$A157,adj!G$3:G$810)</f>
        <v>0</v>
      </c>
    </row>
    <row r="158" spans="1:19">
      <c r="A158" s="92" t="s">
        <v>4177</v>
      </c>
      <c r="B158" s="510" t="s">
        <v>3302</v>
      </c>
      <c r="C158" s="511" t="s">
        <v>150</v>
      </c>
      <c r="D158" s="428">
        <v>1</v>
      </c>
      <c r="E158" s="444">
        <f t="shared" si="20"/>
        <v>1</v>
      </c>
      <c r="F158" s="444">
        <f t="shared" si="38"/>
        <v>1</v>
      </c>
      <c r="G158" s="444">
        <f t="shared" si="38"/>
        <v>1</v>
      </c>
      <c r="H158" s="133" t="s">
        <v>3303</v>
      </c>
      <c r="I158" s="133"/>
      <c r="J158" s="133"/>
      <c r="K158" s="707">
        <f t="shared" si="36"/>
        <v>1</v>
      </c>
      <c r="L158" s="444">
        <f t="shared" si="37"/>
        <v>1</v>
      </c>
      <c r="M158" s="444">
        <f t="shared" si="37"/>
        <v>1</v>
      </c>
      <c r="N158" s="133" t="s">
        <v>7539</v>
      </c>
      <c r="O158" s="133"/>
      <c r="P158" s="151">
        <f>COUNTIF(adj!$C$3:$C$74,$A158)</f>
        <v>0</v>
      </c>
      <c r="Q158" s="150">
        <f>SUMIF(adj!$C$3:$C$810,$A158,adj!E$3:E$810)</f>
        <v>0</v>
      </c>
      <c r="R158" s="150">
        <f>SUMIF(adj!$C$3:$C$810,$A158,adj!F$3:F$810)</f>
        <v>0</v>
      </c>
      <c r="S158" s="150">
        <f>SUMIF(adj!$C$3:$C$810,$A158,adj!G$3:G$810)</f>
        <v>0</v>
      </c>
    </row>
    <row r="159" spans="1:19">
      <c r="A159" s="92" t="s">
        <v>4178</v>
      </c>
      <c r="B159" s="510" t="s">
        <v>3304</v>
      </c>
      <c r="C159" s="511" t="s">
        <v>150</v>
      </c>
      <c r="D159" s="428">
        <v>1</v>
      </c>
      <c r="E159" s="444">
        <f t="shared" si="20"/>
        <v>1</v>
      </c>
      <c r="F159" s="444">
        <f t="shared" si="38"/>
        <v>1</v>
      </c>
      <c r="G159" s="444">
        <f t="shared" si="38"/>
        <v>1</v>
      </c>
      <c r="H159" s="133" t="s">
        <v>3305</v>
      </c>
      <c r="I159" s="133"/>
      <c r="J159" s="133"/>
      <c r="K159" s="707">
        <f t="shared" si="36"/>
        <v>1</v>
      </c>
      <c r="L159" s="444">
        <f t="shared" si="37"/>
        <v>1</v>
      </c>
      <c r="M159" s="444">
        <f t="shared" si="37"/>
        <v>1</v>
      </c>
      <c r="N159" s="133" t="s">
        <v>7540</v>
      </c>
      <c r="O159" s="133"/>
      <c r="P159" s="151">
        <f>COUNTIF(adj!$C$3:$C$74,$A159)</f>
        <v>0</v>
      </c>
      <c r="Q159" s="150">
        <f>SUMIF(adj!$C$3:$C$810,$A159,adj!E$3:E$810)</f>
        <v>0</v>
      </c>
      <c r="R159" s="150">
        <f>SUMIF(adj!$C$3:$C$810,$A159,adj!F$3:F$810)</f>
        <v>0</v>
      </c>
      <c r="S159" s="150">
        <f>SUMIF(adj!$C$3:$C$810,$A159,adj!G$3:G$810)</f>
        <v>0</v>
      </c>
    </row>
    <row r="160" spans="1:19">
      <c r="A160" s="92" t="s">
        <v>4179</v>
      </c>
      <c r="B160" s="510" t="s">
        <v>3306</v>
      </c>
      <c r="C160" s="511" t="s">
        <v>150</v>
      </c>
      <c r="D160" s="428">
        <v>1</v>
      </c>
      <c r="E160" s="444">
        <f t="shared" si="20"/>
        <v>1</v>
      </c>
      <c r="F160" s="444">
        <f t="shared" si="38"/>
        <v>1</v>
      </c>
      <c r="G160" s="444">
        <f t="shared" si="38"/>
        <v>1</v>
      </c>
      <c r="H160" s="133" t="s">
        <v>3307</v>
      </c>
      <c r="I160" s="133"/>
      <c r="J160" s="133"/>
      <c r="K160" s="707">
        <f t="shared" si="36"/>
        <v>1</v>
      </c>
      <c r="L160" s="444">
        <f t="shared" si="37"/>
        <v>1</v>
      </c>
      <c r="M160" s="444">
        <f t="shared" si="37"/>
        <v>1</v>
      </c>
      <c r="N160" s="133" t="s">
        <v>7541</v>
      </c>
      <c r="O160" s="133"/>
      <c r="P160" s="151">
        <f>COUNTIF(adj!$C$3:$C$74,$A160)</f>
        <v>0</v>
      </c>
      <c r="Q160" s="150">
        <f>SUMIF(adj!$C$3:$C$810,$A160,adj!E$3:E$810)</f>
        <v>0</v>
      </c>
      <c r="R160" s="150">
        <f>SUMIF(adj!$C$3:$C$810,$A160,adj!F$3:F$810)</f>
        <v>0</v>
      </c>
      <c r="S160" s="150">
        <f>SUMIF(adj!$C$3:$C$810,$A160,adj!G$3:G$810)</f>
        <v>0</v>
      </c>
    </row>
    <row r="161" spans="1:19">
      <c r="A161" s="92" t="s">
        <v>4180</v>
      </c>
      <c r="B161" s="510" t="s">
        <v>3308</v>
      </c>
      <c r="C161" s="511" t="s">
        <v>150</v>
      </c>
      <c r="D161" s="428">
        <v>1</v>
      </c>
      <c r="E161" s="444">
        <f t="shared" si="20"/>
        <v>1</v>
      </c>
      <c r="F161" s="444">
        <f t="shared" si="38"/>
        <v>1</v>
      </c>
      <c r="G161" s="444">
        <f t="shared" si="38"/>
        <v>1</v>
      </c>
      <c r="H161" s="133" t="s">
        <v>3309</v>
      </c>
      <c r="I161" s="133"/>
      <c r="J161" s="133"/>
      <c r="K161" s="707">
        <f t="shared" si="36"/>
        <v>1</v>
      </c>
      <c r="L161" s="444">
        <f t="shared" si="37"/>
        <v>1</v>
      </c>
      <c r="M161" s="444">
        <f t="shared" si="37"/>
        <v>1</v>
      </c>
      <c r="N161" s="133" t="s">
        <v>7542</v>
      </c>
      <c r="O161" s="133"/>
      <c r="P161" s="151">
        <f>COUNTIF(adj!$C$3:$C$74,$A161)</f>
        <v>0</v>
      </c>
      <c r="Q161" s="150">
        <f>SUMIF(adj!$C$3:$C$810,$A161,adj!E$3:E$810)</f>
        <v>0</v>
      </c>
      <c r="R161" s="150">
        <f>SUMIF(adj!$C$3:$C$810,$A161,adj!F$3:F$810)</f>
        <v>0</v>
      </c>
      <c r="S161" s="150">
        <f>SUMIF(adj!$C$3:$C$810,$A161,adj!G$3:G$810)</f>
        <v>0</v>
      </c>
    </row>
    <row r="162" spans="1:19">
      <c r="A162" s="92" t="s">
        <v>4181</v>
      </c>
      <c r="B162" s="510" t="s">
        <v>3310</v>
      </c>
      <c r="C162" s="511" t="s">
        <v>150</v>
      </c>
      <c r="D162" s="428">
        <v>1</v>
      </c>
      <c r="E162" s="444">
        <f t="shared" si="20"/>
        <v>1</v>
      </c>
      <c r="F162" s="444">
        <f t="shared" si="38"/>
        <v>1</v>
      </c>
      <c r="G162" s="444">
        <f t="shared" si="38"/>
        <v>1</v>
      </c>
      <c r="H162" s="133" t="s">
        <v>3311</v>
      </c>
      <c r="I162" s="133"/>
      <c r="J162" s="133"/>
      <c r="K162" s="707">
        <f t="shared" si="36"/>
        <v>1</v>
      </c>
      <c r="L162" s="444">
        <f t="shared" si="37"/>
        <v>1</v>
      </c>
      <c r="M162" s="444">
        <f t="shared" si="37"/>
        <v>1</v>
      </c>
      <c r="N162" s="133" t="s">
        <v>7543</v>
      </c>
      <c r="O162" s="133"/>
      <c r="P162" s="151">
        <f>COUNTIF(adj!$C$3:$C$74,$A162)</f>
        <v>0</v>
      </c>
      <c r="Q162" s="150">
        <f>SUMIF(adj!$C$3:$C$810,$A162,adj!E$3:E$810)</f>
        <v>0</v>
      </c>
      <c r="R162" s="150">
        <f>SUMIF(adj!$C$3:$C$810,$A162,adj!F$3:F$810)</f>
        <v>0</v>
      </c>
      <c r="S162" s="150">
        <f>SUMIF(adj!$C$3:$C$810,$A162,adj!G$3:G$810)</f>
        <v>0</v>
      </c>
    </row>
    <row r="163" spans="1:19">
      <c r="A163" s="92" t="s">
        <v>4182</v>
      </c>
      <c r="B163" s="510" t="s">
        <v>3312</v>
      </c>
      <c r="C163" s="511" t="s">
        <v>150</v>
      </c>
      <c r="D163" s="428">
        <v>1</v>
      </c>
      <c r="E163" s="444">
        <f t="shared" si="20"/>
        <v>1</v>
      </c>
      <c r="F163" s="444">
        <f t="shared" si="38"/>
        <v>1</v>
      </c>
      <c r="G163" s="444">
        <f t="shared" si="38"/>
        <v>1</v>
      </c>
      <c r="H163" s="133" t="s">
        <v>3313</v>
      </c>
      <c r="I163" s="133"/>
      <c r="J163" s="133"/>
      <c r="K163" s="707">
        <f t="shared" si="36"/>
        <v>1</v>
      </c>
      <c r="L163" s="444">
        <f t="shared" si="37"/>
        <v>1</v>
      </c>
      <c r="M163" s="444">
        <f t="shared" si="37"/>
        <v>1</v>
      </c>
      <c r="N163" s="133" t="s">
        <v>7544</v>
      </c>
      <c r="O163" s="133"/>
      <c r="P163" s="151">
        <f>COUNTIF(adj!$C$3:$C$74,$A163)</f>
        <v>0</v>
      </c>
      <c r="Q163" s="150">
        <f>SUMIF(adj!$C$3:$C$810,$A163,adj!E$3:E$810)</f>
        <v>0</v>
      </c>
      <c r="R163" s="150">
        <f>SUMIF(adj!$C$3:$C$810,$A163,adj!F$3:F$810)</f>
        <v>0</v>
      </c>
      <c r="S163" s="150">
        <f>SUMIF(adj!$C$3:$C$810,$A163,adj!G$3:G$810)</f>
        <v>0</v>
      </c>
    </row>
    <row r="164" spans="1:19">
      <c r="A164" s="92" t="s">
        <v>4183</v>
      </c>
      <c r="B164" s="510" t="s">
        <v>3314</v>
      </c>
      <c r="C164" s="511" t="s">
        <v>150</v>
      </c>
      <c r="D164" s="428">
        <v>1</v>
      </c>
      <c r="E164" s="444">
        <f t="shared" si="20"/>
        <v>1</v>
      </c>
      <c r="F164" s="444">
        <f t="shared" si="38"/>
        <v>1</v>
      </c>
      <c r="G164" s="444">
        <f t="shared" si="38"/>
        <v>1</v>
      </c>
      <c r="H164" s="133" t="s">
        <v>3315</v>
      </c>
      <c r="I164" s="133"/>
      <c r="J164" s="133"/>
      <c r="K164" s="707">
        <f t="shared" si="36"/>
        <v>1</v>
      </c>
      <c r="L164" s="444">
        <f t="shared" si="37"/>
        <v>1</v>
      </c>
      <c r="M164" s="444">
        <f t="shared" si="37"/>
        <v>1</v>
      </c>
      <c r="N164" s="133" t="s">
        <v>7545</v>
      </c>
      <c r="O164" s="133"/>
      <c r="P164" s="151">
        <f>COUNTIF(adj!$C$3:$C$74,$A164)</f>
        <v>0</v>
      </c>
      <c r="Q164" s="150">
        <f>SUMIF(adj!$C$3:$C$810,$A164,adj!E$3:E$810)</f>
        <v>0</v>
      </c>
      <c r="R164" s="150">
        <f>SUMIF(adj!$C$3:$C$810,$A164,adj!F$3:F$810)</f>
        <v>0</v>
      </c>
      <c r="S164" s="150">
        <f>SUMIF(adj!$C$3:$C$810,$A164,adj!G$3:G$810)</f>
        <v>0</v>
      </c>
    </row>
    <row r="165" spans="1:19">
      <c r="A165" s="92" t="s">
        <v>4184</v>
      </c>
      <c r="B165" s="510" t="s">
        <v>3316</v>
      </c>
      <c r="C165" s="511" t="s">
        <v>150</v>
      </c>
      <c r="D165" s="428">
        <v>1</v>
      </c>
      <c r="E165" s="444">
        <f t="shared" ref="E165:E215" si="39">IF($C165="R",$D165*(1+Q165),$D165+Q165)</f>
        <v>1</v>
      </c>
      <c r="F165" s="444">
        <f t="shared" si="38"/>
        <v>1</v>
      </c>
      <c r="G165" s="444">
        <f t="shared" si="38"/>
        <v>1</v>
      </c>
      <c r="H165" s="133" t="s">
        <v>3317</v>
      </c>
      <c r="I165" s="133"/>
      <c r="J165" s="133"/>
      <c r="K165" s="707">
        <f t="shared" si="36"/>
        <v>1</v>
      </c>
      <c r="L165" s="444">
        <f t="shared" si="37"/>
        <v>1</v>
      </c>
      <c r="M165" s="444">
        <f t="shared" si="37"/>
        <v>1</v>
      </c>
      <c r="N165" s="133" t="s">
        <v>7546</v>
      </c>
      <c r="O165" s="133"/>
      <c r="P165" s="151">
        <f>COUNTIF(adj!$C$3:$C$74,$A165)</f>
        <v>0</v>
      </c>
      <c r="Q165" s="150">
        <f>SUMIF(adj!$C$3:$C$810,$A165,adj!E$3:E$810)</f>
        <v>0</v>
      </c>
      <c r="R165" s="150">
        <f>SUMIF(adj!$C$3:$C$810,$A165,adj!F$3:F$810)</f>
        <v>0</v>
      </c>
      <c r="S165" s="150">
        <f>SUMIF(adj!$C$3:$C$810,$A165,adj!G$3:G$810)</f>
        <v>0</v>
      </c>
    </row>
    <row r="166" spans="1:19">
      <c r="A166" s="92" t="s">
        <v>4185</v>
      </c>
      <c r="B166" s="510" t="s">
        <v>3995</v>
      </c>
      <c r="C166" s="511" t="s">
        <v>150</v>
      </c>
      <c r="D166" s="428">
        <v>1</v>
      </c>
      <c r="E166" s="444">
        <f t="shared" si="39"/>
        <v>1</v>
      </c>
      <c r="F166" s="444">
        <f t="shared" si="38"/>
        <v>1</v>
      </c>
      <c r="G166" s="444">
        <f t="shared" si="38"/>
        <v>1</v>
      </c>
      <c r="H166" s="133" t="s">
        <v>3996</v>
      </c>
      <c r="I166" s="133"/>
      <c r="J166" s="133"/>
      <c r="K166" s="444">
        <f t="shared" ref="K166:K207" si="40">IF($C166="R",$E166*(1+R166),$E166+S166)</f>
        <v>1</v>
      </c>
      <c r="L166" s="444">
        <f t="shared" si="37"/>
        <v>1</v>
      </c>
      <c r="M166" s="444">
        <f t="shared" si="37"/>
        <v>1</v>
      </c>
      <c r="N166" s="133" t="s">
        <v>7547</v>
      </c>
      <c r="O166" s="133"/>
      <c r="P166" s="151">
        <f>COUNTIF(adj!$C$3:$C$74,$A166)</f>
        <v>0</v>
      </c>
      <c r="Q166" s="150">
        <f>SUMIF(adj!$C$3:$C$810,$A166,adj!E$3:E$810)</f>
        <v>0</v>
      </c>
      <c r="R166" s="150">
        <f>SUMIF(adj!$C$3:$C$810,$A166,adj!F$3:F$810)</f>
        <v>0</v>
      </c>
      <c r="S166" s="150">
        <f>SUMIF(adj!$C$3:$C$810,$A166,adj!G$3:G$810)</f>
        <v>0</v>
      </c>
    </row>
    <row r="167" spans="1:19">
      <c r="A167" s="92" t="s">
        <v>4237</v>
      </c>
      <c r="B167" s="510" t="s">
        <v>4238</v>
      </c>
      <c r="C167" s="511" t="s">
        <v>150</v>
      </c>
      <c r="D167" s="428">
        <v>1.0652243079860007</v>
      </c>
      <c r="E167" s="444">
        <f t="shared" si="39"/>
        <v>1.0652243079860007</v>
      </c>
      <c r="F167" s="444">
        <f t="shared" si="38"/>
        <v>1.0652243079860007</v>
      </c>
      <c r="G167" s="444">
        <f t="shared" si="38"/>
        <v>1.0652243079860007</v>
      </c>
      <c r="H167" s="133" t="s">
        <v>4239</v>
      </c>
      <c r="I167" s="133"/>
      <c r="J167" s="133"/>
      <c r="K167" s="444">
        <f t="shared" si="40"/>
        <v>1.0652243079860007</v>
      </c>
      <c r="L167" s="444">
        <f t="shared" si="37"/>
        <v>1.0652243079860007</v>
      </c>
      <c r="M167" s="444">
        <f t="shared" si="37"/>
        <v>1.0652243079860007</v>
      </c>
      <c r="N167" s="133" t="s">
        <v>7548</v>
      </c>
      <c r="O167" s="133"/>
      <c r="P167" s="151">
        <f>COUNTIF(adj!$C$3:$C$74,$A167)</f>
        <v>0</v>
      </c>
      <c r="Q167" s="150">
        <f>SUMIF(adj!$C$3:$C$810,$A167,adj!E$3:E$810)</f>
        <v>0</v>
      </c>
      <c r="R167" s="150">
        <f>SUMIF(adj!$C$3:$C$810,$A167,adj!F$3:F$810)</f>
        <v>0</v>
      </c>
      <c r="S167" s="150">
        <f>SUMIF(adj!$C$3:$C$810,$A167,adj!G$3:G$810)</f>
        <v>0</v>
      </c>
    </row>
    <row r="168" spans="1:19">
      <c r="A168" s="92" t="s">
        <v>4240</v>
      </c>
      <c r="B168" s="510" t="s">
        <v>4241</v>
      </c>
      <c r="C168" s="511" t="s">
        <v>150</v>
      </c>
      <c r="D168" s="428">
        <v>0.97777777777777775</v>
      </c>
      <c r="E168" s="444">
        <f t="shared" si="39"/>
        <v>0.97777777777777775</v>
      </c>
      <c r="F168" s="444">
        <f t="shared" si="38"/>
        <v>0.97777777777777775</v>
      </c>
      <c r="G168" s="444">
        <f t="shared" si="38"/>
        <v>0.97777777777777775</v>
      </c>
      <c r="H168" s="133" t="s">
        <v>4242</v>
      </c>
      <c r="I168" s="133"/>
      <c r="J168" s="133"/>
      <c r="K168" s="444">
        <f t="shared" si="40"/>
        <v>0.97777777777777775</v>
      </c>
      <c r="L168" s="444">
        <f t="shared" si="37"/>
        <v>0.97777777777777775</v>
      </c>
      <c r="M168" s="444">
        <f t="shared" si="37"/>
        <v>0.97777777777777775</v>
      </c>
      <c r="N168" s="133" t="s">
        <v>7549</v>
      </c>
      <c r="O168" s="133"/>
      <c r="P168" s="151">
        <f>COUNTIF(adj!$C$3:$C$74,$A168)</f>
        <v>0</v>
      </c>
      <c r="Q168" s="150">
        <f>SUMIF(adj!$C$3:$C$810,$A168,adj!E$3:E$810)</f>
        <v>0</v>
      </c>
      <c r="R168" s="150">
        <f>SUMIF(adj!$C$3:$C$810,$A168,adj!F$3:F$810)</f>
        <v>0</v>
      </c>
      <c r="S168" s="150">
        <f>SUMIF(adj!$C$3:$C$810,$A168,adj!G$3:G$810)</f>
        <v>0</v>
      </c>
    </row>
    <row r="169" spans="1:19">
      <c r="A169" s="92" t="s">
        <v>4243</v>
      </c>
      <c r="B169" s="510" t="s">
        <v>4244</v>
      </c>
      <c r="C169" s="511" t="s">
        <v>150</v>
      </c>
      <c r="D169" s="428">
        <v>1.2474012474012472</v>
      </c>
      <c r="E169" s="444">
        <f t="shared" si="39"/>
        <v>1.2474012474012472</v>
      </c>
      <c r="F169" s="444">
        <f t="shared" si="38"/>
        <v>1.2474012474012472</v>
      </c>
      <c r="G169" s="444">
        <f t="shared" si="38"/>
        <v>1.2474012474012472</v>
      </c>
      <c r="H169" s="133" t="s">
        <v>4245</v>
      </c>
      <c r="I169" s="133"/>
      <c r="J169" s="133"/>
      <c r="K169" s="444">
        <f t="shared" si="40"/>
        <v>1.2474012474012472</v>
      </c>
      <c r="L169" s="444">
        <f t="shared" si="37"/>
        <v>1.2474012474012472</v>
      </c>
      <c r="M169" s="444">
        <f t="shared" si="37"/>
        <v>1.2474012474012472</v>
      </c>
      <c r="N169" s="133" t="s">
        <v>7550</v>
      </c>
      <c r="O169" s="133"/>
      <c r="P169" s="151">
        <f>COUNTIF(adj!$C$3:$C$74,$A169)</f>
        <v>0</v>
      </c>
      <c r="Q169" s="150">
        <f>SUMIF(adj!$C$3:$C$810,$A169,adj!E$3:E$810)</f>
        <v>0</v>
      </c>
      <c r="R169" s="150">
        <f>SUMIF(adj!$C$3:$C$810,$A169,adj!F$3:F$810)</f>
        <v>0</v>
      </c>
      <c r="S169" s="150">
        <f>SUMIF(adj!$C$3:$C$810,$A169,adj!G$3:G$810)</f>
        <v>0</v>
      </c>
    </row>
    <row r="170" spans="1:19">
      <c r="A170" s="92" t="s">
        <v>4246</v>
      </c>
      <c r="B170" s="510" t="s">
        <v>4247</v>
      </c>
      <c r="C170" s="511" t="s">
        <v>150</v>
      </c>
      <c r="D170" s="428">
        <v>0.89109939185524512</v>
      </c>
      <c r="E170" s="444">
        <f t="shared" si="39"/>
        <v>0.89109939185524512</v>
      </c>
      <c r="F170" s="444">
        <f t="shared" si="38"/>
        <v>0.89109939185524512</v>
      </c>
      <c r="G170" s="444">
        <f t="shared" si="38"/>
        <v>0.89109939185524512</v>
      </c>
      <c r="H170" s="133" t="s">
        <v>4248</v>
      </c>
      <c r="I170" s="133"/>
      <c r="J170" s="133"/>
      <c r="K170" s="444">
        <f t="shared" si="40"/>
        <v>0.89109939185524512</v>
      </c>
      <c r="L170" s="444">
        <f t="shared" si="37"/>
        <v>0.89109939185524512</v>
      </c>
      <c r="M170" s="444">
        <f t="shared" si="37"/>
        <v>0.89109939185524512</v>
      </c>
      <c r="N170" s="133" t="s">
        <v>7551</v>
      </c>
      <c r="O170" s="133"/>
      <c r="P170" s="151">
        <f>COUNTIF(adj!$C$3:$C$74,$A170)</f>
        <v>0</v>
      </c>
      <c r="Q170" s="150">
        <f>SUMIF(adj!$C$3:$C$810,$A170,adj!E$3:E$810)</f>
        <v>0</v>
      </c>
      <c r="R170" s="150">
        <f>SUMIF(adj!$C$3:$C$810,$A170,adj!F$3:F$810)</f>
        <v>0</v>
      </c>
      <c r="S170" s="150">
        <f>SUMIF(adj!$C$3:$C$810,$A170,adj!G$3:G$810)</f>
        <v>0</v>
      </c>
    </row>
    <row r="171" spans="1:19">
      <c r="A171" s="92" t="s">
        <v>4249</v>
      </c>
      <c r="B171" s="510" t="s">
        <v>4250</v>
      </c>
      <c r="C171" s="511" t="s">
        <v>150</v>
      </c>
      <c r="D171" s="428">
        <v>0.83333333333333337</v>
      </c>
      <c r="E171" s="444">
        <f t="shared" si="39"/>
        <v>0.83333333333333337</v>
      </c>
      <c r="F171" s="444">
        <f t="shared" si="38"/>
        <v>0.83333333333333337</v>
      </c>
      <c r="G171" s="444">
        <f t="shared" si="38"/>
        <v>0.83333333333333337</v>
      </c>
      <c r="H171" s="133" t="s">
        <v>4251</v>
      </c>
      <c r="I171" s="133"/>
      <c r="J171" s="133"/>
      <c r="K171" s="444">
        <f t="shared" si="40"/>
        <v>0.83333333333333337</v>
      </c>
      <c r="L171" s="444">
        <f t="shared" si="37"/>
        <v>0.83333333333333337</v>
      </c>
      <c r="M171" s="444">
        <f t="shared" si="37"/>
        <v>0.83333333333333337</v>
      </c>
      <c r="N171" s="133" t="s">
        <v>7552</v>
      </c>
      <c r="O171" s="133"/>
      <c r="P171" s="151">
        <f>COUNTIF(adj!$C$3:$C$74,$A171)</f>
        <v>0</v>
      </c>
      <c r="Q171" s="150">
        <f>SUMIF(adj!$C$3:$C$810,$A171,adj!E$3:E$810)</f>
        <v>0</v>
      </c>
      <c r="R171" s="150">
        <f>SUMIF(adj!$C$3:$C$810,$A171,adj!F$3:F$810)</f>
        <v>0</v>
      </c>
      <c r="S171" s="150">
        <f>SUMIF(adj!$C$3:$C$810,$A171,adj!G$3:G$810)</f>
        <v>0</v>
      </c>
    </row>
    <row r="172" spans="1:19">
      <c r="A172" s="92" t="s">
        <v>4252</v>
      </c>
      <c r="B172" s="510" t="s">
        <v>4244</v>
      </c>
      <c r="C172" s="511" t="s">
        <v>150</v>
      </c>
      <c r="D172" s="428">
        <v>0.88</v>
      </c>
      <c r="E172" s="444">
        <f t="shared" si="39"/>
        <v>0.88</v>
      </c>
      <c r="F172" s="444">
        <f t="shared" si="38"/>
        <v>0.88</v>
      </c>
      <c r="G172" s="444">
        <f t="shared" si="38"/>
        <v>0.88</v>
      </c>
      <c r="H172" s="133" t="s">
        <v>4253</v>
      </c>
      <c r="I172" s="133"/>
      <c r="J172" s="133"/>
      <c r="K172" s="444">
        <f t="shared" si="40"/>
        <v>0.88</v>
      </c>
      <c r="L172" s="444">
        <f t="shared" si="37"/>
        <v>0.88</v>
      </c>
      <c r="M172" s="444">
        <f t="shared" si="37"/>
        <v>0.88</v>
      </c>
      <c r="N172" s="133" t="s">
        <v>7553</v>
      </c>
      <c r="O172" s="133"/>
      <c r="P172" s="151">
        <f>COUNTIF(adj!$C$3:$C$74,$A172)</f>
        <v>0</v>
      </c>
      <c r="Q172" s="150">
        <f>SUMIF(adj!$C$3:$C$810,$A172,adj!E$3:E$810)</f>
        <v>0</v>
      </c>
      <c r="R172" s="150">
        <f>SUMIF(adj!$C$3:$C$810,$A172,adj!F$3:F$810)</f>
        <v>0</v>
      </c>
      <c r="S172" s="150">
        <f>SUMIF(adj!$C$3:$C$810,$A172,adj!G$3:G$810)</f>
        <v>0</v>
      </c>
    </row>
    <row r="173" spans="1:19">
      <c r="A173" s="92" t="s">
        <v>4254</v>
      </c>
      <c r="B173" s="510" t="s">
        <v>4255</v>
      </c>
      <c r="C173" s="511" t="s">
        <v>150</v>
      </c>
      <c r="D173" s="428">
        <v>1.023989818644607</v>
      </c>
      <c r="E173" s="444">
        <f t="shared" si="39"/>
        <v>1.023989818644607</v>
      </c>
      <c r="F173" s="444">
        <f t="shared" si="38"/>
        <v>1.023989818644607</v>
      </c>
      <c r="G173" s="444">
        <f t="shared" si="38"/>
        <v>1.023989818644607</v>
      </c>
      <c r="H173" s="133" t="s">
        <v>4256</v>
      </c>
      <c r="I173" s="133"/>
      <c r="J173" s="133"/>
      <c r="K173" s="444">
        <f t="shared" si="40"/>
        <v>1.023989818644607</v>
      </c>
      <c r="L173" s="444">
        <f t="shared" si="37"/>
        <v>1.023989818644607</v>
      </c>
      <c r="M173" s="444">
        <f t="shared" si="37"/>
        <v>1.023989818644607</v>
      </c>
      <c r="N173" s="133" t="s">
        <v>7554</v>
      </c>
      <c r="O173" s="133"/>
      <c r="P173" s="151">
        <f>COUNTIF(adj!$C$3:$C$74,$A173)</f>
        <v>0</v>
      </c>
      <c r="Q173" s="150">
        <f>SUMIF(adj!$C$3:$C$810,$A173,adj!E$3:E$810)</f>
        <v>0</v>
      </c>
      <c r="R173" s="150">
        <f>SUMIF(adj!$C$3:$C$810,$A173,adj!F$3:F$810)</f>
        <v>0</v>
      </c>
      <c r="S173" s="150">
        <f>SUMIF(adj!$C$3:$C$810,$A173,adj!G$3:G$810)</f>
        <v>0</v>
      </c>
    </row>
    <row r="174" spans="1:19">
      <c r="A174" s="92" t="s">
        <v>4257</v>
      </c>
      <c r="B174" s="510" t="s">
        <v>4258</v>
      </c>
      <c r="C174" s="511" t="s">
        <v>150</v>
      </c>
      <c r="D174" s="428">
        <v>0.88888888888888884</v>
      </c>
      <c r="E174" s="444">
        <f t="shared" si="39"/>
        <v>0.88888888888888884</v>
      </c>
      <c r="F174" s="444">
        <f t="shared" si="38"/>
        <v>0.88888888888888884</v>
      </c>
      <c r="G174" s="444">
        <f t="shared" si="38"/>
        <v>0.88888888888888884</v>
      </c>
      <c r="H174" s="133" t="s">
        <v>4259</v>
      </c>
      <c r="I174" s="133"/>
      <c r="J174" s="133"/>
      <c r="K174" s="444">
        <f t="shared" si="40"/>
        <v>0.88888888888888884</v>
      </c>
      <c r="L174" s="444">
        <f t="shared" si="37"/>
        <v>0.88888888888888884</v>
      </c>
      <c r="M174" s="444">
        <f t="shared" si="37"/>
        <v>0.88888888888888884</v>
      </c>
      <c r="N174" s="133" t="s">
        <v>7555</v>
      </c>
      <c r="O174" s="133"/>
      <c r="P174" s="151">
        <f>COUNTIF(adj!$C$3:$C$74,$A174)</f>
        <v>0</v>
      </c>
      <c r="Q174" s="150">
        <f>SUMIF(adj!$C$3:$C$810,$A174,adj!E$3:E$810)</f>
        <v>0</v>
      </c>
      <c r="R174" s="150">
        <f>SUMIF(adj!$C$3:$C$810,$A174,adj!F$3:F$810)</f>
        <v>0</v>
      </c>
      <c r="S174" s="150">
        <f>SUMIF(adj!$C$3:$C$810,$A174,adj!G$3:G$810)</f>
        <v>0</v>
      </c>
    </row>
    <row r="175" spans="1:19">
      <c r="A175" s="92" t="s">
        <v>4260</v>
      </c>
      <c r="B175" s="510" t="s">
        <v>4261</v>
      </c>
      <c r="C175" s="511" t="s">
        <v>150</v>
      </c>
      <c r="D175" s="428">
        <v>0.74844074844074837</v>
      </c>
      <c r="E175" s="444">
        <f t="shared" si="39"/>
        <v>0.74844074844074837</v>
      </c>
      <c r="F175" s="444">
        <f t="shared" si="38"/>
        <v>0.74844074844074837</v>
      </c>
      <c r="G175" s="444">
        <f t="shared" si="38"/>
        <v>0.74844074844074837</v>
      </c>
      <c r="H175" s="133" t="s">
        <v>4262</v>
      </c>
      <c r="I175" s="133"/>
      <c r="J175" s="133"/>
      <c r="K175" s="444">
        <f t="shared" si="40"/>
        <v>0.74844074844074837</v>
      </c>
      <c r="L175" s="444">
        <f t="shared" si="37"/>
        <v>0.74844074844074837</v>
      </c>
      <c r="M175" s="444">
        <f t="shared" si="37"/>
        <v>0.74844074844074837</v>
      </c>
      <c r="N175" s="133" t="s">
        <v>7556</v>
      </c>
      <c r="O175" s="133"/>
      <c r="P175" s="151">
        <f>COUNTIF(adj!$C$3:$C$74,$A175)</f>
        <v>0</v>
      </c>
      <c r="Q175" s="150">
        <f>SUMIF(adj!$C$3:$C$810,$A175,adj!E$3:E$810)</f>
        <v>0</v>
      </c>
      <c r="R175" s="150">
        <f>SUMIF(adj!$C$3:$C$810,$A175,adj!F$3:F$810)</f>
        <v>0</v>
      </c>
      <c r="S175" s="150">
        <f>SUMIF(adj!$C$3:$C$810,$A175,adj!G$3:G$810)</f>
        <v>0</v>
      </c>
    </row>
    <row r="176" spans="1:19">
      <c r="A176" s="92" t="s">
        <v>4263</v>
      </c>
      <c r="B176" s="510" t="s">
        <v>4264</v>
      </c>
      <c r="C176" s="511" t="s">
        <v>150</v>
      </c>
      <c r="D176" s="428">
        <v>1.0207138488523717</v>
      </c>
      <c r="E176" s="444">
        <f t="shared" si="39"/>
        <v>1.0207138488523717</v>
      </c>
      <c r="F176" s="444">
        <f t="shared" si="38"/>
        <v>1.0207138488523717</v>
      </c>
      <c r="G176" s="444">
        <f t="shared" si="38"/>
        <v>1.0207138488523717</v>
      </c>
      <c r="H176" s="133" t="s">
        <v>4265</v>
      </c>
      <c r="I176" s="133"/>
      <c r="J176" s="133"/>
      <c r="K176" s="444">
        <f t="shared" si="40"/>
        <v>1.0207138488523717</v>
      </c>
      <c r="L176" s="444">
        <f t="shared" ref="L176:M216" si="41">$D176</f>
        <v>1.0207138488523717</v>
      </c>
      <c r="M176" s="444">
        <f t="shared" si="41"/>
        <v>1.0207138488523717</v>
      </c>
      <c r="N176" s="133" t="s">
        <v>7557</v>
      </c>
      <c r="O176" s="133"/>
      <c r="P176" s="151">
        <f>COUNTIF(adj!$C$3:$C$74,$A176)</f>
        <v>0</v>
      </c>
      <c r="Q176" s="150">
        <f>SUMIF(adj!$C$3:$C$810,$A176,adj!E$3:E$810)</f>
        <v>0</v>
      </c>
      <c r="R176" s="150">
        <f>SUMIF(adj!$C$3:$C$810,$A176,adj!F$3:F$810)</f>
        <v>0</v>
      </c>
      <c r="S176" s="150">
        <f>SUMIF(adj!$C$3:$C$810,$A176,adj!G$3:G$810)</f>
        <v>0</v>
      </c>
    </row>
    <row r="177" spans="1:19">
      <c r="A177" s="92" t="s">
        <v>4266</v>
      </c>
      <c r="B177" s="510" t="s">
        <v>4267</v>
      </c>
      <c r="C177" s="511" t="s">
        <v>150</v>
      </c>
      <c r="D177" s="428">
        <v>0.16666666666666666</v>
      </c>
      <c r="E177" s="444">
        <f t="shared" si="39"/>
        <v>0.16666666666666666</v>
      </c>
      <c r="F177" s="444">
        <f t="shared" si="38"/>
        <v>0.16666666666666666</v>
      </c>
      <c r="G177" s="444">
        <f t="shared" si="38"/>
        <v>0.16666666666666666</v>
      </c>
      <c r="H177" s="133" t="s">
        <v>4268</v>
      </c>
      <c r="I177" s="133"/>
      <c r="J177" s="133"/>
      <c r="K177" s="444">
        <f t="shared" si="40"/>
        <v>0.16666666666666666</v>
      </c>
      <c r="L177" s="444">
        <f t="shared" si="41"/>
        <v>0.16666666666666666</v>
      </c>
      <c r="M177" s="444">
        <f t="shared" si="41"/>
        <v>0.16666666666666666</v>
      </c>
      <c r="N177" s="133" t="s">
        <v>7558</v>
      </c>
      <c r="O177" s="133"/>
      <c r="P177" s="151">
        <f>COUNTIF(adj!$C$3:$C$74,$A177)</f>
        <v>0</v>
      </c>
      <c r="Q177" s="150">
        <f>SUMIF(adj!$C$3:$C$810,$A177,adj!E$3:E$810)</f>
        <v>0</v>
      </c>
      <c r="R177" s="150">
        <f>SUMIF(adj!$C$3:$C$810,$A177,adj!F$3:F$810)</f>
        <v>0</v>
      </c>
      <c r="S177" s="150">
        <f>SUMIF(adj!$C$3:$C$810,$A177,adj!G$3:G$810)</f>
        <v>0</v>
      </c>
    </row>
    <row r="178" spans="1:19">
      <c r="A178" s="92" t="s">
        <v>4269</v>
      </c>
      <c r="B178" s="510" t="s">
        <v>4261</v>
      </c>
      <c r="C178" s="511" t="s">
        <v>150</v>
      </c>
      <c r="D178" s="428">
        <v>0.79</v>
      </c>
      <c r="E178" s="444">
        <f t="shared" si="39"/>
        <v>0.79</v>
      </c>
      <c r="F178" s="444">
        <f t="shared" si="38"/>
        <v>0.79</v>
      </c>
      <c r="G178" s="444">
        <f t="shared" si="38"/>
        <v>0.79</v>
      </c>
      <c r="H178" s="133" t="s">
        <v>4270</v>
      </c>
      <c r="I178" s="133"/>
      <c r="J178" s="133"/>
      <c r="K178" s="444">
        <f t="shared" si="40"/>
        <v>0.79</v>
      </c>
      <c r="L178" s="444">
        <f t="shared" si="41"/>
        <v>0.79</v>
      </c>
      <c r="M178" s="444">
        <f t="shared" si="41"/>
        <v>0.79</v>
      </c>
      <c r="N178" s="133" t="s">
        <v>7559</v>
      </c>
      <c r="O178" s="133"/>
      <c r="P178" s="151">
        <f>COUNTIF(adj!$C$3:$C$74,$A178)</f>
        <v>0</v>
      </c>
      <c r="Q178" s="150">
        <f>SUMIF(adj!$C$3:$C$810,$A178,adj!E$3:E$810)</f>
        <v>0</v>
      </c>
      <c r="R178" s="150">
        <f>SUMIF(adj!$C$3:$C$810,$A178,adj!F$3:F$810)</f>
        <v>0</v>
      </c>
      <c r="S178" s="150">
        <f>SUMIF(adj!$C$3:$C$810,$A178,adj!G$3:G$810)</f>
        <v>0</v>
      </c>
    </row>
    <row r="179" spans="1:19">
      <c r="A179" s="92" t="s">
        <v>4271</v>
      </c>
      <c r="B179" s="510" t="s">
        <v>4272</v>
      </c>
      <c r="C179" s="511" t="s">
        <v>150</v>
      </c>
      <c r="D179" s="428">
        <v>1.0377346484250716</v>
      </c>
      <c r="E179" s="444">
        <f t="shared" si="39"/>
        <v>1.0377346484250716</v>
      </c>
      <c r="F179" s="444">
        <f t="shared" ref="F179:G216" si="42">$D179</f>
        <v>1.0377346484250716</v>
      </c>
      <c r="G179" s="444">
        <f t="shared" si="42"/>
        <v>1.0377346484250716</v>
      </c>
      <c r="H179" s="133" t="s">
        <v>4273</v>
      </c>
      <c r="I179" s="133"/>
      <c r="J179" s="133"/>
      <c r="K179" s="444">
        <f t="shared" si="40"/>
        <v>1.0377346484250716</v>
      </c>
      <c r="L179" s="444">
        <f t="shared" si="41"/>
        <v>1.0377346484250716</v>
      </c>
      <c r="M179" s="444">
        <f t="shared" si="41"/>
        <v>1.0377346484250716</v>
      </c>
      <c r="N179" s="133" t="s">
        <v>7560</v>
      </c>
      <c r="O179" s="133"/>
      <c r="P179" s="151">
        <f>COUNTIF(adj!$C$3:$C$74,$A179)</f>
        <v>0</v>
      </c>
      <c r="Q179" s="150">
        <f>SUMIF(adj!$C$3:$C$810,$A179,adj!E$3:E$810)</f>
        <v>0</v>
      </c>
      <c r="R179" s="150">
        <f>SUMIF(adj!$C$3:$C$810,$A179,adj!F$3:F$810)</f>
        <v>0</v>
      </c>
      <c r="S179" s="150">
        <f>SUMIF(adj!$C$3:$C$810,$A179,adj!G$3:G$810)</f>
        <v>0</v>
      </c>
    </row>
    <row r="180" spans="1:19">
      <c r="A180" s="92" t="s">
        <v>4274</v>
      </c>
      <c r="B180" s="510" t="s">
        <v>4275</v>
      </c>
      <c r="C180" s="511" t="s">
        <v>150</v>
      </c>
      <c r="D180" s="428">
        <v>0.53333333333333333</v>
      </c>
      <c r="E180" s="444">
        <f t="shared" si="39"/>
        <v>0.53333333333333333</v>
      </c>
      <c r="F180" s="444">
        <f t="shared" si="42"/>
        <v>0.53333333333333333</v>
      </c>
      <c r="G180" s="444">
        <f t="shared" si="42"/>
        <v>0.53333333333333333</v>
      </c>
      <c r="H180" s="133" t="s">
        <v>4276</v>
      </c>
      <c r="I180" s="133"/>
      <c r="J180" s="133"/>
      <c r="K180" s="444">
        <f t="shared" si="40"/>
        <v>0.53333333333333333</v>
      </c>
      <c r="L180" s="444">
        <f t="shared" si="41"/>
        <v>0.53333333333333333</v>
      </c>
      <c r="M180" s="444">
        <f t="shared" si="41"/>
        <v>0.53333333333333333</v>
      </c>
      <c r="N180" s="133" t="s">
        <v>7561</v>
      </c>
      <c r="O180" s="133"/>
      <c r="P180" s="151">
        <f>COUNTIF(adj!$C$3:$C$74,$A180)</f>
        <v>0</v>
      </c>
      <c r="Q180" s="150">
        <f>SUMIF(adj!$C$3:$C$810,$A180,adj!E$3:E$810)</f>
        <v>0</v>
      </c>
      <c r="R180" s="150">
        <f>SUMIF(adj!$C$3:$C$810,$A180,adj!F$3:F$810)</f>
        <v>0</v>
      </c>
      <c r="S180" s="150">
        <f>SUMIF(adj!$C$3:$C$810,$A180,adj!G$3:G$810)</f>
        <v>0</v>
      </c>
    </row>
    <row r="181" spans="1:19">
      <c r="A181" s="92" t="s">
        <v>4277</v>
      </c>
      <c r="B181" s="510" t="s">
        <v>4278</v>
      </c>
      <c r="C181" s="511" t="s">
        <v>150</v>
      </c>
      <c r="D181" s="428">
        <v>1.2474012474012472</v>
      </c>
      <c r="E181" s="444">
        <f t="shared" si="39"/>
        <v>1.2474012474012472</v>
      </c>
      <c r="F181" s="444">
        <f t="shared" si="42"/>
        <v>1.2474012474012472</v>
      </c>
      <c r="G181" s="444">
        <f t="shared" si="42"/>
        <v>1.2474012474012472</v>
      </c>
      <c r="H181" s="133" t="s">
        <v>4279</v>
      </c>
      <c r="I181" s="133"/>
      <c r="J181" s="133"/>
      <c r="K181" s="444">
        <f t="shared" si="40"/>
        <v>1.2474012474012472</v>
      </c>
      <c r="L181" s="444">
        <f t="shared" si="41"/>
        <v>1.2474012474012472</v>
      </c>
      <c r="M181" s="444">
        <f t="shared" si="41"/>
        <v>1.2474012474012472</v>
      </c>
      <c r="N181" s="133" t="s">
        <v>7562</v>
      </c>
      <c r="O181" s="133"/>
      <c r="P181" s="151">
        <f>COUNTIF(adj!$C$3:$C$74,$A181)</f>
        <v>0</v>
      </c>
      <c r="Q181" s="150">
        <f>SUMIF(adj!$C$3:$C$810,$A181,adj!E$3:E$810)</f>
        <v>0</v>
      </c>
      <c r="R181" s="150">
        <f>SUMIF(adj!$C$3:$C$810,$A181,adj!F$3:F$810)</f>
        <v>0</v>
      </c>
      <c r="S181" s="150">
        <f>SUMIF(adj!$C$3:$C$810,$A181,adj!G$3:G$810)</f>
        <v>0</v>
      </c>
    </row>
    <row r="182" spans="1:19">
      <c r="A182" s="92" t="s">
        <v>4280</v>
      </c>
      <c r="B182" s="510" t="s">
        <v>4281</v>
      </c>
      <c r="C182" s="511" t="s">
        <v>150</v>
      </c>
      <c r="D182" s="428">
        <v>1.2151355343480617</v>
      </c>
      <c r="E182" s="444">
        <f t="shared" si="39"/>
        <v>1.2151355343480617</v>
      </c>
      <c r="F182" s="444">
        <f t="shared" si="42"/>
        <v>1.2151355343480617</v>
      </c>
      <c r="G182" s="444">
        <f t="shared" si="42"/>
        <v>1.2151355343480617</v>
      </c>
      <c r="H182" s="133" t="s">
        <v>4282</v>
      </c>
      <c r="I182" s="133"/>
      <c r="J182" s="133"/>
      <c r="K182" s="444">
        <f t="shared" si="40"/>
        <v>1.2151355343480617</v>
      </c>
      <c r="L182" s="444">
        <f t="shared" si="41"/>
        <v>1.2151355343480617</v>
      </c>
      <c r="M182" s="444">
        <f t="shared" si="41"/>
        <v>1.2151355343480617</v>
      </c>
      <c r="N182" s="133" t="s">
        <v>7563</v>
      </c>
      <c r="O182" s="133"/>
      <c r="P182" s="151">
        <f>COUNTIF(adj!$C$3:$C$74,$A182)</f>
        <v>0</v>
      </c>
      <c r="Q182" s="150">
        <f>SUMIF(adj!$C$3:$C$810,$A182,adj!E$3:E$810)</f>
        <v>0</v>
      </c>
      <c r="R182" s="150">
        <f>SUMIF(adj!$C$3:$C$810,$A182,adj!F$3:F$810)</f>
        <v>0</v>
      </c>
      <c r="S182" s="150">
        <f>SUMIF(adj!$C$3:$C$810,$A182,adj!G$3:G$810)</f>
        <v>0</v>
      </c>
    </row>
    <row r="183" spans="1:19">
      <c r="A183" s="92" t="s">
        <v>4283</v>
      </c>
      <c r="B183" s="510" t="s">
        <v>4284</v>
      </c>
      <c r="C183" s="511" t="s">
        <v>150</v>
      </c>
      <c r="D183" s="428">
        <v>1</v>
      </c>
      <c r="E183" s="444">
        <f t="shared" si="39"/>
        <v>1</v>
      </c>
      <c r="F183" s="444">
        <f t="shared" si="42"/>
        <v>1</v>
      </c>
      <c r="G183" s="444">
        <f t="shared" si="42"/>
        <v>1</v>
      </c>
      <c r="H183" s="133" t="s">
        <v>4285</v>
      </c>
      <c r="I183" s="133"/>
      <c r="J183" s="133"/>
      <c r="K183" s="444">
        <f t="shared" si="40"/>
        <v>1</v>
      </c>
      <c r="L183" s="444">
        <f t="shared" si="41"/>
        <v>1</v>
      </c>
      <c r="M183" s="444">
        <f t="shared" si="41"/>
        <v>1</v>
      </c>
      <c r="N183" s="133" t="s">
        <v>7564</v>
      </c>
      <c r="O183" s="133"/>
      <c r="P183" s="151">
        <f>COUNTIF(adj!$C$3:$C$74,$A183)</f>
        <v>0</v>
      </c>
      <c r="Q183" s="150">
        <f>SUMIF(adj!$C$3:$C$810,$A183,adj!E$3:E$810)</f>
        <v>0</v>
      </c>
      <c r="R183" s="150">
        <f>SUMIF(adj!$C$3:$C$810,$A183,adj!F$3:F$810)</f>
        <v>0</v>
      </c>
      <c r="S183" s="150">
        <f>SUMIF(adj!$C$3:$C$810,$A183,adj!G$3:G$810)</f>
        <v>0</v>
      </c>
    </row>
    <row r="184" spans="1:19">
      <c r="A184" s="92" t="s">
        <v>4286</v>
      </c>
      <c r="B184" s="510" t="s">
        <v>4278</v>
      </c>
      <c r="C184" s="511" t="s">
        <v>150</v>
      </c>
      <c r="D184" s="428">
        <v>0.9</v>
      </c>
      <c r="E184" s="444">
        <f t="shared" si="39"/>
        <v>0.9</v>
      </c>
      <c r="F184" s="444">
        <f t="shared" si="42"/>
        <v>0.9</v>
      </c>
      <c r="G184" s="444">
        <f t="shared" si="42"/>
        <v>0.9</v>
      </c>
      <c r="H184" s="133" t="s">
        <v>4287</v>
      </c>
      <c r="I184" s="133"/>
      <c r="J184" s="133"/>
      <c r="K184" s="444">
        <f t="shared" si="40"/>
        <v>0.9</v>
      </c>
      <c r="L184" s="444">
        <f t="shared" si="41"/>
        <v>0.9</v>
      </c>
      <c r="M184" s="444">
        <f t="shared" si="41"/>
        <v>0.9</v>
      </c>
      <c r="N184" s="133" t="s">
        <v>7565</v>
      </c>
      <c r="O184" s="133"/>
      <c r="P184" s="151">
        <f>COUNTIF(adj!$C$3:$C$74,$A184)</f>
        <v>0</v>
      </c>
      <c r="Q184" s="150">
        <f>SUMIF(adj!$C$3:$C$810,$A184,adj!E$3:E$810)</f>
        <v>0</v>
      </c>
      <c r="R184" s="150">
        <f>SUMIF(adj!$C$3:$C$810,$A184,adj!F$3:F$810)</f>
        <v>0</v>
      </c>
      <c r="S184" s="150">
        <f>SUMIF(adj!$C$3:$C$810,$A184,adj!G$3:G$810)</f>
        <v>0</v>
      </c>
    </row>
    <row r="185" spans="1:19">
      <c r="A185" s="92" t="s">
        <v>4365</v>
      </c>
      <c r="B185" s="510" t="str">
        <f>"LOB2 - " &amp; nmEmp1 &amp; " Per Episode"</f>
        <v>LOB2 - Skilled Nursing Per Episode</v>
      </c>
      <c r="C185" s="511" t="s">
        <v>150</v>
      </c>
      <c r="D185" s="428">
        <v>1</v>
      </c>
      <c r="E185" s="444">
        <f t="shared" si="39"/>
        <v>1</v>
      </c>
      <c r="F185" s="444">
        <f t="shared" si="42"/>
        <v>1</v>
      </c>
      <c r="G185" s="444">
        <f t="shared" si="42"/>
        <v>1</v>
      </c>
      <c r="H185" s="133" t="s">
        <v>4366</v>
      </c>
      <c r="I185" s="133"/>
      <c r="J185" s="133"/>
      <c r="K185" s="444">
        <f t="shared" si="40"/>
        <v>1</v>
      </c>
      <c r="L185" s="444">
        <f t="shared" si="41"/>
        <v>1</v>
      </c>
      <c r="M185" s="444">
        <f t="shared" si="41"/>
        <v>1</v>
      </c>
      <c r="N185" s="133" t="s">
        <v>7566</v>
      </c>
      <c r="O185" s="133"/>
      <c r="P185" s="151">
        <f>COUNTIF(adj!$C$3:$C$74,$A185)</f>
        <v>0</v>
      </c>
      <c r="Q185" s="150">
        <f>SUMIF(adj!$C$3:$C$810,$A185,adj!E$3:E$810)</f>
        <v>0</v>
      </c>
      <c r="R185" s="150">
        <f>SUMIF(adj!$C$3:$C$810,$A185,adj!F$3:F$810)</f>
        <v>0</v>
      </c>
      <c r="S185" s="150">
        <f>SUMIF(adj!$C$3:$C$810,$A185,adj!G$3:G$810)</f>
        <v>0</v>
      </c>
    </row>
    <row r="186" spans="1:19">
      <c r="A186" s="92" t="s">
        <v>4367</v>
      </c>
      <c r="B186" s="510" t="str">
        <f>"LOB2 - " &amp; nmEmp2 &amp; " Per Episode"</f>
        <v>LOB2 - Occupational Therapy Per Episode</v>
      </c>
      <c r="C186" s="511" t="s">
        <v>150</v>
      </c>
      <c r="D186" s="428">
        <v>1</v>
      </c>
      <c r="E186" s="444">
        <f t="shared" si="39"/>
        <v>1</v>
      </c>
      <c r="F186" s="444">
        <f t="shared" si="42"/>
        <v>1</v>
      </c>
      <c r="G186" s="444">
        <f t="shared" si="42"/>
        <v>1</v>
      </c>
      <c r="H186" s="133" t="s">
        <v>4368</v>
      </c>
      <c r="I186" s="133"/>
      <c r="J186" s="133"/>
      <c r="K186" s="444">
        <f t="shared" si="40"/>
        <v>1</v>
      </c>
      <c r="L186" s="444">
        <f t="shared" si="41"/>
        <v>1</v>
      </c>
      <c r="M186" s="444">
        <f t="shared" si="41"/>
        <v>1</v>
      </c>
      <c r="N186" s="133" t="s">
        <v>7567</v>
      </c>
      <c r="O186" s="133"/>
      <c r="P186" s="151">
        <f>COUNTIF(adj!$C$3:$C$74,$A186)</f>
        <v>0</v>
      </c>
      <c r="Q186" s="150">
        <f>SUMIF(adj!$C$3:$C$810,$A186,adj!E$3:E$810)</f>
        <v>0</v>
      </c>
      <c r="R186" s="150">
        <f>SUMIF(adj!$C$3:$C$810,$A186,adj!F$3:F$810)</f>
        <v>0</v>
      </c>
      <c r="S186" s="150">
        <f>SUMIF(adj!$C$3:$C$810,$A186,adj!G$3:G$810)</f>
        <v>0</v>
      </c>
    </row>
    <row r="187" spans="1:19">
      <c r="A187" s="92" t="s">
        <v>4369</v>
      </c>
      <c r="B187" s="510" t="str">
        <f>"LOB2 - " &amp; nmEmp3 &amp; " Per Episode"</f>
        <v>LOB2 - Physical Therapy Per Episode</v>
      </c>
      <c r="C187" s="511" t="s">
        <v>150</v>
      </c>
      <c r="D187" s="428">
        <v>1</v>
      </c>
      <c r="E187" s="444">
        <f t="shared" si="39"/>
        <v>1</v>
      </c>
      <c r="F187" s="444">
        <f t="shared" si="42"/>
        <v>1</v>
      </c>
      <c r="G187" s="444">
        <f t="shared" si="42"/>
        <v>1</v>
      </c>
      <c r="H187" s="133" t="s">
        <v>4370</v>
      </c>
      <c r="I187" s="133"/>
      <c r="J187" s="133"/>
      <c r="K187" s="444">
        <f t="shared" si="40"/>
        <v>1</v>
      </c>
      <c r="L187" s="444">
        <f t="shared" si="41"/>
        <v>1</v>
      </c>
      <c r="M187" s="444">
        <f t="shared" si="41"/>
        <v>1</v>
      </c>
      <c r="N187" s="133" t="s">
        <v>7568</v>
      </c>
      <c r="O187" s="133"/>
      <c r="P187" s="151">
        <f>COUNTIF(adj!$C$3:$C$74,$A187)</f>
        <v>0</v>
      </c>
      <c r="Q187" s="150">
        <f>SUMIF(adj!$C$3:$C$810,$A187,adj!E$3:E$810)</f>
        <v>0</v>
      </c>
      <c r="R187" s="150">
        <f>SUMIF(adj!$C$3:$C$810,$A187,adj!F$3:F$810)</f>
        <v>0</v>
      </c>
      <c r="S187" s="150">
        <f>SUMIF(adj!$C$3:$C$810,$A187,adj!G$3:G$810)</f>
        <v>0</v>
      </c>
    </row>
    <row r="188" spans="1:19">
      <c r="A188" s="92" t="s">
        <v>4385</v>
      </c>
      <c r="B188" s="576" t="s">
        <v>4386</v>
      </c>
      <c r="C188" s="511" t="s">
        <v>150</v>
      </c>
      <c r="D188" s="428">
        <v>1</v>
      </c>
      <c r="E188" s="444">
        <f t="shared" si="39"/>
        <v>1</v>
      </c>
      <c r="F188" s="444">
        <f t="shared" si="42"/>
        <v>1</v>
      </c>
      <c r="G188" s="444">
        <f t="shared" si="42"/>
        <v>1</v>
      </c>
      <c r="H188" s="133" t="s">
        <v>4387</v>
      </c>
      <c r="I188" s="133"/>
      <c r="J188" s="133"/>
      <c r="K188" s="444">
        <f t="shared" si="40"/>
        <v>1</v>
      </c>
      <c r="L188" s="444">
        <f t="shared" si="41"/>
        <v>1</v>
      </c>
      <c r="M188" s="444">
        <f t="shared" si="41"/>
        <v>1</v>
      </c>
      <c r="N188" s="133" t="s">
        <v>7569</v>
      </c>
      <c r="O188" s="133"/>
      <c r="P188" s="151">
        <f>COUNTIF(adj!$C$3:$C$74,$A188)</f>
        <v>0</v>
      </c>
      <c r="Q188" s="150">
        <f>SUMIF(adj!$C$3:$C$810,$A188,adj!E$3:E$810)</f>
        <v>0</v>
      </c>
      <c r="R188" s="150">
        <f>SUMIF(adj!$C$3:$C$810,$A188,adj!F$3:F$810)</f>
        <v>0</v>
      </c>
      <c r="S188" s="150">
        <f>SUMIF(adj!$C$3:$C$810,$A188,adj!G$3:G$810)</f>
        <v>0</v>
      </c>
    </row>
    <row r="189" spans="1:19">
      <c r="A189" s="92" t="s">
        <v>4388</v>
      </c>
      <c r="B189" s="576" t="s">
        <v>4389</v>
      </c>
      <c r="C189" s="511" t="s">
        <v>150</v>
      </c>
      <c r="D189" s="428">
        <v>1</v>
      </c>
      <c r="E189" s="444">
        <f t="shared" si="39"/>
        <v>1</v>
      </c>
      <c r="F189" s="444">
        <f t="shared" si="42"/>
        <v>1</v>
      </c>
      <c r="G189" s="444">
        <f t="shared" si="42"/>
        <v>1</v>
      </c>
      <c r="H189" s="133" t="s">
        <v>4390</v>
      </c>
      <c r="I189" s="133"/>
      <c r="J189" s="133"/>
      <c r="K189" s="444">
        <f t="shared" si="40"/>
        <v>1</v>
      </c>
      <c r="L189" s="444">
        <f t="shared" si="41"/>
        <v>1</v>
      </c>
      <c r="M189" s="444">
        <f t="shared" si="41"/>
        <v>1</v>
      </c>
      <c r="N189" s="133" t="s">
        <v>7570</v>
      </c>
      <c r="O189" s="133"/>
      <c r="P189" s="151">
        <f>COUNTIF(adj!$C$3:$C$74,$A189)</f>
        <v>0</v>
      </c>
      <c r="Q189" s="150">
        <f>SUMIF(adj!$C$3:$C$810,$A189,adj!E$3:E$810)</f>
        <v>0</v>
      </c>
      <c r="R189" s="150">
        <f>SUMIF(adj!$C$3:$C$810,$A189,adj!F$3:F$810)</f>
        <v>0</v>
      </c>
      <c r="S189" s="150">
        <f>SUMIF(adj!$C$3:$C$810,$A189,adj!G$3:G$810)</f>
        <v>0</v>
      </c>
    </row>
    <row r="190" spans="1:19">
      <c r="A190" s="92" t="s">
        <v>4391</v>
      </c>
      <c r="B190" s="576" t="s">
        <v>4392</v>
      </c>
      <c r="C190" s="511" t="s">
        <v>150</v>
      </c>
      <c r="D190" s="428">
        <v>1</v>
      </c>
      <c r="E190" s="444">
        <f t="shared" si="39"/>
        <v>1</v>
      </c>
      <c r="F190" s="444">
        <f t="shared" si="42"/>
        <v>1</v>
      </c>
      <c r="G190" s="444">
        <f t="shared" si="42"/>
        <v>1</v>
      </c>
      <c r="H190" s="133" t="s">
        <v>4393</v>
      </c>
      <c r="I190" s="133"/>
      <c r="J190" s="133"/>
      <c r="K190" s="444">
        <f t="shared" si="40"/>
        <v>1</v>
      </c>
      <c r="L190" s="444">
        <f t="shared" si="41"/>
        <v>1</v>
      </c>
      <c r="M190" s="444">
        <f t="shared" si="41"/>
        <v>1</v>
      </c>
      <c r="N190" s="133" t="s">
        <v>7571</v>
      </c>
      <c r="O190" s="133"/>
      <c r="P190" s="151">
        <f>COUNTIF(adj!$C$3:$C$74,$A190)</f>
        <v>0</v>
      </c>
      <c r="Q190" s="150">
        <f>SUMIF(adj!$C$3:$C$810,$A190,adj!E$3:E$810)</f>
        <v>0</v>
      </c>
      <c r="R190" s="150">
        <f>SUMIF(adj!$C$3:$C$810,$A190,adj!F$3:F$810)</f>
        <v>0</v>
      </c>
      <c r="S190" s="150">
        <f>SUMIF(adj!$C$3:$C$810,$A190,adj!G$3:G$810)</f>
        <v>0</v>
      </c>
    </row>
    <row r="191" spans="1:19">
      <c r="A191" s="92" t="s">
        <v>4394</v>
      </c>
      <c r="B191" s="576" t="s">
        <v>4395</v>
      </c>
      <c r="C191" s="511" t="s">
        <v>150</v>
      </c>
      <c r="D191" s="428">
        <v>1</v>
      </c>
      <c r="E191" s="444">
        <f t="shared" si="39"/>
        <v>1</v>
      </c>
      <c r="F191" s="444">
        <f t="shared" si="42"/>
        <v>1</v>
      </c>
      <c r="G191" s="444">
        <f t="shared" si="42"/>
        <v>1</v>
      </c>
      <c r="H191" s="133" t="s">
        <v>4396</v>
      </c>
      <c r="I191" s="133"/>
      <c r="J191" s="133"/>
      <c r="K191" s="444">
        <f t="shared" si="40"/>
        <v>1</v>
      </c>
      <c r="L191" s="444">
        <f t="shared" si="41"/>
        <v>1</v>
      </c>
      <c r="M191" s="444">
        <f t="shared" si="41"/>
        <v>1</v>
      </c>
      <c r="N191" s="133" t="s">
        <v>7572</v>
      </c>
      <c r="O191" s="133"/>
      <c r="P191" s="151">
        <f>COUNTIF(adj!$C$3:$C$74,$A191)</f>
        <v>0</v>
      </c>
      <c r="Q191" s="150">
        <f>SUMIF(adj!$C$3:$C$810,$A191,adj!E$3:E$810)</f>
        <v>0</v>
      </c>
      <c r="R191" s="150">
        <f>SUMIF(adj!$C$3:$C$810,$A191,adj!F$3:F$810)</f>
        <v>0</v>
      </c>
      <c r="S191" s="150">
        <f>SUMIF(adj!$C$3:$C$810,$A191,adj!G$3:G$810)</f>
        <v>0</v>
      </c>
    </row>
    <row r="192" spans="1:19">
      <c r="A192" s="92" t="s">
        <v>4513</v>
      </c>
      <c r="B192" s="510" t="s">
        <v>4514</v>
      </c>
      <c r="C192" s="511" t="s">
        <v>150</v>
      </c>
      <c r="D192" s="428">
        <v>1</v>
      </c>
      <c r="E192" s="444">
        <f t="shared" si="39"/>
        <v>1</v>
      </c>
      <c r="F192" s="444">
        <f t="shared" si="42"/>
        <v>1</v>
      </c>
      <c r="G192" s="444">
        <f t="shared" si="42"/>
        <v>1</v>
      </c>
      <c r="H192" s="133" t="s">
        <v>4515</v>
      </c>
      <c r="I192" s="133"/>
      <c r="J192" s="133"/>
      <c r="K192" s="444">
        <f t="shared" si="40"/>
        <v>1</v>
      </c>
      <c r="L192" s="444">
        <f t="shared" si="41"/>
        <v>1</v>
      </c>
      <c r="M192" s="444">
        <f t="shared" si="41"/>
        <v>1</v>
      </c>
      <c r="N192" s="133" t="s">
        <v>7573</v>
      </c>
      <c r="O192" s="133"/>
      <c r="P192" s="151">
        <f>COUNTIF(adj!$C$3:$C$74,$A192)</f>
        <v>0</v>
      </c>
      <c r="Q192" s="150">
        <f>SUMIF(adj!$C$3:$C$810,$A192,adj!E$3:E$810)</f>
        <v>0</v>
      </c>
      <c r="R192" s="150">
        <f>SUMIF(adj!$C$3:$C$810,$A192,adj!F$3:F$810)</f>
        <v>0</v>
      </c>
      <c r="S192" s="150">
        <f>SUMIF(adj!$C$3:$C$810,$A192,adj!G$3:G$810)</f>
        <v>0</v>
      </c>
    </row>
    <row r="193" spans="1:19">
      <c r="A193" s="92" t="s">
        <v>4516</v>
      </c>
      <c r="B193" s="510" t="s">
        <v>4517</v>
      </c>
      <c r="C193" s="511" t="s">
        <v>150</v>
      </c>
      <c r="D193" s="428">
        <v>1</v>
      </c>
      <c r="E193" s="444">
        <f t="shared" si="39"/>
        <v>1</v>
      </c>
      <c r="F193" s="444">
        <f t="shared" si="42"/>
        <v>1</v>
      </c>
      <c r="G193" s="444">
        <f t="shared" si="42"/>
        <v>1</v>
      </c>
      <c r="H193" s="133" t="s">
        <v>4518</v>
      </c>
      <c r="I193" s="133"/>
      <c r="J193" s="133"/>
      <c r="K193" s="444">
        <f t="shared" si="40"/>
        <v>1</v>
      </c>
      <c r="L193" s="444">
        <f t="shared" si="41"/>
        <v>1</v>
      </c>
      <c r="M193" s="444">
        <f t="shared" si="41"/>
        <v>1</v>
      </c>
      <c r="N193" s="133" t="s">
        <v>7574</v>
      </c>
      <c r="O193" s="133"/>
      <c r="P193" s="151">
        <f>COUNTIF(adj!$C$3:$C$74,$A193)</f>
        <v>0</v>
      </c>
      <c r="Q193" s="150">
        <f>SUMIF(adj!$C$3:$C$810,$A193,adj!E$3:E$810)</f>
        <v>0</v>
      </c>
      <c r="R193" s="150">
        <f>SUMIF(adj!$C$3:$C$810,$A193,adj!F$3:F$810)</f>
        <v>0</v>
      </c>
      <c r="S193" s="150">
        <f>SUMIF(adj!$C$3:$C$810,$A193,adj!G$3:G$810)</f>
        <v>0</v>
      </c>
    </row>
    <row r="194" spans="1:19">
      <c r="A194" s="92" t="s">
        <v>4519</v>
      </c>
      <c r="B194" s="510" t="s">
        <v>4520</v>
      </c>
      <c r="C194" s="511" t="s">
        <v>150</v>
      </c>
      <c r="D194" s="428">
        <v>1</v>
      </c>
      <c r="E194" s="444">
        <f t="shared" si="39"/>
        <v>1</v>
      </c>
      <c r="F194" s="444">
        <f t="shared" si="42"/>
        <v>1</v>
      </c>
      <c r="G194" s="444">
        <f t="shared" si="42"/>
        <v>1</v>
      </c>
      <c r="H194" s="133" t="s">
        <v>4521</v>
      </c>
      <c r="I194" s="133"/>
      <c r="J194" s="133"/>
      <c r="K194" s="444">
        <f t="shared" si="40"/>
        <v>1</v>
      </c>
      <c r="L194" s="444">
        <f t="shared" si="41"/>
        <v>1</v>
      </c>
      <c r="M194" s="444">
        <f t="shared" si="41"/>
        <v>1</v>
      </c>
      <c r="N194" s="133" t="s">
        <v>7575</v>
      </c>
      <c r="O194" s="133"/>
      <c r="P194" s="151">
        <f>COUNTIF(adj!$C$3:$C$74,$A194)</f>
        <v>0</v>
      </c>
      <c r="Q194" s="150">
        <f>SUMIF(adj!$C$3:$C$810,$A194,adj!E$3:E$810)</f>
        <v>0</v>
      </c>
      <c r="R194" s="150">
        <f>SUMIF(adj!$C$3:$C$810,$A194,adj!F$3:F$810)</f>
        <v>0</v>
      </c>
      <c r="S194" s="150">
        <f>SUMIF(adj!$C$3:$C$810,$A194,adj!G$3:G$810)</f>
        <v>0</v>
      </c>
    </row>
    <row r="195" spans="1:19">
      <c r="A195" s="92" t="s">
        <v>4522</v>
      </c>
      <c r="B195" s="510" t="s">
        <v>4523</v>
      </c>
      <c r="C195" s="511" t="s">
        <v>150</v>
      </c>
      <c r="D195" s="428">
        <v>1</v>
      </c>
      <c r="E195" s="444">
        <f t="shared" si="39"/>
        <v>1</v>
      </c>
      <c r="F195" s="444">
        <f t="shared" si="42"/>
        <v>1</v>
      </c>
      <c r="G195" s="444">
        <f t="shared" si="42"/>
        <v>1</v>
      </c>
      <c r="H195" s="133" t="s">
        <v>4524</v>
      </c>
      <c r="I195" s="133"/>
      <c r="J195" s="133"/>
      <c r="K195" s="444">
        <f t="shared" si="40"/>
        <v>1</v>
      </c>
      <c r="L195" s="444">
        <f t="shared" si="41"/>
        <v>1</v>
      </c>
      <c r="M195" s="444">
        <f t="shared" si="41"/>
        <v>1</v>
      </c>
      <c r="N195" s="133" t="s">
        <v>7576</v>
      </c>
      <c r="O195" s="133"/>
      <c r="P195" s="151">
        <f>COUNTIF(adj!$C$3:$C$74,$A195)</f>
        <v>0</v>
      </c>
      <c r="Q195" s="150">
        <f>SUMIF(adj!$C$3:$C$810,$A195,adj!E$3:E$810)</f>
        <v>0</v>
      </c>
      <c r="R195" s="150">
        <f>SUMIF(adj!$C$3:$C$810,$A195,adj!F$3:F$810)</f>
        <v>0</v>
      </c>
      <c r="S195" s="150">
        <f>SUMIF(adj!$C$3:$C$810,$A195,adj!G$3:G$810)</f>
        <v>0</v>
      </c>
    </row>
    <row r="196" spans="1:19">
      <c r="A196" s="92" t="s">
        <v>4525</v>
      </c>
      <c r="B196" s="510" t="s">
        <v>4526</v>
      </c>
      <c r="C196" s="511" t="s">
        <v>150</v>
      </c>
      <c r="D196" s="428">
        <v>1</v>
      </c>
      <c r="E196" s="444">
        <f t="shared" si="39"/>
        <v>1</v>
      </c>
      <c r="F196" s="444">
        <f t="shared" si="42"/>
        <v>1</v>
      </c>
      <c r="G196" s="444">
        <f t="shared" si="42"/>
        <v>1</v>
      </c>
      <c r="H196" s="133" t="s">
        <v>4527</v>
      </c>
      <c r="I196" s="133"/>
      <c r="J196" s="133"/>
      <c r="K196" s="444">
        <f t="shared" si="40"/>
        <v>1</v>
      </c>
      <c r="L196" s="444">
        <f t="shared" si="41"/>
        <v>1</v>
      </c>
      <c r="M196" s="444">
        <f t="shared" si="41"/>
        <v>1</v>
      </c>
      <c r="N196" s="133" t="s">
        <v>7577</v>
      </c>
      <c r="O196" s="133"/>
      <c r="P196" s="151">
        <f>COUNTIF(adj!$C$3:$C$74,$A196)</f>
        <v>0</v>
      </c>
      <c r="Q196" s="150">
        <f>SUMIF(adj!$C$3:$C$810,$A196,adj!E$3:E$810)</f>
        <v>0</v>
      </c>
      <c r="R196" s="150">
        <f>SUMIF(adj!$C$3:$C$810,$A196,adj!F$3:F$810)</f>
        <v>0</v>
      </c>
      <c r="S196" s="150">
        <f>SUMIF(adj!$C$3:$C$810,$A196,adj!G$3:G$810)</f>
        <v>0</v>
      </c>
    </row>
    <row r="197" spans="1:19">
      <c r="A197" s="92" t="s">
        <v>4528</v>
      </c>
      <c r="B197" s="510" t="s">
        <v>4529</v>
      </c>
      <c r="C197" s="511" t="s">
        <v>150</v>
      </c>
      <c r="D197" s="428">
        <v>1</v>
      </c>
      <c r="E197" s="444">
        <f t="shared" si="39"/>
        <v>1</v>
      </c>
      <c r="F197" s="444">
        <f t="shared" si="42"/>
        <v>1</v>
      </c>
      <c r="G197" s="444">
        <f t="shared" si="42"/>
        <v>1</v>
      </c>
      <c r="H197" s="133" t="s">
        <v>4530</v>
      </c>
      <c r="I197" s="133"/>
      <c r="J197" s="133"/>
      <c r="K197" s="444">
        <f t="shared" si="40"/>
        <v>1</v>
      </c>
      <c r="L197" s="444">
        <f t="shared" si="41"/>
        <v>1</v>
      </c>
      <c r="M197" s="444">
        <f t="shared" si="41"/>
        <v>1</v>
      </c>
      <c r="N197" s="133" t="s">
        <v>7578</v>
      </c>
      <c r="O197" s="133"/>
      <c r="P197" s="151">
        <f>COUNTIF(adj!$C$3:$C$74,$A197)</f>
        <v>0</v>
      </c>
      <c r="Q197" s="150">
        <f>SUMIF(adj!$C$3:$C$810,$A197,adj!E$3:E$810)</f>
        <v>0</v>
      </c>
      <c r="R197" s="150">
        <f>SUMIF(adj!$C$3:$C$810,$A197,adj!F$3:F$810)</f>
        <v>0</v>
      </c>
      <c r="S197" s="150">
        <f>SUMIF(adj!$C$3:$C$810,$A197,adj!G$3:G$810)</f>
        <v>0</v>
      </c>
    </row>
    <row r="198" spans="1:19">
      <c r="A198" s="92" t="s">
        <v>4531</v>
      </c>
      <c r="B198" s="510" t="s">
        <v>4532</v>
      </c>
      <c r="C198" s="511" t="s">
        <v>150</v>
      </c>
      <c r="D198" s="428">
        <v>1</v>
      </c>
      <c r="E198" s="444">
        <f t="shared" si="39"/>
        <v>1</v>
      </c>
      <c r="F198" s="444">
        <f t="shared" si="42"/>
        <v>1</v>
      </c>
      <c r="G198" s="444">
        <f t="shared" si="42"/>
        <v>1</v>
      </c>
      <c r="H198" s="133" t="s">
        <v>4533</v>
      </c>
      <c r="I198" s="133"/>
      <c r="J198" s="133"/>
      <c r="K198" s="444">
        <f t="shared" si="40"/>
        <v>1</v>
      </c>
      <c r="L198" s="444">
        <f t="shared" si="41"/>
        <v>1</v>
      </c>
      <c r="M198" s="444">
        <f t="shared" si="41"/>
        <v>1</v>
      </c>
      <c r="N198" s="133" t="s">
        <v>7579</v>
      </c>
      <c r="O198" s="133"/>
      <c r="P198" s="151">
        <f>COUNTIF(adj!$C$3:$C$74,$A198)</f>
        <v>0</v>
      </c>
      <c r="Q198" s="150">
        <f>SUMIF(adj!$C$3:$C$810,$A198,adj!E$3:E$810)</f>
        <v>0</v>
      </c>
      <c r="R198" s="150">
        <f>SUMIF(adj!$C$3:$C$810,$A198,adj!F$3:F$810)</f>
        <v>0</v>
      </c>
      <c r="S198" s="150">
        <f>SUMIF(adj!$C$3:$C$810,$A198,adj!G$3:G$810)</f>
        <v>0</v>
      </c>
    </row>
    <row r="199" spans="1:19">
      <c r="A199" s="92" t="s">
        <v>4534</v>
      </c>
      <c r="B199" s="510" t="s">
        <v>4535</v>
      </c>
      <c r="C199" s="511" t="s">
        <v>150</v>
      </c>
      <c r="D199" s="428">
        <v>1</v>
      </c>
      <c r="E199" s="444">
        <f t="shared" si="39"/>
        <v>1</v>
      </c>
      <c r="F199" s="444">
        <f t="shared" si="42"/>
        <v>1</v>
      </c>
      <c r="G199" s="444">
        <f t="shared" si="42"/>
        <v>1</v>
      </c>
      <c r="H199" s="133" t="s">
        <v>4536</v>
      </c>
      <c r="I199" s="133"/>
      <c r="J199" s="133"/>
      <c r="K199" s="444">
        <f t="shared" si="40"/>
        <v>1</v>
      </c>
      <c r="L199" s="444">
        <f t="shared" si="41"/>
        <v>1</v>
      </c>
      <c r="M199" s="444">
        <f t="shared" si="41"/>
        <v>1</v>
      </c>
      <c r="N199" s="133" t="s">
        <v>7580</v>
      </c>
      <c r="O199" s="133"/>
      <c r="P199" s="151">
        <f>COUNTIF(adj!$C$3:$C$74,$A199)</f>
        <v>0</v>
      </c>
      <c r="Q199" s="150">
        <f>SUMIF(adj!$C$3:$C$810,$A199,adj!E$3:E$810)</f>
        <v>0</v>
      </c>
      <c r="R199" s="150">
        <f>SUMIF(adj!$C$3:$C$810,$A199,adj!F$3:F$810)</f>
        <v>0</v>
      </c>
      <c r="S199" s="150">
        <f>SUMIF(adj!$C$3:$C$810,$A199,adj!G$3:G$810)</f>
        <v>0</v>
      </c>
    </row>
    <row r="200" spans="1:19">
      <c r="A200" s="92" t="s">
        <v>4537</v>
      </c>
      <c r="B200" s="510" t="s">
        <v>4538</v>
      </c>
      <c r="C200" s="511" t="s">
        <v>150</v>
      </c>
      <c r="D200" s="428">
        <v>1</v>
      </c>
      <c r="E200" s="444">
        <f t="shared" si="39"/>
        <v>1</v>
      </c>
      <c r="F200" s="444">
        <f t="shared" si="42"/>
        <v>1</v>
      </c>
      <c r="G200" s="444">
        <f t="shared" si="42"/>
        <v>1</v>
      </c>
      <c r="H200" s="133" t="s">
        <v>4539</v>
      </c>
      <c r="I200" s="133"/>
      <c r="J200" s="133"/>
      <c r="K200" s="444">
        <f t="shared" si="40"/>
        <v>1</v>
      </c>
      <c r="L200" s="444">
        <f t="shared" si="41"/>
        <v>1</v>
      </c>
      <c r="M200" s="444">
        <f t="shared" si="41"/>
        <v>1</v>
      </c>
      <c r="N200" s="133" t="s">
        <v>7581</v>
      </c>
      <c r="O200" s="133"/>
      <c r="P200" s="151">
        <f>COUNTIF(adj!$C$3:$C$74,$A200)</f>
        <v>0</v>
      </c>
      <c r="Q200" s="150">
        <f>SUMIF(adj!$C$3:$C$810,$A200,adj!E$3:E$810)</f>
        <v>0</v>
      </c>
      <c r="R200" s="150">
        <f>SUMIF(adj!$C$3:$C$810,$A200,adj!F$3:F$810)</f>
        <v>0</v>
      </c>
      <c r="S200" s="150">
        <f>SUMIF(adj!$C$3:$C$810,$A200,adj!G$3:G$810)</f>
        <v>0</v>
      </c>
    </row>
    <row r="201" spans="1:19">
      <c r="A201" s="92" t="s">
        <v>4540</v>
      </c>
      <c r="B201" s="510" t="s">
        <v>4541</v>
      </c>
      <c r="C201" s="511" t="s">
        <v>150</v>
      </c>
      <c r="D201" s="428">
        <v>1</v>
      </c>
      <c r="E201" s="444">
        <f t="shared" si="39"/>
        <v>1</v>
      </c>
      <c r="F201" s="444">
        <f t="shared" si="42"/>
        <v>1</v>
      </c>
      <c r="G201" s="444">
        <f t="shared" si="42"/>
        <v>1</v>
      </c>
      <c r="H201" s="133" t="s">
        <v>4542</v>
      </c>
      <c r="I201" s="133"/>
      <c r="J201" s="133"/>
      <c r="K201" s="444">
        <f t="shared" si="40"/>
        <v>1</v>
      </c>
      <c r="L201" s="444">
        <f t="shared" si="41"/>
        <v>1</v>
      </c>
      <c r="M201" s="444">
        <f t="shared" si="41"/>
        <v>1</v>
      </c>
      <c r="N201" s="133" t="s">
        <v>7582</v>
      </c>
      <c r="O201" s="133"/>
      <c r="P201" s="151">
        <f>COUNTIF(adj!$C$3:$C$74,$A201)</f>
        <v>0</v>
      </c>
      <c r="Q201" s="150">
        <f>SUMIF(adj!$C$3:$C$810,$A201,adj!E$3:E$810)</f>
        <v>0</v>
      </c>
      <c r="R201" s="150">
        <f>SUMIF(adj!$C$3:$C$810,$A201,adj!F$3:F$810)</f>
        <v>0</v>
      </c>
      <c r="S201" s="150">
        <f>SUMIF(adj!$C$3:$C$810,$A201,adj!G$3:G$810)</f>
        <v>0</v>
      </c>
    </row>
    <row r="202" spans="1:19">
      <c r="A202" s="92" t="s">
        <v>4543</v>
      </c>
      <c r="B202" s="510" t="s">
        <v>4544</v>
      </c>
      <c r="C202" s="511" t="s">
        <v>150</v>
      </c>
      <c r="D202" s="428">
        <v>1</v>
      </c>
      <c r="E202" s="444">
        <f t="shared" si="39"/>
        <v>1</v>
      </c>
      <c r="F202" s="444">
        <f t="shared" si="42"/>
        <v>1</v>
      </c>
      <c r="G202" s="444">
        <f t="shared" si="42"/>
        <v>1</v>
      </c>
      <c r="H202" s="133" t="s">
        <v>4545</v>
      </c>
      <c r="I202" s="133"/>
      <c r="J202" s="133"/>
      <c r="K202" s="444">
        <f t="shared" si="40"/>
        <v>1</v>
      </c>
      <c r="L202" s="444">
        <f t="shared" si="41"/>
        <v>1</v>
      </c>
      <c r="M202" s="444">
        <f t="shared" si="41"/>
        <v>1</v>
      </c>
      <c r="N202" s="133" t="s">
        <v>7583</v>
      </c>
      <c r="O202" s="133"/>
      <c r="P202" s="151">
        <f>COUNTIF(adj!$C$3:$C$74,$A202)</f>
        <v>0</v>
      </c>
      <c r="Q202" s="150">
        <f>SUMIF(adj!$C$3:$C$810,$A202,adj!E$3:E$810)</f>
        <v>0</v>
      </c>
      <c r="R202" s="150">
        <f>SUMIF(adj!$C$3:$C$810,$A202,adj!F$3:F$810)</f>
        <v>0</v>
      </c>
      <c r="S202" s="150">
        <f>SUMIF(adj!$C$3:$C$810,$A202,adj!G$3:G$810)</f>
        <v>0</v>
      </c>
    </row>
    <row r="203" spans="1:19">
      <c r="A203" s="92" t="s">
        <v>4546</v>
      </c>
      <c r="B203" s="510" t="s">
        <v>4547</v>
      </c>
      <c r="C203" s="511" t="s">
        <v>150</v>
      </c>
      <c r="D203" s="428">
        <v>1</v>
      </c>
      <c r="E203" s="444">
        <f t="shared" si="39"/>
        <v>1</v>
      </c>
      <c r="F203" s="444">
        <f t="shared" si="42"/>
        <v>1</v>
      </c>
      <c r="G203" s="444">
        <f t="shared" si="42"/>
        <v>1</v>
      </c>
      <c r="H203" s="133" t="s">
        <v>4548</v>
      </c>
      <c r="I203" s="133"/>
      <c r="J203" s="133"/>
      <c r="K203" s="444">
        <f t="shared" si="40"/>
        <v>1</v>
      </c>
      <c r="L203" s="444">
        <f t="shared" si="41"/>
        <v>1</v>
      </c>
      <c r="M203" s="444">
        <f t="shared" si="41"/>
        <v>1</v>
      </c>
      <c r="N203" s="133" t="s">
        <v>7584</v>
      </c>
      <c r="O203" s="133"/>
      <c r="P203" s="151">
        <f>COUNTIF(adj!$C$3:$C$74,$A203)</f>
        <v>0</v>
      </c>
      <c r="Q203" s="150">
        <f>SUMIF(adj!$C$3:$C$810,$A203,adj!E$3:E$810)</f>
        <v>0</v>
      </c>
      <c r="R203" s="150">
        <f>SUMIF(adj!$C$3:$C$810,$A203,adj!F$3:F$810)</f>
        <v>0</v>
      </c>
      <c r="S203" s="150">
        <f>SUMIF(adj!$C$3:$C$810,$A203,adj!G$3:G$810)</f>
        <v>0</v>
      </c>
    </row>
    <row r="204" spans="1:19">
      <c r="A204" s="92" t="s">
        <v>4549</v>
      </c>
      <c r="B204" s="510" t="s">
        <v>4550</v>
      </c>
      <c r="C204" s="511" t="s">
        <v>150</v>
      </c>
      <c r="D204" s="428">
        <v>1</v>
      </c>
      <c r="E204" s="444">
        <f t="shared" si="39"/>
        <v>1</v>
      </c>
      <c r="F204" s="444">
        <f t="shared" si="42"/>
        <v>1</v>
      </c>
      <c r="G204" s="444">
        <f t="shared" si="42"/>
        <v>1</v>
      </c>
      <c r="H204" s="133" t="s">
        <v>4551</v>
      </c>
      <c r="I204" s="133"/>
      <c r="J204" s="133"/>
      <c r="K204" s="444">
        <f t="shared" si="40"/>
        <v>1</v>
      </c>
      <c r="L204" s="444">
        <f t="shared" si="41"/>
        <v>1</v>
      </c>
      <c r="M204" s="444">
        <f t="shared" si="41"/>
        <v>1</v>
      </c>
      <c r="N204" s="133" t="s">
        <v>7585</v>
      </c>
      <c r="O204" s="133"/>
      <c r="P204" s="151">
        <f>COUNTIF(adj!$C$3:$C$74,$A204)</f>
        <v>0</v>
      </c>
      <c r="Q204" s="150">
        <f>SUMIF(adj!$C$3:$C$810,$A204,adj!E$3:E$810)</f>
        <v>0</v>
      </c>
      <c r="R204" s="150">
        <f>SUMIF(adj!$C$3:$C$810,$A204,adj!F$3:F$810)</f>
        <v>0</v>
      </c>
      <c r="S204" s="150">
        <f>SUMIF(adj!$C$3:$C$810,$A204,adj!G$3:G$810)</f>
        <v>0</v>
      </c>
    </row>
    <row r="205" spans="1:19">
      <c r="A205" s="92" t="s">
        <v>4552</v>
      </c>
      <c r="B205" s="510" t="s">
        <v>4553</v>
      </c>
      <c r="C205" s="511" t="s">
        <v>150</v>
      </c>
      <c r="D205" s="428">
        <v>1</v>
      </c>
      <c r="E205" s="444">
        <f t="shared" si="39"/>
        <v>1</v>
      </c>
      <c r="F205" s="444">
        <f t="shared" si="42"/>
        <v>1</v>
      </c>
      <c r="G205" s="444">
        <f t="shared" si="42"/>
        <v>1</v>
      </c>
      <c r="H205" s="133" t="s">
        <v>4554</v>
      </c>
      <c r="I205" s="133"/>
      <c r="J205" s="133"/>
      <c r="K205" s="444">
        <f t="shared" si="40"/>
        <v>1</v>
      </c>
      <c r="L205" s="444">
        <f t="shared" si="41"/>
        <v>1</v>
      </c>
      <c r="M205" s="444">
        <f t="shared" si="41"/>
        <v>1</v>
      </c>
      <c r="N205" s="133" t="s">
        <v>7586</v>
      </c>
      <c r="O205" s="133"/>
      <c r="P205" s="151">
        <f>COUNTIF(adj!$C$3:$C$74,$A205)</f>
        <v>0</v>
      </c>
      <c r="Q205" s="150">
        <f>SUMIF(adj!$C$3:$C$810,$A205,adj!E$3:E$810)</f>
        <v>0</v>
      </c>
      <c r="R205" s="150">
        <f>SUMIF(adj!$C$3:$C$810,$A205,adj!F$3:F$810)</f>
        <v>0</v>
      </c>
      <c r="S205" s="150">
        <f>SUMIF(adj!$C$3:$C$810,$A205,adj!G$3:G$810)</f>
        <v>0</v>
      </c>
    </row>
    <row r="206" spans="1:19">
      <c r="A206" s="92" t="s">
        <v>4555</v>
      </c>
      <c r="B206" s="510" t="s">
        <v>4556</v>
      </c>
      <c r="C206" s="511" t="s">
        <v>150</v>
      </c>
      <c r="D206" s="428">
        <v>1</v>
      </c>
      <c r="E206" s="444">
        <f t="shared" si="39"/>
        <v>1</v>
      </c>
      <c r="F206" s="444">
        <f t="shared" si="42"/>
        <v>1</v>
      </c>
      <c r="G206" s="444">
        <f t="shared" si="42"/>
        <v>1</v>
      </c>
      <c r="H206" s="133" t="s">
        <v>4557</v>
      </c>
      <c r="I206" s="133"/>
      <c r="J206" s="133"/>
      <c r="K206" s="444">
        <f t="shared" si="40"/>
        <v>1</v>
      </c>
      <c r="L206" s="444">
        <f t="shared" si="41"/>
        <v>1</v>
      </c>
      <c r="M206" s="444">
        <f t="shared" si="41"/>
        <v>1</v>
      </c>
      <c r="N206" s="133" t="s">
        <v>7587</v>
      </c>
      <c r="O206" s="133"/>
      <c r="P206" s="151">
        <f>COUNTIF(adj!$C$3:$C$74,$A206)</f>
        <v>0</v>
      </c>
      <c r="Q206" s="150">
        <f>SUMIF(adj!$C$3:$C$810,$A206,adj!E$3:E$810)</f>
        <v>0</v>
      </c>
      <c r="R206" s="150">
        <f>SUMIF(adj!$C$3:$C$810,$A206,adj!F$3:F$810)</f>
        <v>0</v>
      </c>
      <c r="S206" s="150">
        <f>SUMIF(adj!$C$3:$C$810,$A206,adj!G$3:G$810)</f>
        <v>0</v>
      </c>
    </row>
    <row r="207" spans="1:19">
      <c r="A207" s="92" t="s">
        <v>4558</v>
      </c>
      <c r="B207" s="510" t="s">
        <v>4559</v>
      </c>
      <c r="C207" s="511" t="s">
        <v>150</v>
      </c>
      <c r="D207" s="428">
        <v>1</v>
      </c>
      <c r="E207" s="444">
        <f t="shared" si="39"/>
        <v>1</v>
      </c>
      <c r="F207" s="444">
        <f t="shared" si="42"/>
        <v>1</v>
      </c>
      <c r="G207" s="444">
        <f t="shared" si="42"/>
        <v>1</v>
      </c>
      <c r="H207" s="133" t="s">
        <v>4560</v>
      </c>
      <c r="I207" s="133"/>
      <c r="J207" s="133"/>
      <c r="K207" s="444">
        <f t="shared" si="40"/>
        <v>1</v>
      </c>
      <c r="L207" s="444">
        <f t="shared" si="41"/>
        <v>1</v>
      </c>
      <c r="M207" s="444">
        <f t="shared" si="41"/>
        <v>1</v>
      </c>
      <c r="N207" s="133" t="s">
        <v>7588</v>
      </c>
      <c r="O207" s="133"/>
      <c r="P207" s="151">
        <f>COUNTIF(adj!$C$3:$C$74,$A207)</f>
        <v>0</v>
      </c>
      <c r="Q207" s="150">
        <f>SUMIF(adj!$C$3:$C$810,$A207,adj!E$3:E$810)</f>
        <v>0</v>
      </c>
      <c r="R207" s="150">
        <f>SUMIF(adj!$C$3:$C$810,$A207,adj!F$3:F$810)</f>
        <v>0</v>
      </c>
      <c r="S207" s="150">
        <f>SUMIF(adj!$C$3:$C$810,$A207,adj!G$3:G$810)</f>
        <v>0</v>
      </c>
    </row>
    <row r="208" spans="1:19">
      <c r="A208" s="92" t="s">
        <v>4561</v>
      </c>
      <c r="B208" s="510" t="s">
        <v>4562</v>
      </c>
      <c r="C208" s="511" t="s">
        <v>150</v>
      </c>
      <c r="D208" s="428">
        <v>1</v>
      </c>
      <c r="E208" s="444">
        <f t="shared" si="39"/>
        <v>1</v>
      </c>
      <c r="F208" s="444">
        <f t="shared" si="42"/>
        <v>1</v>
      </c>
      <c r="G208" s="444">
        <f t="shared" si="42"/>
        <v>1</v>
      </c>
      <c r="H208" s="133" t="s">
        <v>4563</v>
      </c>
      <c r="I208" s="133"/>
      <c r="J208" s="133"/>
      <c r="K208" s="444">
        <f t="shared" ref="K208:K215" si="43">IF($C208="R",$E208*(1+R208),$E208+S208)</f>
        <v>1</v>
      </c>
      <c r="L208" s="444">
        <f t="shared" si="41"/>
        <v>1</v>
      </c>
      <c r="M208" s="444">
        <f t="shared" si="41"/>
        <v>1</v>
      </c>
      <c r="N208" s="133" t="s">
        <v>7589</v>
      </c>
      <c r="O208" s="133"/>
      <c r="P208" s="151">
        <f>COUNTIF(adj!$C$3:$C$74,$A208)</f>
        <v>0</v>
      </c>
      <c r="Q208" s="150">
        <f>SUMIF(adj!$C$3:$C$810,$A208,adj!E$3:E$810)</f>
        <v>0</v>
      </c>
      <c r="R208" s="150">
        <f>SUMIF(adj!$C$3:$C$810,$A208,adj!F$3:F$810)</f>
        <v>0</v>
      </c>
      <c r="S208" s="150">
        <f>SUMIF(adj!$C$3:$C$810,$A208,adj!G$3:G$810)</f>
        <v>0</v>
      </c>
    </row>
    <row r="209" spans="1:19">
      <c r="A209" s="92" t="s">
        <v>4564</v>
      </c>
      <c r="B209" s="510" t="s">
        <v>4565</v>
      </c>
      <c r="C209" s="511" t="s">
        <v>150</v>
      </c>
      <c r="D209" s="428">
        <v>1</v>
      </c>
      <c r="E209" s="444">
        <f t="shared" si="39"/>
        <v>1</v>
      </c>
      <c r="F209" s="444">
        <f t="shared" si="42"/>
        <v>1</v>
      </c>
      <c r="G209" s="444">
        <f t="shared" si="42"/>
        <v>1</v>
      </c>
      <c r="H209" s="133" t="s">
        <v>4566</v>
      </c>
      <c r="I209" s="133"/>
      <c r="J209" s="133"/>
      <c r="K209" s="444">
        <f t="shared" si="43"/>
        <v>1</v>
      </c>
      <c r="L209" s="444">
        <f t="shared" si="41"/>
        <v>1</v>
      </c>
      <c r="M209" s="444">
        <f t="shared" si="41"/>
        <v>1</v>
      </c>
      <c r="N209" s="133" t="s">
        <v>7590</v>
      </c>
      <c r="O209" s="133"/>
      <c r="P209" s="151">
        <f>COUNTIF(adj!$C$3:$C$74,$A209)</f>
        <v>0</v>
      </c>
      <c r="Q209" s="150">
        <f>SUMIF(adj!$C$3:$C$810,$A209,adj!E$3:E$810)</f>
        <v>0</v>
      </c>
      <c r="R209" s="150">
        <f>SUMIF(adj!$C$3:$C$810,$A209,adj!F$3:F$810)</f>
        <v>0</v>
      </c>
      <c r="S209" s="150">
        <f>SUMIF(adj!$C$3:$C$810,$A209,adj!G$3:G$810)</f>
        <v>0</v>
      </c>
    </row>
    <row r="210" spans="1:19">
      <c r="A210" s="92" t="s">
        <v>4567</v>
      </c>
      <c r="B210" s="510" t="s">
        <v>4568</v>
      </c>
      <c r="C210" s="511" t="s">
        <v>150</v>
      </c>
      <c r="D210" s="428">
        <v>1</v>
      </c>
      <c r="E210" s="444">
        <f t="shared" si="39"/>
        <v>1</v>
      </c>
      <c r="F210" s="444">
        <f t="shared" si="42"/>
        <v>1</v>
      </c>
      <c r="G210" s="444">
        <f t="shared" si="42"/>
        <v>1</v>
      </c>
      <c r="H210" s="133" t="s">
        <v>4569</v>
      </c>
      <c r="I210" s="133"/>
      <c r="J210" s="133"/>
      <c r="K210" s="444">
        <f t="shared" si="43"/>
        <v>1</v>
      </c>
      <c r="L210" s="444">
        <f t="shared" si="41"/>
        <v>1</v>
      </c>
      <c r="M210" s="444">
        <f t="shared" si="41"/>
        <v>1</v>
      </c>
      <c r="N210" s="133" t="s">
        <v>7591</v>
      </c>
      <c r="O210" s="133"/>
      <c r="P210" s="151">
        <f>COUNTIF(adj!$C$3:$C$74,$A210)</f>
        <v>0</v>
      </c>
      <c r="Q210" s="150">
        <f>SUMIF(adj!$C$3:$C$810,$A210,adj!E$3:E$810)</f>
        <v>0</v>
      </c>
      <c r="R210" s="150">
        <f>SUMIF(adj!$C$3:$C$810,$A210,adj!F$3:F$810)</f>
        <v>0</v>
      </c>
      <c r="S210" s="150">
        <f>SUMIF(adj!$C$3:$C$810,$A210,adj!G$3:G$810)</f>
        <v>0</v>
      </c>
    </row>
    <row r="211" spans="1:19">
      <c r="A211" s="92" t="s">
        <v>4570</v>
      </c>
      <c r="B211" s="510" t="s">
        <v>4571</v>
      </c>
      <c r="C211" s="511" t="s">
        <v>150</v>
      </c>
      <c r="D211" s="428">
        <v>1</v>
      </c>
      <c r="E211" s="444">
        <f t="shared" si="39"/>
        <v>1</v>
      </c>
      <c r="F211" s="444">
        <f t="shared" si="42"/>
        <v>1</v>
      </c>
      <c r="G211" s="444">
        <f t="shared" si="42"/>
        <v>1</v>
      </c>
      <c r="H211" s="133" t="s">
        <v>4572</v>
      </c>
      <c r="I211" s="133"/>
      <c r="J211" s="133"/>
      <c r="K211" s="444">
        <f t="shared" si="43"/>
        <v>1</v>
      </c>
      <c r="L211" s="444">
        <f t="shared" si="41"/>
        <v>1</v>
      </c>
      <c r="M211" s="444">
        <f t="shared" si="41"/>
        <v>1</v>
      </c>
      <c r="N211" s="133" t="s">
        <v>7592</v>
      </c>
      <c r="O211" s="133"/>
      <c r="P211" s="151">
        <f>COUNTIF(adj!$C$3:$C$74,$A211)</f>
        <v>0</v>
      </c>
      <c r="Q211" s="150">
        <f>SUMIF(adj!$C$3:$C$810,$A211,adj!E$3:E$810)</f>
        <v>0</v>
      </c>
      <c r="R211" s="150">
        <f>SUMIF(adj!$C$3:$C$810,$A211,adj!F$3:F$810)</f>
        <v>0</v>
      </c>
      <c r="S211" s="150">
        <f>SUMIF(adj!$C$3:$C$810,$A211,adj!G$3:G$810)</f>
        <v>0</v>
      </c>
    </row>
    <row r="212" spans="1:19">
      <c r="A212" s="92" t="s">
        <v>4573</v>
      </c>
      <c r="B212" s="510" t="s">
        <v>4574</v>
      </c>
      <c r="C212" s="511" t="s">
        <v>150</v>
      </c>
      <c r="D212" s="428">
        <v>1</v>
      </c>
      <c r="E212" s="444">
        <f t="shared" si="39"/>
        <v>1</v>
      </c>
      <c r="F212" s="444">
        <f t="shared" si="42"/>
        <v>1</v>
      </c>
      <c r="G212" s="444">
        <f t="shared" si="42"/>
        <v>1</v>
      </c>
      <c r="H212" s="133" t="s">
        <v>4575</v>
      </c>
      <c r="I212" s="133"/>
      <c r="J212" s="133"/>
      <c r="K212" s="444">
        <f t="shared" si="43"/>
        <v>1</v>
      </c>
      <c r="L212" s="444">
        <f t="shared" si="41"/>
        <v>1</v>
      </c>
      <c r="M212" s="444">
        <f t="shared" si="41"/>
        <v>1</v>
      </c>
      <c r="N212" s="133" t="s">
        <v>7593</v>
      </c>
      <c r="O212" s="133"/>
      <c r="P212" s="151">
        <f>COUNTIF(adj!$C$3:$C$74,$A212)</f>
        <v>0</v>
      </c>
      <c r="Q212" s="150">
        <f>SUMIF(adj!$C$3:$C$810,$A212,adj!E$3:E$810)</f>
        <v>0</v>
      </c>
      <c r="R212" s="150">
        <f>SUMIF(adj!$C$3:$C$810,$A212,adj!F$3:F$810)</f>
        <v>0</v>
      </c>
      <c r="S212" s="150">
        <f>SUMIF(adj!$C$3:$C$810,$A212,adj!G$3:G$810)</f>
        <v>0</v>
      </c>
    </row>
    <row r="213" spans="1:19">
      <c r="A213" s="92" t="s">
        <v>4576</v>
      </c>
      <c r="B213" s="510" t="s">
        <v>4577</v>
      </c>
      <c r="C213" s="511" t="s">
        <v>150</v>
      </c>
      <c r="D213" s="428">
        <v>1</v>
      </c>
      <c r="E213" s="444">
        <f t="shared" si="39"/>
        <v>1</v>
      </c>
      <c r="F213" s="444">
        <f t="shared" si="42"/>
        <v>1</v>
      </c>
      <c r="G213" s="444">
        <f t="shared" si="42"/>
        <v>1</v>
      </c>
      <c r="H213" s="133" t="s">
        <v>4578</v>
      </c>
      <c r="I213" s="133"/>
      <c r="J213" s="133"/>
      <c r="K213" s="444">
        <f t="shared" si="43"/>
        <v>1</v>
      </c>
      <c r="L213" s="444">
        <f t="shared" si="41"/>
        <v>1</v>
      </c>
      <c r="M213" s="444">
        <f t="shared" si="41"/>
        <v>1</v>
      </c>
      <c r="N213" s="133" t="s">
        <v>7594</v>
      </c>
      <c r="O213" s="133"/>
      <c r="P213" s="151">
        <f>COUNTIF(adj!$C$3:$C$74,$A213)</f>
        <v>0</v>
      </c>
      <c r="Q213" s="150">
        <f>SUMIF(adj!$C$3:$C$810,$A213,adj!E$3:E$810)</f>
        <v>0</v>
      </c>
      <c r="R213" s="150">
        <f>SUMIF(adj!$C$3:$C$810,$A213,adj!F$3:F$810)</f>
        <v>0</v>
      </c>
      <c r="S213" s="150">
        <f>SUMIF(adj!$C$3:$C$810,$A213,adj!G$3:G$810)</f>
        <v>0</v>
      </c>
    </row>
    <row r="214" spans="1:19">
      <c r="A214" s="92" t="s">
        <v>4579</v>
      </c>
      <c r="B214" s="510" t="s">
        <v>4580</v>
      </c>
      <c r="C214" s="511" t="s">
        <v>150</v>
      </c>
      <c r="D214" s="428">
        <v>1</v>
      </c>
      <c r="E214" s="444">
        <f t="shared" si="39"/>
        <v>1</v>
      </c>
      <c r="F214" s="444">
        <f t="shared" si="42"/>
        <v>1</v>
      </c>
      <c r="G214" s="444">
        <f t="shared" si="42"/>
        <v>1</v>
      </c>
      <c r="H214" s="133" t="s">
        <v>4581</v>
      </c>
      <c r="I214" s="133"/>
      <c r="J214" s="133"/>
      <c r="K214" s="444">
        <f t="shared" si="43"/>
        <v>1</v>
      </c>
      <c r="L214" s="444">
        <f t="shared" si="41"/>
        <v>1</v>
      </c>
      <c r="M214" s="444">
        <f t="shared" si="41"/>
        <v>1</v>
      </c>
      <c r="N214" s="133" t="s">
        <v>7595</v>
      </c>
      <c r="O214" s="133"/>
      <c r="P214" s="151">
        <f>COUNTIF(adj!$C$3:$C$74,$A214)</f>
        <v>0</v>
      </c>
      <c r="Q214" s="150">
        <f>SUMIF(adj!$C$3:$C$810,$A214,adj!E$3:E$810)</f>
        <v>0</v>
      </c>
      <c r="R214" s="150">
        <f>SUMIF(adj!$C$3:$C$810,$A214,adj!F$3:F$810)</f>
        <v>0</v>
      </c>
      <c r="S214" s="150">
        <f>SUMIF(adj!$C$3:$C$810,$A214,adj!G$3:G$810)</f>
        <v>0</v>
      </c>
    </row>
    <row r="215" spans="1:19">
      <c r="A215" s="92" t="s">
        <v>4582</v>
      </c>
      <c r="B215" s="510" t="s">
        <v>4583</v>
      </c>
      <c r="C215" s="511" t="s">
        <v>150</v>
      </c>
      <c r="D215" s="428">
        <v>1</v>
      </c>
      <c r="E215" s="444">
        <f t="shared" si="39"/>
        <v>1</v>
      </c>
      <c r="F215" s="444">
        <f t="shared" si="42"/>
        <v>1</v>
      </c>
      <c r="G215" s="444">
        <f t="shared" si="42"/>
        <v>1</v>
      </c>
      <c r="H215" s="133" t="s">
        <v>4584</v>
      </c>
      <c r="I215" s="133"/>
      <c r="J215" s="133"/>
      <c r="K215" s="444">
        <f t="shared" si="43"/>
        <v>1</v>
      </c>
      <c r="L215" s="444">
        <f t="shared" si="41"/>
        <v>1</v>
      </c>
      <c r="M215" s="444">
        <f t="shared" si="41"/>
        <v>1</v>
      </c>
      <c r="N215" s="133" t="s">
        <v>7596</v>
      </c>
      <c r="O215" s="133"/>
      <c r="P215" s="151">
        <f>COUNTIF(adj!$C$3:$C$74,$A215)</f>
        <v>0</v>
      </c>
      <c r="Q215" s="150">
        <f>SUMIF(adj!$C$3:$C$810,$A215,adj!E$3:E$810)</f>
        <v>0</v>
      </c>
      <c r="R215" s="150">
        <f>SUMIF(adj!$C$3:$C$810,$A215,adj!F$3:F$810)</f>
        <v>0</v>
      </c>
      <c r="S215" s="150">
        <f>SUMIF(adj!$C$3:$C$810,$A215,adj!G$3:G$810)</f>
        <v>0</v>
      </c>
    </row>
    <row r="216" spans="1:19">
      <c r="A216" s="92" t="s">
        <v>4646</v>
      </c>
      <c r="B216" s="510" t="s">
        <v>4647</v>
      </c>
      <c r="C216" s="511" t="s">
        <v>150</v>
      </c>
      <c r="D216" s="428">
        <v>1.05</v>
      </c>
      <c r="E216" s="769">
        <f>IF($C216="R",$D216*(1+Q216),$D216+Q216)</f>
        <v>1.05</v>
      </c>
      <c r="F216" s="444">
        <f t="shared" si="42"/>
        <v>1.05</v>
      </c>
      <c r="G216" s="444">
        <f t="shared" si="42"/>
        <v>1.05</v>
      </c>
      <c r="H216" s="133" t="s">
        <v>4648</v>
      </c>
      <c r="I216" s="133"/>
      <c r="J216" s="133"/>
      <c r="K216" s="444">
        <f>IF($C216="R",$E216*(1+R216),$E216+S216)+20%</f>
        <v>1.25</v>
      </c>
      <c r="L216" s="444">
        <f t="shared" si="41"/>
        <v>1.05</v>
      </c>
      <c r="M216" s="444">
        <f t="shared" si="41"/>
        <v>1.05</v>
      </c>
      <c r="N216" s="133" t="s">
        <v>7597</v>
      </c>
      <c r="O216" s="133"/>
      <c r="P216" s="151">
        <f>COUNTIF(adj!$C$3:$C$74,$A216)</f>
        <v>0</v>
      </c>
      <c r="Q216" s="150">
        <f>SUMIF(adj!$C$3:$C$810,$A216,adj!E$3:E$810)</f>
        <v>0</v>
      </c>
      <c r="R216" s="150">
        <f>SUMIF(adj!$C$3:$C$810,$A216,adj!F$3:F$810)</f>
        <v>0</v>
      </c>
      <c r="S216" s="150">
        <f>SUMIF(adj!$C$3:$C$810,$A216,adj!G$3:G$810)</f>
        <v>0</v>
      </c>
    </row>
    <row r="220" spans="1:19" s="499" customFormat="1">
      <c r="A220" s="497"/>
      <c r="B220" s="498"/>
      <c r="D220" s="500"/>
    </row>
    <row r="226" spans="2:2">
      <c r="B226" s="148" t="s">
        <v>2921</v>
      </c>
    </row>
    <row r="227" spans="2:2">
      <c r="B227" s="148" t="s">
        <v>2922</v>
      </c>
    </row>
    <row r="228" spans="2:2">
      <c r="B228" s="148" t="s">
        <v>2923</v>
      </c>
    </row>
    <row r="229" spans="2:2">
      <c r="B229" s="148" t="s">
        <v>2924</v>
      </c>
    </row>
  </sheetData>
  <hyperlinks>
    <hyperlink ref="D3" r:id="rId1"/>
  </hyperlinks>
  <pageMargins left="0.7" right="0.7" top="0.75" bottom="0.75" header="0.3" footer="0.3"/>
  <pageSetup paperSize="9"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2:V137"/>
  <sheetViews>
    <sheetView topLeftCell="C21" workbookViewId="0">
      <selection activeCell="E41" sqref="E41:E44"/>
    </sheetView>
  </sheetViews>
  <sheetFormatPr defaultRowHeight="10"/>
  <cols>
    <col min="1" max="1" width="4.33203125" customWidth="1"/>
    <col min="2" max="2" width="24.33203125" customWidth="1"/>
    <col min="3" max="4" width="14.44140625" customWidth="1"/>
    <col min="5" max="5" width="21" customWidth="1"/>
    <col min="6" max="15" width="14.44140625" customWidth="1"/>
    <col min="16" max="16" width="18.6640625" customWidth="1"/>
    <col min="17" max="22" width="14.44140625" customWidth="1"/>
    <col min="23" max="23" width="9.44140625" bestFit="1" customWidth="1"/>
    <col min="24" max="24" width="10.44140625" bestFit="1" customWidth="1"/>
  </cols>
  <sheetData>
    <row r="2" spans="1:22" s="70" customFormat="1">
      <c r="A2" s="70" t="s">
        <v>658</v>
      </c>
      <c r="G2" s="71"/>
      <c r="H2" s="71"/>
      <c r="I2" s="71"/>
      <c r="J2" s="71"/>
      <c r="K2" s="71"/>
      <c r="L2" s="71"/>
      <c r="M2" s="71"/>
      <c r="N2" s="71"/>
      <c r="O2" s="71"/>
      <c r="P2" s="71"/>
    </row>
    <row r="3" spans="1:22" s="383" customFormat="1">
      <c r="A3" s="385" t="str">
        <f>nmLOB1 &amp; " - Modeled after Glen Burnie, MD, suburb of large city"</f>
        <v>Riverside - Modeled after Glen Burnie, MD, suburb of large city</v>
      </c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94" t="str">
        <f>nmLOB2 &amp; " - Modeled after Dallas, GA, small rural town"</f>
        <v>Pleasentville - Modeled after Dallas, GA, small rural town</v>
      </c>
      <c r="M3" s="395"/>
      <c r="N3" s="395"/>
      <c r="O3" s="395"/>
      <c r="P3" s="395"/>
      <c r="Q3" s="395"/>
      <c r="R3" s="395"/>
      <c r="S3" s="395"/>
      <c r="T3" s="395"/>
      <c r="U3" s="395"/>
      <c r="V3" s="395"/>
    </row>
    <row r="4" spans="1:22" s="383" customFormat="1">
      <c r="A4" s="409" t="s">
        <v>665</v>
      </c>
      <c r="C4" s="405"/>
      <c r="D4" s="405"/>
      <c r="E4" s="405"/>
      <c r="F4" s="405"/>
      <c r="G4" s="405"/>
      <c r="H4" s="405"/>
      <c r="I4" s="405"/>
      <c r="J4" s="405"/>
      <c r="K4" s="405"/>
      <c r="L4" s="409" t="s">
        <v>666</v>
      </c>
      <c r="N4" s="405"/>
      <c r="O4" s="405"/>
      <c r="P4" s="405"/>
      <c r="Q4" s="405"/>
      <c r="R4" s="405"/>
      <c r="S4" s="384"/>
    </row>
    <row r="5" spans="1:22" s="380" customFormat="1" ht="20">
      <c r="B5" s="380" t="s">
        <v>625</v>
      </c>
      <c r="C5" s="406" t="s">
        <v>626</v>
      </c>
      <c r="D5" s="406" t="s">
        <v>632</v>
      </c>
      <c r="E5" s="406" t="s">
        <v>633</v>
      </c>
      <c r="F5" s="406" t="s">
        <v>634</v>
      </c>
      <c r="G5" s="406" t="s">
        <v>656</v>
      </c>
      <c r="H5" s="406" t="s">
        <v>657</v>
      </c>
      <c r="I5" s="380" t="s">
        <v>667</v>
      </c>
      <c r="K5" s="406"/>
      <c r="L5" s="406"/>
      <c r="M5" s="406" t="s">
        <v>625</v>
      </c>
      <c r="N5" s="406" t="s">
        <v>626</v>
      </c>
      <c r="O5" s="406" t="s">
        <v>632</v>
      </c>
      <c r="P5" s="406" t="s">
        <v>633</v>
      </c>
      <c r="Q5" s="406" t="s">
        <v>634</v>
      </c>
      <c r="R5" s="406" t="s">
        <v>656</v>
      </c>
      <c r="S5" s="406" t="s">
        <v>657</v>
      </c>
      <c r="T5" s="380" t="s">
        <v>667</v>
      </c>
      <c r="U5" s="406"/>
    </row>
    <row r="6" spans="1:22" s="8" customFormat="1">
      <c r="B6" s="8" t="s">
        <v>550</v>
      </c>
      <c r="C6" s="8">
        <v>28</v>
      </c>
      <c r="D6" s="8" t="s">
        <v>627</v>
      </c>
      <c r="E6" s="381">
        <v>5796</v>
      </c>
      <c r="F6" s="382">
        <f>E6/$E$9</f>
        <v>0.46416272923840796</v>
      </c>
      <c r="G6" s="404">
        <v>6.8</v>
      </c>
      <c r="H6" s="8">
        <f>ROUND(E6/G6,0)</f>
        <v>852</v>
      </c>
      <c r="I6" s="417">
        <v>61</v>
      </c>
      <c r="M6" s="8" t="s">
        <v>550</v>
      </c>
      <c r="N6" s="8">
        <v>32</v>
      </c>
      <c r="O6" s="8" t="s">
        <v>627</v>
      </c>
      <c r="P6" s="381">
        <v>2280</v>
      </c>
      <c r="Q6" s="382">
        <f>P6/$P$9</f>
        <v>0.64680851063829792</v>
      </c>
      <c r="R6" s="404">
        <v>9.3000000000000007</v>
      </c>
      <c r="S6" s="8">
        <f>ROUND(P6/R6,0)</f>
        <v>245</v>
      </c>
      <c r="T6" s="417">
        <f>I6*0.9</f>
        <v>54.9</v>
      </c>
      <c r="U6" s="396"/>
    </row>
    <row r="7" spans="1:22" s="8" customFormat="1">
      <c r="B7" s="8" t="s">
        <v>554</v>
      </c>
      <c r="C7" s="8">
        <v>30</v>
      </c>
      <c r="D7" s="8" t="s">
        <v>628</v>
      </c>
      <c r="E7" s="381">
        <v>925</v>
      </c>
      <c r="F7" s="382">
        <f>E7/$E$9</f>
        <v>7.4077040121726598E-2</v>
      </c>
      <c r="G7" s="404">
        <v>1.08</v>
      </c>
      <c r="H7" s="8">
        <f t="shared" ref="H7:H8" si="0">ROUND(E7/G7,0)</f>
        <v>856</v>
      </c>
      <c r="I7" s="417">
        <v>70</v>
      </c>
      <c r="M7" s="8" t="s">
        <v>554</v>
      </c>
      <c r="N7" s="8">
        <v>34</v>
      </c>
      <c r="O7" s="8" t="s">
        <v>628</v>
      </c>
      <c r="P7" s="381">
        <v>288</v>
      </c>
      <c r="Q7" s="382">
        <f>P7/$P$9</f>
        <v>8.1702127659574464E-2</v>
      </c>
      <c r="R7" s="404">
        <v>1.2</v>
      </c>
      <c r="S7" s="8">
        <f t="shared" ref="S7:S8" si="1">ROUND(P7/R7,0)</f>
        <v>240</v>
      </c>
      <c r="T7" s="417">
        <f t="shared" ref="T7:T8" si="2">I7*0.9</f>
        <v>63</v>
      </c>
      <c r="U7" s="396"/>
    </row>
    <row r="8" spans="1:22" s="8" customFormat="1">
      <c r="B8" s="8" t="s">
        <v>555</v>
      </c>
      <c r="C8" s="8">
        <v>25</v>
      </c>
      <c r="D8" s="8" t="s">
        <v>629</v>
      </c>
      <c r="E8" s="381">
        <v>5766</v>
      </c>
      <c r="F8" s="382">
        <f>E8/$E$9</f>
        <v>0.46176023063986549</v>
      </c>
      <c r="G8" s="404">
        <v>6.8</v>
      </c>
      <c r="H8" s="8">
        <f t="shared" si="0"/>
        <v>848</v>
      </c>
      <c r="I8" s="417">
        <v>81</v>
      </c>
      <c r="M8" s="8" t="s">
        <v>555</v>
      </c>
      <c r="N8" s="8">
        <v>35</v>
      </c>
      <c r="O8" s="8" t="s">
        <v>629</v>
      </c>
      <c r="P8" s="381">
        <v>957</v>
      </c>
      <c r="Q8" s="382">
        <f>P8/$P$9</f>
        <v>0.27148936170212767</v>
      </c>
      <c r="R8" s="404">
        <v>4</v>
      </c>
      <c r="S8" s="8">
        <f t="shared" si="1"/>
        <v>239</v>
      </c>
      <c r="T8" s="417">
        <f t="shared" si="2"/>
        <v>72.900000000000006</v>
      </c>
      <c r="U8" s="396"/>
    </row>
    <row r="9" spans="1:22" s="8" customFormat="1">
      <c r="B9" s="8" t="s">
        <v>556</v>
      </c>
      <c r="C9" s="8">
        <v>32</v>
      </c>
      <c r="D9" s="8" t="s">
        <v>13</v>
      </c>
      <c r="E9" s="381">
        <f>SUM(E6:E8)</f>
        <v>12487</v>
      </c>
      <c r="F9" s="382">
        <f>E9/$E$9</f>
        <v>1</v>
      </c>
      <c r="M9" s="8" t="s">
        <v>556</v>
      </c>
      <c r="N9" s="8">
        <v>26</v>
      </c>
      <c r="O9" s="8" t="s">
        <v>13</v>
      </c>
      <c r="P9" s="381">
        <f>SUM(P6:P8)</f>
        <v>3525</v>
      </c>
      <c r="Q9" s="382">
        <f>P9/$P$9</f>
        <v>1</v>
      </c>
    </row>
    <row r="10" spans="1:22" s="8" customFormat="1">
      <c r="F10" s="381"/>
      <c r="G10" s="382"/>
    </row>
    <row r="11" spans="1:22" s="8" customFormat="1">
      <c r="C11" s="396" t="s">
        <v>661</v>
      </c>
      <c r="D11" s="8" t="s">
        <v>662</v>
      </c>
      <c r="E11" s="8" t="s">
        <v>663</v>
      </c>
      <c r="F11" s="381"/>
      <c r="G11" s="406"/>
      <c r="H11" s="406"/>
      <c r="N11" s="396" t="s">
        <v>661</v>
      </c>
      <c r="O11" s="8" t="s">
        <v>662</v>
      </c>
      <c r="P11" s="8" t="s">
        <v>663</v>
      </c>
    </row>
    <row r="12" spans="1:22" s="8" customFormat="1">
      <c r="B12" s="8" t="s">
        <v>534</v>
      </c>
      <c r="C12" s="381">
        <v>455</v>
      </c>
      <c r="D12" s="416">
        <f>C12/SUM($C$12:$C$14)</f>
        <v>0.91919191919191923</v>
      </c>
      <c r="E12" s="396">
        <f>C12/(C12+C15)</f>
        <v>0.7021604938271605</v>
      </c>
      <c r="F12" s="381"/>
      <c r="H12" s="396"/>
      <c r="M12" s="8" t="s">
        <v>534</v>
      </c>
      <c r="N12" s="381">
        <f>16+21+16</f>
        <v>53</v>
      </c>
      <c r="O12" s="416">
        <f>N12/SUM($N$12:$N$14)</f>
        <v>0.57608695652173914</v>
      </c>
      <c r="P12" s="396">
        <f>N12/(N12+N15)</f>
        <v>0.44915254237288138</v>
      </c>
    </row>
    <row r="13" spans="1:22" s="8" customFormat="1">
      <c r="B13" s="8" t="s">
        <v>535</v>
      </c>
      <c r="C13" s="381">
        <v>27</v>
      </c>
      <c r="D13" s="416">
        <f t="shared" ref="D13:D14" si="3">C13/SUM($C$12:$C$14)</f>
        <v>5.4545454545454543E-2</v>
      </c>
      <c r="E13" s="396">
        <f>C13/(C13+C16)</f>
        <v>0.69230769230769229</v>
      </c>
      <c r="F13" s="381"/>
      <c r="H13" s="396"/>
      <c r="M13" s="8" t="s">
        <v>535</v>
      </c>
      <c r="N13" s="381">
        <f>2+4+4</f>
        <v>10</v>
      </c>
      <c r="O13" s="416">
        <f t="shared" ref="O13:O14" si="4">N13/SUM($N$12:$N$14)</f>
        <v>0.10869565217391304</v>
      </c>
      <c r="P13" s="396">
        <f>N13/(N13+N16)</f>
        <v>0.32258064516129031</v>
      </c>
    </row>
    <row r="14" spans="1:22" s="8" customFormat="1">
      <c r="B14" s="8" t="s">
        <v>659</v>
      </c>
      <c r="C14" s="381">
        <v>13</v>
      </c>
      <c r="D14" s="416">
        <f t="shared" si="3"/>
        <v>2.6262626262626262E-2</v>
      </c>
      <c r="E14" s="396">
        <f>C14/(C14+C17)</f>
        <v>1.1818181818181819</v>
      </c>
      <c r="F14" s="381"/>
      <c r="H14" s="396"/>
      <c r="M14" s="8" t="s">
        <v>659</v>
      </c>
      <c r="N14" s="381">
        <f>8+12+9</f>
        <v>29</v>
      </c>
      <c r="O14" s="416">
        <f t="shared" si="4"/>
        <v>0.31521739130434784</v>
      </c>
      <c r="P14" s="396">
        <f>N14/(N14+N17)</f>
        <v>0.64444444444444449</v>
      </c>
    </row>
    <row r="15" spans="1:22" s="8" customFormat="1">
      <c r="B15" s="8" t="s">
        <v>537</v>
      </c>
      <c r="C15" s="381">
        <v>193</v>
      </c>
      <c r="D15" s="396">
        <f>C15/SUM($C$15:$C$17)</f>
        <v>0.95073891625615758</v>
      </c>
      <c r="F15" s="381"/>
      <c r="G15" s="404">
        <v>0.85</v>
      </c>
      <c r="M15" s="8" t="s">
        <v>537</v>
      </c>
      <c r="N15" s="381">
        <f>16+30+19</f>
        <v>65</v>
      </c>
      <c r="O15" s="396">
        <f>N15/SUM($N$15:$N$17)</f>
        <v>0.63725490196078427</v>
      </c>
    </row>
    <row r="16" spans="1:22" s="8" customFormat="1">
      <c r="B16" s="8" t="s">
        <v>538</v>
      </c>
      <c r="C16" s="381">
        <v>12</v>
      </c>
      <c r="D16" s="396">
        <f t="shared" ref="D16:D17" si="5">C16/SUM($C$15:$C$17)</f>
        <v>5.9113300492610835E-2</v>
      </c>
      <c r="F16" s="381"/>
      <c r="G16" s="382"/>
      <c r="M16" s="8" t="s">
        <v>538</v>
      </c>
      <c r="N16" s="381">
        <f>6+8+7</f>
        <v>21</v>
      </c>
      <c r="O16" s="396">
        <f t="shared" ref="O16:O17" si="6">N16/SUM($N$15:$N$17)</f>
        <v>0.20588235294117646</v>
      </c>
    </row>
    <row r="17" spans="2:22" s="8" customFormat="1">
      <c r="B17" s="8" t="s">
        <v>660</v>
      </c>
      <c r="C17" s="381">
        <v>-2</v>
      </c>
      <c r="D17" s="396">
        <f t="shared" si="5"/>
        <v>-9.852216748768473E-3</v>
      </c>
      <c r="F17" s="381"/>
      <c r="G17" s="382"/>
      <c r="H17" s="382"/>
      <c r="I17" s="8">
        <v>1</v>
      </c>
      <c r="M17" s="8" t="s">
        <v>660</v>
      </c>
      <c r="N17" s="381">
        <f>7+6+3</f>
        <v>16</v>
      </c>
      <c r="O17" s="396">
        <f t="shared" si="6"/>
        <v>0.15686274509803921</v>
      </c>
      <c r="S17" s="419">
        <v>1.25</v>
      </c>
    </row>
    <row r="18" spans="2:22" s="8" customFormat="1">
      <c r="F18" s="381"/>
      <c r="G18" s="382"/>
      <c r="S18" s="8">
        <v>1</v>
      </c>
    </row>
    <row r="19" spans="2:22" s="8" customFormat="1">
      <c r="B19" s="8" t="s">
        <v>1499</v>
      </c>
      <c r="F19" s="381"/>
      <c r="G19" s="382"/>
      <c r="M19" s="8" t="s">
        <v>1500</v>
      </c>
    </row>
    <row r="20" spans="2:22" s="8" customFormat="1">
      <c r="B20" s="8">
        <v>1</v>
      </c>
      <c r="C20" s="8">
        <v>2</v>
      </c>
      <c r="D20" s="8">
        <v>3</v>
      </c>
      <c r="E20" s="8">
        <v>4</v>
      </c>
      <c r="F20" s="381">
        <v>5</v>
      </c>
      <c r="G20" s="381">
        <v>6</v>
      </c>
      <c r="H20" s="8">
        <v>7</v>
      </c>
      <c r="I20" s="8">
        <v>8</v>
      </c>
      <c r="J20" s="8">
        <v>9</v>
      </c>
      <c r="K20" s="8">
        <v>10</v>
      </c>
      <c r="M20" s="8">
        <v>1</v>
      </c>
      <c r="N20" s="8">
        <v>2</v>
      </c>
      <c r="O20" s="8">
        <v>3</v>
      </c>
      <c r="P20" s="8">
        <v>4</v>
      </c>
      <c r="Q20" s="381">
        <v>5</v>
      </c>
      <c r="R20" s="381">
        <v>6</v>
      </c>
      <c r="S20" s="8">
        <v>7</v>
      </c>
      <c r="T20" s="8">
        <v>8</v>
      </c>
      <c r="U20" s="8">
        <v>9</v>
      </c>
      <c r="V20" s="8">
        <v>10</v>
      </c>
    </row>
    <row r="21" spans="2:22" s="8" customFormat="1" ht="20">
      <c r="B21" s="412" t="str">
        <f>nmLOB1</f>
        <v>Riverside</v>
      </c>
      <c r="C21" s="413" t="s">
        <v>630</v>
      </c>
      <c r="D21" s="413" t="s">
        <v>631</v>
      </c>
      <c r="E21" s="413" t="s">
        <v>156</v>
      </c>
      <c r="F21" s="413" t="s">
        <v>626</v>
      </c>
      <c r="G21" s="399" t="s">
        <v>3784</v>
      </c>
      <c r="H21" s="456" t="s">
        <v>1589</v>
      </c>
      <c r="I21" s="399" t="s">
        <v>1982</v>
      </c>
      <c r="J21" s="399"/>
      <c r="K21" s="400"/>
      <c r="M21" s="412" t="str">
        <f>nmLOB2</f>
        <v>Pleasentville</v>
      </c>
      <c r="N21" s="413" t="s">
        <v>630</v>
      </c>
      <c r="O21" s="413" t="s">
        <v>631</v>
      </c>
      <c r="P21" s="413" t="s">
        <v>156</v>
      </c>
      <c r="Q21" s="413" t="s">
        <v>626</v>
      </c>
      <c r="R21" s="399" t="s">
        <v>1981</v>
      </c>
      <c r="S21" s="456" t="s">
        <v>1589</v>
      </c>
      <c r="T21" s="399" t="s">
        <v>1982</v>
      </c>
      <c r="U21" s="399"/>
      <c r="V21" s="400" t="s">
        <v>3941</v>
      </c>
    </row>
    <row r="22" spans="2:22" s="8" customFormat="1">
      <c r="B22" s="397">
        <v>0</v>
      </c>
      <c r="C22" s="398">
        <v>0</v>
      </c>
      <c r="D22" s="398">
        <v>0</v>
      </c>
      <c r="E22" s="398">
        <v>0</v>
      </c>
      <c r="F22" s="401">
        <v>0</v>
      </c>
      <c r="G22" s="399">
        <v>0</v>
      </c>
      <c r="H22" s="454">
        <v>0</v>
      </c>
      <c r="I22" s="399">
        <v>0</v>
      </c>
      <c r="J22" s="399"/>
      <c r="K22" s="400"/>
      <c r="M22" s="397">
        <v>0</v>
      </c>
      <c r="N22" s="398">
        <v>0</v>
      </c>
      <c r="O22" s="398">
        <v>0</v>
      </c>
      <c r="P22" s="398">
        <v>0</v>
      </c>
      <c r="Q22" s="401">
        <v>0</v>
      </c>
      <c r="R22" s="399">
        <v>0</v>
      </c>
      <c r="S22" s="454">
        <v>0</v>
      </c>
      <c r="T22" s="399">
        <v>0</v>
      </c>
      <c r="U22" s="399"/>
      <c r="V22" s="400"/>
    </row>
    <row r="23" spans="2:22" s="8" customFormat="1">
      <c r="B23" s="389">
        <v>1</v>
      </c>
      <c r="C23" s="388" t="s">
        <v>550</v>
      </c>
      <c r="D23" s="388" t="s">
        <v>551</v>
      </c>
      <c r="E23" s="388" t="s">
        <v>654</v>
      </c>
      <c r="F23" s="404">
        <v>27</v>
      </c>
      <c r="G23" s="529">
        <v>6.5</v>
      </c>
      <c r="H23" s="455">
        <v>0.15</v>
      </c>
      <c r="I23" s="387">
        <v>3</v>
      </c>
      <c r="J23" s="387"/>
      <c r="K23" s="555"/>
      <c r="M23" s="389">
        <v>1</v>
      </c>
      <c r="N23" s="388" t="s">
        <v>550</v>
      </c>
      <c r="O23" s="388" t="s">
        <v>551</v>
      </c>
      <c r="P23" s="388" t="s">
        <v>655</v>
      </c>
      <c r="Q23" s="402">
        <v>27</v>
      </c>
      <c r="R23" s="387">
        <v>6.9</v>
      </c>
      <c r="S23" s="419">
        <v>0.17500000000000002</v>
      </c>
      <c r="T23" s="387">
        <v>4</v>
      </c>
      <c r="U23" s="387" t="s">
        <v>3940</v>
      </c>
      <c r="V23" s="555">
        <f>Q23/(1-S23)</f>
        <v>32.727272727272727</v>
      </c>
    </row>
    <row r="24" spans="2:22" s="8" customFormat="1">
      <c r="B24" s="389">
        <v>2</v>
      </c>
      <c r="C24" s="388" t="s">
        <v>550</v>
      </c>
      <c r="D24" s="388" t="s">
        <v>551</v>
      </c>
      <c r="E24" s="388" t="s">
        <v>636</v>
      </c>
      <c r="F24" s="404">
        <v>24</v>
      </c>
      <c r="G24" s="529">
        <v>5.3</v>
      </c>
      <c r="H24" s="455">
        <v>0.1</v>
      </c>
      <c r="I24" s="387">
        <v>2</v>
      </c>
      <c r="J24" s="387"/>
      <c r="K24" s="555"/>
      <c r="M24" s="389">
        <v>2</v>
      </c>
      <c r="N24" s="388" t="s">
        <v>550</v>
      </c>
      <c r="O24" s="388" t="s">
        <v>551</v>
      </c>
      <c r="P24" s="388" t="s">
        <v>651</v>
      </c>
      <c r="Q24" s="402">
        <v>28</v>
      </c>
      <c r="R24" s="387">
        <v>5.7</v>
      </c>
      <c r="S24" s="419">
        <v>0.15</v>
      </c>
      <c r="T24" s="387">
        <v>1</v>
      </c>
      <c r="U24" s="387"/>
      <c r="V24" s="555">
        <f t="shared" ref="V24:V39" si="7">Q24/(1-S24)</f>
        <v>32.941176470588239</v>
      </c>
    </row>
    <row r="25" spans="2:22" s="8" customFormat="1">
      <c r="B25" s="389">
        <v>3</v>
      </c>
      <c r="C25" s="388" t="s">
        <v>550</v>
      </c>
      <c r="D25" s="388" t="s">
        <v>553</v>
      </c>
      <c r="E25" s="388" t="s">
        <v>644</v>
      </c>
      <c r="F25" s="404">
        <v>12.526315789473685</v>
      </c>
      <c r="G25" s="529">
        <v>4.5999999999999996</v>
      </c>
      <c r="H25" s="455">
        <v>0.05</v>
      </c>
      <c r="I25" s="388">
        <v>4</v>
      </c>
      <c r="J25" s="281"/>
      <c r="K25" s="555"/>
      <c r="M25" s="389">
        <v>3</v>
      </c>
      <c r="N25" s="388" t="s">
        <v>550</v>
      </c>
      <c r="O25" s="388" t="s">
        <v>553</v>
      </c>
      <c r="P25" s="388" t="s">
        <v>645</v>
      </c>
      <c r="Q25" s="402">
        <v>17.021276595744681</v>
      </c>
      <c r="R25" s="387">
        <v>4.8</v>
      </c>
      <c r="S25" s="419">
        <v>7.4999999999999997E-2</v>
      </c>
      <c r="T25" s="388">
        <v>3</v>
      </c>
      <c r="U25" s="281"/>
      <c r="V25" s="555">
        <f t="shared" si="7"/>
        <v>18.401380103507762</v>
      </c>
    </row>
    <row r="26" spans="2:22" s="8" customFormat="1">
      <c r="B26" s="389">
        <v>4</v>
      </c>
      <c r="C26" s="388" t="s">
        <v>554</v>
      </c>
      <c r="D26" s="388" t="s">
        <v>551</v>
      </c>
      <c r="E26" s="388" t="s">
        <v>637</v>
      </c>
      <c r="F26" s="404">
        <v>33</v>
      </c>
      <c r="G26" s="529">
        <v>3.1</v>
      </c>
      <c r="H26" s="455">
        <v>0.01</v>
      </c>
      <c r="I26" s="387">
        <v>2</v>
      </c>
      <c r="J26" s="281" t="s">
        <v>3939</v>
      </c>
      <c r="K26" s="555"/>
      <c r="M26" s="389">
        <v>4</v>
      </c>
      <c r="N26" s="388" t="s">
        <v>550</v>
      </c>
      <c r="O26" s="388" t="s">
        <v>553</v>
      </c>
      <c r="P26" s="388" t="s">
        <v>653</v>
      </c>
      <c r="Q26" s="402">
        <v>16.666666666666668</v>
      </c>
      <c r="R26" s="387">
        <v>5.4</v>
      </c>
      <c r="S26" s="419">
        <v>0.05</v>
      </c>
      <c r="T26" s="387">
        <v>2</v>
      </c>
      <c r="U26" s="281"/>
      <c r="V26" s="555">
        <f t="shared" si="7"/>
        <v>17.543859649122808</v>
      </c>
    </row>
    <row r="27" spans="2:22" s="8" customFormat="1">
      <c r="B27" s="389">
        <v>5</v>
      </c>
      <c r="C27" s="388" t="s">
        <v>554</v>
      </c>
      <c r="D27" s="388" t="s">
        <v>551</v>
      </c>
      <c r="E27" s="388" t="s">
        <v>641</v>
      </c>
      <c r="F27" s="404">
        <v>17.52577319587629</v>
      </c>
      <c r="G27" s="529">
        <v>3</v>
      </c>
      <c r="H27" s="455">
        <v>0.03</v>
      </c>
      <c r="I27" s="388">
        <v>1</v>
      </c>
      <c r="J27" s="281"/>
      <c r="K27" s="555"/>
      <c r="M27" s="389">
        <v>5</v>
      </c>
      <c r="N27" s="388" t="s">
        <v>554</v>
      </c>
      <c r="O27" s="388" t="s">
        <v>551</v>
      </c>
      <c r="P27" s="388" t="s">
        <v>646</v>
      </c>
      <c r="Q27" s="402">
        <v>27.5</v>
      </c>
      <c r="R27" s="387">
        <v>6.3</v>
      </c>
      <c r="S27" s="419">
        <v>0.125</v>
      </c>
      <c r="T27" s="388">
        <v>2</v>
      </c>
      <c r="U27" s="281"/>
      <c r="V27" s="555">
        <f t="shared" si="7"/>
        <v>31.428571428571427</v>
      </c>
    </row>
    <row r="28" spans="2:22" s="8" customFormat="1">
      <c r="B28" s="389">
        <v>6</v>
      </c>
      <c r="C28" s="388" t="s">
        <v>8485</v>
      </c>
      <c r="D28" s="388" t="s">
        <v>551</v>
      </c>
      <c r="E28" s="388" t="s">
        <v>639</v>
      </c>
      <c r="F28" s="404">
        <v>30</v>
      </c>
      <c r="G28" s="529">
        <v>5.7</v>
      </c>
      <c r="H28" s="455">
        <v>0.13</v>
      </c>
      <c r="I28" s="387">
        <v>3</v>
      </c>
      <c r="J28" s="281"/>
      <c r="K28" s="555"/>
      <c r="M28" s="389">
        <v>6</v>
      </c>
      <c r="N28" s="388" t="s">
        <v>554</v>
      </c>
      <c r="O28" s="388" t="s">
        <v>551</v>
      </c>
      <c r="P28" s="388" t="s">
        <v>650</v>
      </c>
      <c r="Q28" s="402">
        <v>28</v>
      </c>
      <c r="R28" s="387">
        <v>6</v>
      </c>
      <c r="S28" s="419">
        <v>0.1875</v>
      </c>
      <c r="T28" s="387">
        <v>3</v>
      </c>
      <c r="U28" s="281"/>
      <c r="V28" s="555">
        <f t="shared" si="7"/>
        <v>34.46153846153846</v>
      </c>
    </row>
    <row r="29" spans="2:22">
      <c r="B29" s="389">
        <v>7</v>
      </c>
      <c r="C29" s="388" t="s">
        <v>556</v>
      </c>
      <c r="D29" s="388" t="s">
        <v>551</v>
      </c>
      <c r="E29" s="388" t="s">
        <v>642</v>
      </c>
      <c r="F29" s="404">
        <v>28</v>
      </c>
      <c r="G29" s="529">
        <v>3.6</v>
      </c>
      <c r="H29" s="455">
        <v>0.06</v>
      </c>
      <c r="I29" s="388">
        <v>4</v>
      </c>
      <c r="J29" s="281"/>
      <c r="K29" s="555"/>
      <c r="M29" s="389">
        <v>7</v>
      </c>
      <c r="N29" s="388" t="s">
        <v>8485</v>
      </c>
      <c r="O29" s="388" t="s">
        <v>551</v>
      </c>
      <c r="P29" s="388" t="s">
        <v>648</v>
      </c>
      <c r="Q29" s="402">
        <v>28</v>
      </c>
      <c r="R29" s="387">
        <v>4.9000000000000004</v>
      </c>
      <c r="S29" s="419">
        <v>0.18</v>
      </c>
      <c r="T29" s="388">
        <v>2</v>
      </c>
      <c r="U29" s="281"/>
      <c r="V29" s="555">
        <f t="shared" si="7"/>
        <v>34.146341463414629</v>
      </c>
    </row>
    <row r="30" spans="2:22">
      <c r="B30" s="389">
        <v>8</v>
      </c>
      <c r="C30" s="388" t="s">
        <v>556</v>
      </c>
      <c r="D30" s="388" t="s">
        <v>551</v>
      </c>
      <c r="E30" s="388" t="s">
        <v>643</v>
      </c>
      <c r="F30" s="404">
        <v>29</v>
      </c>
      <c r="G30" s="529">
        <v>6.2</v>
      </c>
      <c r="H30" s="455">
        <v>0.14000000000000001</v>
      </c>
      <c r="I30" s="387">
        <v>2</v>
      </c>
      <c r="J30" s="281"/>
      <c r="K30" s="555"/>
      <c r="M30" s="389">
        <v>8</v>
      </c>
      <c r="N30" s="388" t="s">
        <v>556</v>
      </c>
      <c r="O30" s="388" t="s">
        <v>551</v>
      </c>
      <c r="P30" s="388" t="s">
        <v>649</v>
      </c>
      <c r="Q30" s="402">
        <v>28</v>
      </c>
      <c r="R30" s="387">
        <v>5.6</v>
      </c>
      <c r="S30" s="419">
        <v>0.125</v>
      </c>
      <c r="T30" s="387">
        <v>3</v>
      </c>
      <c r="U30" s="281"/>
      <c r="V30" s="555">
        <f t="shared" si="7"/>
        <v>32</v>
      </c>
    </row>
    <row r="31" spans="2:22">
      <c r="B31" s="389">
        <v>9</v>
      </c>
      <c r="C31" s="388" t="s">
        <v>556</v>
      </c>
      <c r="D31" s="388" t="s">
        <v>553</v>
      </c>
      <c r="E31" s="388" t="s">
        <v>640</v>
      </c>
      <c r="F31" s="404">
        <v>15.773195876288661</v>
      </c>
      <c r="G31" s="529">
        <v>3.2</v>
      </c>
      <c r="H31" s="455">
        <v>0.03</v>
      </c>
      <c r="I31" s="388">
        <v>1</v>
      </c>
      <c r="J31" s="281"/>
      <c r="K31" s="555"/>
      <c r="M31" s="389">
        <v>9</v>
      </c>
      <c r="N31" s="388" t="s">
        <v>556</v>
      </c>
      <c r="O31" s="388" t="s">
        <v>553</v>
      </c>
      <c r="P31" s="388" t="s">
        <v>652</v>
      </c>
      <c r="Q31" s="402">
        <v>12.5</v>
      </c>
      <c r="R31" s="387">
        <v>4.8</v>
      </c>
      <c r="S31" s="419">
        <v>0.05</v>
      </c>
      <c r="T31" s="388">
        <v>2</v>
      </c>
      <c r="U31" s="281"/>
      <c r="V31" s="555">
        <f t="shared" si="7"/>
        <v>13.157894736842106</v>
      </c>
    </row>
    <row r="32" spans="2:22">
      <c r="B32" s="389">
        <v>10</v>
      </c>
      <c r="C32" s="388" t="s">
        <v>555</v>
      </c>
      <c r="D32" s="388" t="s">
        <v>551</v>
      </c>
      <c r="E32" s="388" t="s">
        <v>638</v>
      </c>
      <c r="F32" s="404">
        <v>25.05263157894737</v>
      </c>
      <c r="G32" s="529">
        <v>3.1</v>
      </c>
      <c r="H32" s="455">
        <v>0.05</v>
      </c>
      <c r="I32" s="388">
        <v>2</v>
      </c>
      <c r="J32" s="281"/>
      <c r="K32" s="555"/>
      <c r="M32" s="392">
        <v>10</v>
      </c>
      <c r="N32" s="393" t="s">
        <v>555</v>
      </c>
      <c r="O32" s="393" t="s">
        <v>551</v>
      </c>
      <c r="P32" s="393" t="s">
        <v>647</v>
      </c>
      <c r="Q32" s="403">
        <v>22.680412371134022</v>
      </c>
      <c r="R32" s="410">
        <v>5.3</v>
      </c>
      <c r="S32" s="772">
        <v>3.7499999999999999E-2</v>
      </c>
      <c r="T32" s="393">
        <v>3</v>
      </c>
      <c r="U32" s="773"/>
      <c r="V32" s="700">
        <f t="shared" si="7"/>
        <v>23.564064801178205</v>
      </c>
    </row>
    <row r="33" spans="2:22">
      <c r="B33" s="549">
        <v>11</v>
      </c>
      <c r="C33" s="550" t="s">
        <v>550</v>
      </c>
      <c r="D33" s="550" t="s">
        <v>551</v>
      </c>
      <c r="E33" s="550" t="s">
        <v>4512</v>
      </c>
      <c r="F33" s="551">
        <v>26.842105263157897</v>
      </c>
      <c r="G33" s="551">
        <v>4.3</v>
      </c>
      <c r="H33" s="552">
        <v>0.05</v>
      </c>
      <c r="I33" s="553">
        <v>2</v>
      </c>
      <c r="J33" s="553"/>
      <c r="K33" s="557"/>
      <c r="M33" s="533">
        <v>11</v>
      </c>
      <c r="N33" s="534" t="s">
        <v>550</v>
      </c>
      <c r="O33" s="534" t="s">
        <v>551</v>
      </c>
      <c r="P33" s="534" t="s">
        <v>3839</v>
      </c>
      <c r="Q33" s="535">
        <v>33.333333333333336</v>
      </c>
      <c r="R33" s="536">
        <v>6</v>
      </c>
      <c r="S33" s="419">
        <v>0.125</v>
      </c>
      <c r="T33" s="538">
        <v>4</v>
      </c>
      <c r="U33" s="534"/>
      <c r="V33" s="556">
        <f t="shared" si="7"/>
        <v>38.095238095238095</v>
      </c>
    </row>
    <row r="34" spans="2:22">
      <c r="B34" s="533">
        <v>12</v>
      </c>
      <c r="C34" s="534" t="s">
        <v>550</v>
      </c>
      <c r="D34" s="534" t="s">
        <v>553</v>
      </c>
      <c r="E34" s="534" t="s">
        <v>4512</v>
      </c>
      <c r="F34" s="536">
        <v>13.421052631578949</v>
      </c>
      <c r="G34" s="536">
        <v>4.3</v>
      </c>
      <c r="H34" s="537">
        <v>0.05</v>
      </c>
      <c r="I34" s="538">
        <v>2</v>
      </c>
      <c r="J34" s="538"/>
      <c r="K34" s="556"/>
      <c r="M34" s="533">
        <v>12</v>
      </c>
      <c r="N34" s="534" t="s">
        <v>550</v>
      </c>
      <c r="O34" s="534" t="s">
        <v>553</v>
      </c>
      <c r="P34" s="534" t="s">
        <v>3839</v>
      </c>
      <c r="Q34" s="535">
        <v>15.789473684210527</v>
      </c>
      <c r="R34" s="536">
        <v>6</v>
      </c>
      <c r="S34" s="419">
        <v>6.25E-2</v>
      </c>
      <c r="T34" s="538">
        <v>2</v>
      </c>
      <c r="U34" s="534"/>
      <c r="V34" s="556">
        <f t="shared" si="7"/>
        <v>16.842105263157897</v>
      </c>
    </row>
    <row r="35" spans="2:22">
      <c r="B35" s="533">
        <v>13</v>
      </c>
      <c r="C35" s="534" t="s">
        <v>554</v>
      </c>
      <c r="D35" s="534" t="s">
        <v>551</v>
      </c>
      <c r="E35" s="534" t="s">
        <v>3836</v>
      </c>
      <c r="F35" s="536">
        <v>26.842105263157897</v>
      </c>
      <c r="G35" s="536">
        <v>4.3</v>
      </c>
      <c r="H35" s="537">
        <v>0.05</v>
      </c>
      <c r="I35" s="538">
        <v>2</v>
      </c>
      <c r="J35" s="538"/>
      <c r="K35" s="556"/>
      <c r="M35" s="533">
        <v>13</v>
      </c>
      <c r="N35" s="534" t="s">
        <v>554</v>
      </c>
      <c r="O35" s="534" t="s">
        <v>551</v>
      </c>
      <c r="P35" s="534" t="s">
        <v>3840</v>
      </c>
      <c r="Q35" s="535">
        <v>33.333333333333336</v>
      </c>
      <c r="R35" s="536">
        <v>6</v>
      </c>
      <c r="S35" s="419">
        <v>0.125</v>
      </c>
      <c r="T35" s="538">
        <v>4</v>
      </c>
      <c r="U35" s="534"/>
      <c r="V35" s="556">
        <f t="shared" si="7"/>
        <v>38.095238095238095</v>
      </c>
    </row>
    <row r="36" spans="2:22">
      <c r="B36" s="533">
        <v>14</v>
      </c>
      <c r="C36" s="534" t="s">
        <v>554</v>
      </c>
      <c r="D36" s="534" t="s">
        <v>553</v>
      </c>
      <c r="E36" s="534" t="s">
        <v>3836</v>
      </c>
      <c r="F36" s="536">
        <v>13.421052631578949</v>
      </c>
      <c r="G36" s="536">
        <v>4.3</v>
      </c>
      <c r="H36" s="537">
        <v>0.05</v>
      </c>
      <c r="I36" s="538">
        <v>2</v>
      </c>
      <c r="J36" s="538"/>
      <c r="K36" s="556"/>
      <c r="M36" s="533">
        <v>14</v>
      </c>
      <c r="N36" s="534" t="s">
        <v>554</v>
      </c>
      <c r="O36" s="534" t="s">
        <v>553</v>
      </c>
      <c r="P36" s="534" t="s">
        <v>3840</v>
      </c>
      <c r="Q36" s="535">
        <v>15.789473684210527</v>
      </c>
      <c r="R36" s="536">
        <v>6</v>
      </c>
      <c r="S36" s="419">
        <v>6.25E-2</v>
      </c>
      <c r="T36" s="538">
        <v>2</v>
      </c>
      <c r="U36" s="534"/>
      <c r="V36" s="556">
        <f t="shared" si="7"/>
        <v>16.842105263157897</v>
      </c>
    </row>
    <row r="37" spans="2:22">
      <c r="B37" s="533">
        <v>15</v>
      </c>
      <c r="C37" s="534" t="s">
        <v>556</v>
      </c>
      <c r="D37" s="534" t="s">
        <v>551</v>
      </c>
      <c r="E37" s="534" t="s">
        <v>3837</v>
      </c>
      <c r="F37" s="536">
        <v>26.842105263157897</v>
      </c>
      <c r="G37" s="536">
        <v>4.3</v>
      </c>
      <c r="H37" s="537">
        <v>0.05</v>
      </c>
      <c r="I37" s="538">
        <v>2</v>
      </c>
      <c r="J37" s="538"/>
      <c r="K37" s="556"/>
      <c r="M37" s="533">
        <v>15</v>
      </c>
      <c r="N37" s="534" t="s">
        <v>556</v>
      </c>
      <c r="O37" s="534" t="s">
        <v>551</v>
      </c>
      <c r="P37" s="534" t="s">
        <v>3841</v>
      </c>
      <c r="Q37" s="535">
        <v>33.333333333333336</v>
      </c>
      <c r="R37" s="536">
        <v>6</v>
      </c>
      <c r="S37" s="419">
        <v>0.125</v>
      </c>
      <c r="T37" s="538">
        <v>4</v>
      </c>
      <c r="U37" s="534"/>
      <c r="V37" s="556">
        <f t="shared" si="7"/>
        <v>38.095238095238095</v>
      </c>
    </row>
    <row r="38" spans="2:22">
      <c r="B38" s="533">
        <v>16</v>
      </c>
      <c r="C38" s="534" t="s">
        <v>556</v>
      </c>
      <c r="D38" s="534" t="s">
        <v>553</v>
      </c>
      <c r="E38" s="534" t="s">
        <v>3837</v>
      </c>
      <c r="F38" s="536">
        <v>13.421052631578949</v>
      </c>
      <c r="G38" s="536">
        <v>4.3</v>
      </c>
      <c r="H38" s="537">
        <v>0.05</v>
      </c>
      <c r="I38" s="538">
        <v>2</v>
      </c>
      <c r="J38" s="538"/>
      <c r="K38" s="556"/>
      <c r="M38" s="533">
        <v>16</v>
      </c>
      <c r="N38" s="534" t="s">
        <v>556</v>
      </c>
      <c r="O38" s="534" t="s">
        <v>553</v>
      </c>
      <c r="P38" s="534" t="s">
        <v>3841</v>
      </c>
      <c r="Q38" s="535">
        <v>15.789473684210527</v>
      </c>
      <c r="R38" s="536">
        <v>6</v>
      </c>
      <c r="S38" s="419">
        <v>6.25E-2</v>
      </c>
      <c r="T38" s="538">
        <v>2</v>
      </c>
      <c r="U38" s="534"/>
      <c r="V38" s="556">
        <f t="shared" si="7"/>
        <v>16.842105263157897</v>
      </c>
    </row>
    <row r="39" spans="2:22">
      <c r="B39" s="533">
        <v>17</v>
      </c>
      <c r="C39" s="534" t="s">
        <v>555</v>
      </c>
      <c r="D39" s="534" t="s">
        <v>551</v>
      </c>
      <c r="E39" s="534" t="s">
        <v>3838</v>
      </c>
      <c r="F39" s="536">
        <v>26.842105263157897</v>
      </c>
      <c r="G39" s="536">
        <v>4.3</v>
      </c>
      <c r="H39" s="537">
        <v>0.05</v>
      </c>
      <c r="I39" s="538">
        <v>2</v>
      </c>
      <c r="J39" s="538"/>
      <c r="K39" s="556"/>
      <c r="M39" s="533">
        <v>17</v>
      </c>
      <c r="N39" s="534" t="s">
        <v>555</v>
      </c>
      <c r="O39" s="534" t="s">
        <v>551</v>
      </c>
      <c r="P39" s="534" t="s">
        <v>3842</v>
      </c>
      <c r="Q39" s="535">
        <v>33.333333333333336</v>
      </c>
      <c r="R39" s="536">
        <v>6</v>
      </c>
      <c r="S39" s="419">
        <v>0.125</v>
      </c>
      <c r="T39" s="538">
        <v>4</v>
      </c>
      <c r="U39" s="534"/>
      <c r="V39" s="556">
        <f t="shared" si="7"/>
        <v>38.095238095238095</v>
      </c>
    </row>
    <row r="40" spans="2:22">
      <c r="B40" s="533">
        <v>18</v>
      </c>
      <c r="C40" s="534" t="s">
        <v>555</v>
      </c>
      <c r="D40" s="534" t="s">
        <v>553</v>
      </c>
      <c r="E40" s="534" t="s">
        <v>3838</v>
      </c>
      <c r="F40" s="536">
        <v>13.421052631578949</v>
      </c>
      <c r="G40" s="536">
        <v>4.3</v>
      </c>
      <c r="H40" s="537">
        <v>0.05</v>
      </c>
      <c r="I40" s="538">
        <v>2</v>
      </c>
      <c r="J40" s="538"/>
      <c r="K40" s="556"/>
      <c r="M40" s="533">
        <v>18</v>
      </c>
      <c r="N40" s="534" t="s">
        <v>555</v>
      </c>
      <c r="O40" s="534" t="s">
        <v>553</v>
      </c>
      <c r="P40" s="534" t="s">
        <v>3842</v>
      </c>
      <c r="Q40" s="535">
        <v>15.789473684210527</v>
      </c>
      <c r="R40" s="536">
        <v>6</v>
      </c>
      <c r="S40" s="419">
        <v>6.25E-2</v>
      </c>
      <c r="T40" s="538">
        <v>2</v>
      </c>
      <c r="U40" s="534"/>
      <c r="V40" s="556"/>
    </row>
    <row r="41" spans="2:22">
      <c r="B41" s="561">
        <v>19</v>
      </c>
      <c r="C41" s="562" t="s">
        <v>550</v>
      </c>
      <c r="D41" s="562" t="s">
        <v>551</v>
      </c>
      <c r="E41" s="562">
        <v>5</v>
      </c>
      <c r="F41" s="563">
        <f>E41*32</f>
        <v>160</v>
      </c>
      <c r="G41" s="564">
        <v>4.5</v>
      </c>
      <c r="H41" s="565">
        <v>0.05</v>
      </c>
      <c r="I41" s="566">
        <v>2</v>
      </c>
      <c r="J41" s="566"/>
      <c r="K41" s="567"/>
      <c r="M41" s="561">
        <v>19</v>
      </c>
      <c r="N41" s="562" t="s">
        <v>550</v>
      </c>
      <c r="O41" s="562" t="s">
        <v>551</v>
      </c>
      <c r="P41" s="562">
        <v>6</v>
      </c>
      <c r="Q41" s="563">
        <f>P41*30</f>
        <v>180</v>
      </c>
      <c r="R41" s="564">
        <v>4.5</v>
      </c>
      <c r="S41" s="419">
        <v>6.25E-2</v>
      </c>
      <c r="T41" s="566">
        <v>2</v>
      </c>
      <c r="U41" s="566"/>
      <c r="V41" s="567"/>
    </row>
    <row r="42" spans="2:22">
      <c r="B42" s="561">
        <v>20</v>
      </c>
      <c r="C42" s="562" t="s">
        <v>554</v>
      </c>
      <c r="D42" s="562" t="s">
        <v>551</v>
      </c>
      <c r="E42" s="562">
        <v>6</v>
      </c>
      <c r="F42" s="563">
        <f>E42*32.5</f>
        <v>195</v>
      </c>
      <c r="G42" s="564">
        <v>4.5</v>
      </c>
      <c r="H42" s="565">
        <v>0.05</v>
      </c>
      <c r="I42" s="566">
        <v>2</v>
      </c>
      <c r="J42" s="566"/>
      <c r="K42" s="567"/>
      <c r="M42" s="561">
        <v>20</v>
      </c>
      <c r="N42" s="562" t="s">
        <v>554</v>
      </c>
      <c r="O42" s="562" t="s">
        <v>551</v>
      </c>
      <c r="P42" s="562">
        <v>5</v>
      </c>
      <c r="Q42" s="563">
        <f>P42*31</f>
        <v>155</v>
      </c>
      <c r="R42" s="564">
        <v>4.5</v>
      </c>
      <c r="S42" s="419">
        <v>6.25E-2</v>
      </c>
      <c r="T42" s="566">
        <v>2</v>
      </c>
      <c r="U42" s="566"/>
      <c r="V42" s="567"/>
    </row>
    <row r="43" spans="2:22">
      <c r="B43" s="561">
        <v>21</v>
      </c>
      <c r="C43" s="562" t="s">
        <v>556</v>
      </c>
      <c r="D43" s="562" t="s">
        <v>551</v>
      </c>
      <c r="E43" s="562">
        <v>12</v>
      </c>
      <c r="F43" s="563">
        <f>E43*31.5</f>
        <v>378</v>
      </c>
      <c r="G43" s="564">
        <v>4.5</v>
      </c>
      <c r="H43" s="565">
        <v>0.05</v>
      </c>
      <c r="I43" s="566">
        <v>2</v>
      </c>
      <c r="J43" s="566"/>
      <c r="K43" s="567"/>
      <c r="M43" s="561">
        <v>21</v>
      </c>
      <c r="N43" s="562" t="s">
        <v>556</v>
      </c>
      <c r="O43" s="562" t="s">
        <v>551</v>
      </c>
      <c r="P43" s="562">
        <v>5</v>
      </c>
      <c r="Q43" s="563">
        <f>P43*28</f>
        <v>140</v>
      </c>
      <c r="R43" s="564">
        <v>4.5</v>
      </c>
      <c r="S43" s="419">
        <v>6.25E-2</v>
      </c>
      <c r="T43" s="566">
        <v>2</v>
      </c>
      <c r="U43" s="566"/>
      <c r="V43" s="567"/>
    </row>
    <row r="44" spans="2:22">
      <c r="B44" s="561">
        <v>22</v>
      </c>
      <c r="C44" s="562" t="s">
        <v>555</v>
      </c>
      <c r="D44" s="562" t="s">
        <v>551</v>
      </c>
      <c r="E44" s="562">
        <v>4</v>
      </c>
      <c r="F44" s="563">
        <f>E44*27</f>
        <v>108</v>
      </c>
      <c r="G44" s="564">
        <v>4.5</v>
      </c>
      <c r="H44" s="565">
        <v>0.05</v>
      </c>
      <c r="I44" s="566">
        <v>2</v>
      </c>
      <c r="J44" s="566"/>
      <c r="K44" s="567"/>
      <c r="M44" s="561">
        <v>22</v>
      </c>
      <c r="N44" s="562" t="s">
        <v>555</v>
      </c>
      <c r="O44" s="562" t="s">
        <v>551</v>
      </c>
      <c r="P44" s="562">
        <v>1.5</v>
      </c>
      <c r="Q44" s="563">
        <f>P44*27</f>
        <v>40.5</v>
      </c>
      <c r="R44" s="564">
        <v>4.5</v>
      </c>
      <c r="S44" s="419">
        <v>6.25E-2</v>
      </c>
      <c r="T44" s="566">
        <v>2</v>
      </c>
      <c r="U44" s="566"/>
      <c r="V44" s="567"/>
    </row>
    <row r="45" spans="2:22">
      <c r="B45" s="774">
        <v>23</v>
      </c>
      <c r="C45" s="775" t="s">
        <v>8485</v>
      </c>
      <c r="D45" s="775" t="s">
        <v>551</v>
      </c>
      <c r="E45" s="775" t="s">
        <v>8490</v>
      </c>
      <c r="F45" s="776">
        <v>35</v>
      </c>
      <c r="G45" s="777">
        <v>3</v>
      </c>
      <c r="H45" s="778">
        <v>0.05</v>
      </c>
      <c r="I45" s="779">
        <v>2</v>
      </c>
      <c r="J45" s="779"/>
      <c r="K45" s="780"/>
      <c r="M45" s="774">
        <v>23</v>
      </c>
      <c r="N45" s="775" t="s">
        <v>8485</v>
      </c>
      <c r="O45" s="775" t="s">
        <v>551</v>
      </c>
      <c r="P45" s="775" t="s">
        <v>8488</v>
      </c>
      <c r="Q45" s="776">
        <v>38</v>
      </c>
      <c r="R45" s="777">
        <v>3</v>
      </c>
      <c r="S45" s="778">
        <v>0.05</v>
      </c>
      <c r="T45" s="779">
        <v>2</v>
      </c>
      <c r="U45" s="779"/>
      <c r="V45" s="780"/>
    </row>
    <row r="46" spans="2:22">
      <c r="B46" s="774">
        <v>24</v>
      </c>
      <c r="C46" s="775" t="s">
        <v>8485</v>
      </c>
      <c r="D46" s="775" t="s">
        <v>553</v>
      </c>
      <c r="E46" s="775" t="s">
        <v>8490</v>
      </c>
      <c r="F46" s="776">
        <v>18</v>
      </c>
      <c r="G46" s="777">
        <v>3.5</v>
      </c>
      <c r="H46" s="778">
        <v>0.05</v>
      </c>
      <c r="I46" s="779">
        <v>2</v>
      </c>
      <c r="J46" s="779"/>
      <c r="K46" s="780"/>
      <c r="M46" s="774">
        <v>24</v>
      </c>
      <c r="N46" s="775" t="s">
        <v>8485</v>
      </c>
      <c r="O46" s="775" t="s">
        <v>553</v>
      </c>
      <c r="P46" s="775" t="s">
        <v>8488</v>
      </c>
      <c r="Q46" s="776">
        <v>20</v>
      </c>
      <c r="R46" s="777">
        <v>3.5</v>
      </c>
      <c r="S46" s="778">
        <v>0.05</v>
      </c>
      <c r="T46" s="779">
        <v>2</v>
      </c>
      <c r="U46" s="779"/>
      <c r="V46" s="780"/>
    </row>
    <row r="47" spans="2:22">
      <c r="B47" s="774">
        <v>25</v>
      </c>
      <c r="C47" s="775" t="s">
        <v>8486</v>
      </c>
      <c r="D47" s="775" t="s">
        <v>551</v>
      </c>
      <c r="E47" s="775" t="s">
        <v>8487</v>
      </c>
      <c r="F47" s="776">
        <v>30</v>
      </c>
      <c r="G47" s="777">
        <v>3</v>
      </c>
      <c r="H47" s="778">
        <v>0.05</v>
      </c>
      <c r="I47" s="779">
        <v>2</v>
      </c>
      <c r="J47" s="779"/>
      <c r="K47" s="780"/>
      <c r="M47" s="774">
        <v>25</v>
      </c>
      <c r="N47" s="775" t="s">
        <v>8486</v>
      </c>
      <c r="O47" s="775" t="s">
        <v>551</v>
      </c>
      <c r="P47" s="775" t="s">
        <v>8489</v>
      </c>
      <c r="Q47" s="776">
        <v>35</v>
      </c>
      <c r="R47" s="777">
        <v>3</v>
      </c>
      <c r="S47" s="778">
        <v>0.05</v>
      </c>
      <c r="T47" s="779">
        <v>2</v>
      </c>
      <c r="U47" s="779"/>
      <c r="V47" s="780"/>
    </row>
    <row r="48" spans="2:22">
      <c r="B48" s="781">
        <v>26</v>
      </c>
      <c r="C48" s="782" t="s">
        <v>8486</v>
      </c>
      <c r="D48" s="782" t="s">
        <v>553</v>
      </c>
      <c r="E48" s="782" t="s">
        <v>8487</v>
      </c>
      <c r="F48" s="783">
        <v>15</v>
      </c>
      <c r="G48" s="784">
        <v>3.5</v>
      </c>
      <c r="H48" s="785">
        <v>0.05</v>
      </c>
      <c r="I48" s="786">
        <v>2</v>
      </c>
      <c r="J48" s="786"/>
      <c r="K48" s="787"/>
      <c r="M48" s="781">
        <v>26</v>
      </c>
      <c r="N48" s="782" t="s">
        <v>8486</v>
      </c>
      <c r="O48" s="782" t="s">
        <v>553</v>
      </c>
      <c r="P48" s="782" t="s">
        <v>8489</v>
      </c>
      <c r="Q48" s="783">
        <v>18</v>
      </c>
      <c r="R48" s="784">
        <v>3.5</v>
      </c>
      <c r="S48" s="785">
        <v>0.05</v>
      </c>
      <c r="T48" s="786">
        <v>2</v>
      </c>
      <c r="U48" s="786"/>
      <c r="V48" s="787"/>
    </row>
    <row r="49" spans="2:21">
      <c r="E49" s="568">
        <f>SUM(E41:E44)+10</f>
        <v>37</v>
      </c>
      <c r="P49" s="568">
        <f>SUM(P41:P44)+10</f>
        <v>27.5</v>
      </c>
    </row>
    <row r="51" spans="2:21" s="407" customFormat="1" ht="20">
      <c r="B51" s="418" t="s">
        <v>632</v>
      </c>
      <c r="C51" s="406" t="s">
        <v>664</v>
      </c>
      <c r="D51" s="406" t="s">
        <v>635</v>
      </c>
      <c r="E51" s="406" t="s">
        <v>656</v>
      </c>
      <c r="F51" s="406" t="s">
        <v>657</v>
      </c>
      <c r="G51" s="407" t="s">
        <v>687</v>
      </c>
      <c r="M51" s="418" t="s">
        <v>632</v>
      </c>
      <c r="N51" s="406" t="s">
        <v>664</v>
      </c>
      <c r="O51" s="406" t="s">
        <v>635</v>
      </c>
      <c r="P51" s="406" t="s">
        <v>656</v>
      </c>
      <c r="Q51" s="406" t="s">
        <v>657</v>
      </c>
      <c r="R51" s="408" t="s">
        <v>687</v>
      </c>
      <c r="S51" s="408"/>
    </row>
    <row r="52" spans="2:21" s="8" customFormat="1">
      <c r="B52" s="8" t="s">
        <v>627</v>
      </c>
      <c r="C52" s="381">
        <f>SUMIF($C$22:$C$48,$B$6,$F$22:$F$48)*4*3+SUMIF($C$22:$C$48,$B$7,$F$22:$F$48)*4*3</f>
        <v>6594.9408572978837</v>
      </c>
      <c r="D52" s="382">
        <f>C52/$C$55</f>
        <v>0.45272639828648609</v>
      </c>
      <c r="E52" s="404">
        <v>6.8</v>
      </c>
      <c r="F52" s="8">
        <f>ROUND(C52/E52,0)</f>
        <v>970</v>
      </c>
      <c r="G52" s="8" t="s">
        <v>620</v>
      </c>
      <c r="H52" s="396">
        <v>0.91919191919191923</v>
      </c>
      <c r="M52" s="8" t="s">
        <v>627</v>
      </c>
      <c r="N52" s="381">
        <f>SUMIF($N$22:$N$48,$M$6,$Q$22:$Q$48)*4*3+SUMIF($N$22:$N$48,$M$7,$Q$22:$Q$48)*4*3</f>
        <v>6929.2026875699885</v>
      </c>
      <c r="O52" s="382">
        <f>N52/$N$55</f>
        <v>0.62808238205475297</v>
      </c>
      <c r="P52" s="404">
        <v>9.3000000000000007</v>
      </c>
      <c r="Q52" s="8">
        <f>ROUND(N52/P52,0)</f>
        <v>745</v>
      </c>
      <c r="R52" s="8" t="s">
        <v>620</v>
      </c>
      <c r="S52" s="396">
        <v>0.57608695652173914</v>
      </c>
    </row>
    <row r="53" spans="2:21" s="8" customFormat="1">
      <c r="B53" s="8" t="s">
        <v>628</v>
      </c>
      <c r="C53" s="381">
        <f>SUMIF($C$22:$C$48,$B$8,$F$22:$F$48)*4*3</f>
        <v>2079.7894736842109</v>
      </c>
      <c r="D53" s="382">
        <f>C53/$C$55</f>
        <v>0.1427724096378003</v>
      </c>
      <c r="E53" s="404">
        <v>1.08</v>
      </c>
      <c r="F53" s="8">
        <f>ROUND(C53/E53,0)</f>
        <v>1926</v>
      </c>
      <c r="G53" s="8" t="s">
        <v>621</v>
      </c>
      <c r="H53" s="396">
        <v>5.4545454545454543E-2</v>
      </c>
      <c r="M53" s="8" t="s">
        <v>628</v>
      </c>
      <c r="N53" s="381">
        <f>+SUMIF($N$22:$N$48,$M$8,$Q$22:$Q$48)*4*3</f>
        <v>1347.6386326641345</v>
      </c>
      <c r="O53" s="382">
        <f>N53/$N$55</f>
        <v>0.12215374852161164</v>
      </c>
      <c r="P53" s="404">
        <v>1.2</v>
      </c>
      <c r="Q53" s="8">
        <f t="shared" ref="Q53:Q54" si="8">ROUND(N53/P53,0)</f>
        <v>1123</v>
      </c>
      <c r="R53" s="8" t="s">
        <v>621</v>
      </c>
      <c r="S53" s="396">
        <v>0.10869565217391304</v>
      </c>
    </row>
    <row r="54" spans="2:21" s="8" customFormat="1">
      <c r="B54" s="8" t="s">
        <v>629</v>
      </c>
      <c r="C54" s="381">
        <f>SUMIF($C$22:$C$48,$B$9,$F$22:$F$48)*4*3</f>
        <v>5892.4362452523064</v>
      </c>
      <c r="D54" s="382">
        <f>C54/$C$55</f>
        <v>0.40450119207571356</v>
      </c>
      <c r="E54" s="404">
        <v>6.8</v>
      </c>
      <c r="F54" s="8">
        <f t="shared" ref="F54" si="9">ROUND(C54/E54,0)</f>
        <v>867</v>
      </c>
      <c r="G54" s="8" t="s">
        <v>592</v>
      </c>
      <c r="H54" s="396">
        <v>2.6262626262626262E-2</v>
      </c>
      <c r="M54" s="8" t="s">
        <v>629</v>
      </c>
      <c r="N54" s="381">
        <f>+SUMIF($N$22:$N$48,$M$9,$Q$22:$Q$48)*4*3</f>
        <v>2755.4736842105262</v>
      </c>
      <c r="O54" s="382">
        <f>N54/$N$55</f>
        <v>0.24976386942363532</v>
      </c>
      <c r="P54" s="404">
        <v>4</v>
      </c>
      <c r="Q54" s="8">
        <f t="shared" si="8"/>
        <v>689</v>
      </c>
      <c r="R54" s="8" t="s">
        <v>592</v>
      </c>
      <c r="S54" s="396">
        <v>0.31521739130434784</v>
      </c>
      <c r="U54" s="554">
        <f>Q23/(1-S23)</f>
        <v>32.727272727272727</v>
      </c>
    </row>
    <row r="55" spans="2:21" s="8" customFormat="1">
      <c r="C55" s="381">
        <f>SUM(C52:C54)</f>
        <v>14567.166576234402</v>
      </c>
      <c r="D55" s="382">
        <f>SUM(D52:D54)</f>
        <v>1</v>
      </c>
      <c r="E55" s="382"/>
      <c r="N55" s="381">
        <f>SUM(N52:N54)</f>
        <v>11032.31500444465</v>
      </c>
      <c r="O55" s="382">
        <f>SUM(O52:O54)</f>
        <v>1</v>
      </c>
    </row>
    <row r="56" spans="2:21" s="8" customFormat="1">
      <c r="B56" s="8" t="s">
        <v>688</v>
      </c>
      <c r="C56" s="8">
        <v>200</v>
      </c>
      <c r="E56" s="381"/>
      <c r="F56" s="382"/>
      <c r="G56" s="382"/>
      <c r="M56" s="8" t="s">
        <v>688</v>
      </c>
      <c r="N56" s="8">
        <v>215</v>
      </c>
      <c r="P56" s="381"/>
      <c r="Q56" s="382"/>
    </row>
    <row r="57" spans="2:21" s="8" customFormat="1">
      <c r="B57" s="8" t="s">
        <v>689</v>
      </c>
      <c r="C57" s="419">
        <v>0.7</v>
      </c>
      <c r="E57" s="381"/>
      <c r="F57" s="382"/>
      <c r="G57" s="382"/>
      <c r="M57" s="8" t="s">
        <v>689</v>
      </c>
      <c r="N57" s="419">
        <v>0.45</v>
      </c>
      <c r="P57" s="381"/>
      <c r="Q57" s="382"/>
    </row>
    <row r="58" spans="2:21" s="8" customFormat="1">
      <c r="E58" s="381"/>
      <c r="F58" s="382"/>
      <c r="G58" s="382"/>
      <c r="P58" s="381"/>
      <c r="Q58" s="382"/>
    </row>
    <row r="59" spans="2:21">
      <c r="B59" s="8" t="s">
        <v>668</v>
      </c>
      <c r="M59" s="8" t="s">
        <v>668</v>
      </c>
    </row>
    <row r="60" spans="2:21">
      <c r="B60" s="8" t="s">
        <v>669</v>
      </c>
      <c r="C60" s="420">
        <f>F$53*E$52*H52*C$57</f>
        <v>8426.9309090909082</v>
      </c>
      <c r="M60" s="8" t="s">
        <v>669</v>
      </c>
      <c r="N60" s="420">
        <f>Q$53*P$52*S52*N$57</f>
        <v>2707.4675543478265</v>
      </c>
    </row>
    <row r="61" spans="2:21">
      <c r="B61" s="8" t="s">
        <v>670</v>
      </c>
      <c r="C61" s="420">
        <f t="shared" ref="C61" si="10">F$53*E$52*H53*C$57</f>
        <v>500.05963636363623</v>
      </c>
      <c r="M61" s="8" t="s">
        <v>670</v>
      </c>
      <c r="N61" s="420">
        <f t="shared" ref="N61" si="11">Q$53*P$52*S53*N$57</f>
        <v>510.84293478260872</v>
      </c>
    </row>
    <row r="62" spans="2:21">
      <c r="B62" s="8" t="s">
        <v>671</v>
      </c>
      <c r="C62" s="420">
        <f>F$53*E$52*H54*C$57</f>
        <v>240.76945454545452</v>
      </c>
      <c r="M62" s="8" t="s">
        <v>671</v>
      </c>
      <c r="N62" s="420">
        <f>Q$53*P$52*S54*N$57</f>
        <v>1481.4445108695654</v>
      </c>
    </row>
    <row r="63" spans="2:21">
      <c r="B63" s="8" t="s">
        <v>672</v>
      </c>
      <c r="C63" s="420">
        <f>F$53*E$52*H52*(1-C$57)</f>
        <v>3611.5418181818186</v>
      </c>
      <c r="M63" s="8" t="s">
        <v>672</v>
      </c>
      <c r="N63" s="420">
        <f>Q$53*P$52*S52*(1-N$57)</f>
        <v>3309.1270108695662</v>
      </c>
    </row>
    <row r="64" spans="2:21">
      <c r="B64" s="8" t="s">
        <v>673</v>
      </c>
      <c r="C64" s="420">
        <f>F$53*E$52*H53*(1-C$57)</f>
        <v>214.31127272727272</v>
      </c>
      <c r="M64" s="8" t="s">
        <v>673</v>
      </c>
      <c r="N64" s="420">
        <f t="shared" ref="N64:N65" si="12">Q$53*P$52*S53*(1-N$57)</f>
        <v>624.36358695652177</v>
      </c>
    </row>
    <row r="65" spans="2:14">
      <c r="B65" s="8" t="s">
        <v>674</v>
      </c>
      <c r="C65" s="420">
        <f>F$53*E$52*H54*(1-C$57)</f>
        <v>103.1869090909091</v>
      </c>
      <c r="M65" s="8" t="s">
        <v>674</v>
      </c>
      <c r="N65" s="420">
        <f t="shared" si="12"/>
        <v>1810.6544021739135</v>
      </c>
    </row>
    <row r="66" spans="2:14">
      <c r="B66" s="8"/>
      <c r="M66" s="8"/>
    </row>
    <row r="67" spans="2:14">
      <c r="B67" s="8" t="s">
        <v>681</v>
      </c>
      <c r="C67" s="420">
        <f>F$53*E$53*H52*C$57</f>
        <v>1338.3949090909091</v>
      </c>
      <c r="M67" s="8" t="s">
        <v>681</v>
      </c>
      <c r="N67" s="420">
        <f>Q$53*P$53*S52*N$57</f>
        <v>349.35065217391303</v>
      </c>
    </row>
    <row r="68" spans="2:14">
      <c r="B68" s="8" t="s">
        <v>682</v>
      </c>
      <c r="C68" s="420">
        <f t="shared" ref="C68:C69" si="13">F$53*E$53*H53*C$57</f>
        <v>79.421236363636353</v>
      </c>
      <c r="M68" s="8" t="s">
        <v>682</v>
      </c>
      <c r="N68" s="420">
        <f t="shared" ref="N68:N69" si="14">Q$53*P$53*S53*N$57</f>
        <v>65.915217391304338</v>
      </c>
    </row>
    <row r="69" spans="2:14">
      <c r="B69" s="8" t="s">
        <v>683</v>
      </c>
      <c r="C69" s="420">
        <f t="shared" si="13"/>
        <v>38.239854545454541</v>
      </c>
      <c r="M69" s="8" t="s">
        <v>683</v>
      </c>
      <c r="N69" s="420">
        <f t="shared" si="14"/>
        <v>191.15413043478262</v>
      </c>
    </row>
    <row r="70" spans="2:14">
      <c r="B70" s="8" t="s">
        <v>684</v>
      </c>
      <c r="C70" s="420">
        <f>F$53*E$53*H52*(1-C$57)</f>
        <v>573.5978181818183</v>
      </c>
      <c r="M70" s="8" t="s">
        <v>684</v>
      </c>
      <c r="N70" s="420">
        <f>Q$53*P$53*S52*(1-N$57)</f>
        <v>426.98413043478263</v>
      </c>
    </row>
    <row r="71" spans="2:14">
      <c r="B71" s="8" t="s">
        <v>685</v>
      </c>
      <c r="C71" s="420">
        <f t="shared" ref="C71:C72" si="15">F$53*E$53*H53*(1-C$57)</f>
        <v>34.037672727272735</v>
      </c>
      <c r="M71" s="8" t="s">
        <v>685</v>
      </c>
      <c r="N71" s="420">
        <f t="shared" ref="N71:N72" si="16">Q$53*P$53*S53*(1-N$57)</f>
        <v>80.563043478260866</v>
      </c>
    </row>
    <row r="72" spans="2:14">
      <c r="B72" s="8" t="s">
        <v>686</v>
      </c>
      <c r="C72" s="420">
        <f t="shared" si="15"/>
        <v>16.388509090909093</v>
      </c>
      <c r="M72" s="8" t="s">
        <v>686</v>
      </c>
      <c r="N72" s="420">
        <f t="shared" si="16"/>
        <v>233.63282608695653</v>
      </c>
    </row>
    <row r="74" spans="2:14">
      <c r="B74" s="8" t="s">
        <v>675</v>
      </c>
      <c r="C74" s="420">
        <f>F$53*E$54*H52*C$57</f>
        <v>8426.9309090909082</v>
      </c>
      <c r="M74" s="8" t="s">
        <v>675</v>
      </c>
      <c r="N74" s="420">
        <f>Q$53*P$54*S52*N$57</f>
        <v>1164.5021739130434</v>
      </c>
    </row>
    <row r="75" spans="2:14">
      <c r="B75" s="8" t="s">
        <v>676</v>
      </c>
      <c r="C75" s="420">
        <f t="shared" ref="C75:C76" si="17">F$53*E$54*H53*C$57</f>
        <v>500.05963636363623</v>
      </c>
      <c r="M75" s="8" t="s">
        <v>676</v>
      </c>
      <c r="N75" s="420">
        <f t="shared" ref="N75:N76" si="18">Q$53*P$54*S53*N$57</f>
        <v>219.71739130434781</v>
      </c>
    </row>
    <row r="76" spans="2:14">
      <c r="B76" s="8" t="s">
        <v>677</v>
      </c>
      <c r="C76" s="420">
        <f t="shared" si="17"/>
        <v>240.76945454545452</v>
      </c>
      <c r="M76" s="8" t="s">
        <v>677</v>
      </c>
      <c r="N76" s="420">
        <f t="shared" si="18"/>
        <v>637.1804347826087</v>
      </c>
    </row>
    <row r="77" spans="2:14">
      <c r="B77" s="8" t="s">
        <v>678</v>
      </c>
      <c r="C77" s="420">
        <f>F$53*E$54*H52*(1-C$57)</f>
        <v>3611.5418181818186</v>
      </c>
      <c r="M77" s="8" t="s">
        <v>678</v>
      </c>
      <c r="N77" s="420">
        <f>Q$53*P$54*S52*(1-N$57)</f>
        <v>1423.2804347826088</v>
      </c>
    </row>
    <row r="78" spans="2:14">
      <c r="B78" s="8" t="s">
        <v>679</v>
      </c>
      <c r="C78" s="420">
        <f t="shared" ref="C78:C79" si="19">F$53*E$54*H53*(1-C$57)</f>
        <v>214.31127272727272</v>
      </c>
      <c r="M78" s="8" t="s">
        <v>679</v>
      </c>
      <c r="N78" s="420">
        <f t="shared" ref="N78:N79" si="20">Q$53*P$54*S53*(1-N$57)</f>
        <v>268.54347826086956</v>
      </c>
    </row>
    <row r="79" spans="2:14">
      <c r="B79" s="8" t="s">
        <v>680</v>
      </c>
      <c r="C79" s="420">
        <f t="shared" si="19"/>
        <v>103.1869090909091</v>
      </c>
      <c r="M79" s="8" t="s">
        <v>680</v>
      </c>
      <c r="N79" s="420">
        <f t="shared" si="20"/>
        <v>778.77608695652179</v>
      </c>
    </row>
    <row r="82" spans="1:16" ht="10.5">
      <c r="B82" s="283" t="s">
        <v>450</v>
      </c>
      <c r="C82" s="281"/>
      <c r="D82" s="282"/>
      <c r="H82" s="67"/>
    </row>
    <row r="83" spans="1:16">
      <c r="B83" s="282" t="str">
        <f>nmLOB1</f>
        <v>Riverside</v>
      </c>
      <c r="C83" s="284">
        <v>2500</v>
      </c>
      <c r="D83" s="281" t="s">
        <v>1965</v>
      </c>
      <c r="H83" s="8"/>
      <c r="I83" s="381"/>
      <c r="J83" s="382"/>
    </row>
    <row r="84" spans="1:16">
      <c r="B84" s="282" t="str">
        <f>nmLOB2</f>
        <v>Pleasentville</v>
      </c>
      <c r="C84" s="284">
        <v>1700</v>
      </c>
      <c r="D84" s="281" t="s">
        <v>1966</v>
      </c>
      <c r="H84" s="8"/>
      <c r="I84" s="381"/>
      <c r="J84" s="382"/>
    </row>
    <row r="85" spans="1:16">
      <c r="H85" s="8"/>
      <c r="I85" s="381"/>
      <c r="J85" s="382"/>
    </row>
    <row r="86" spans="1:16">
      <c r="H86" s="8"/>
      <c r="I86" s="381"/>
      <c r="J86" s="382"/>
    </row>
    <row r="88" spans="1:16" s="146" customFormat="1">
      <c r="A88" s="147" t="s">
        <v>442</v>
      </c>
      <c r="C88" s="147"/>
    </row>
    <row r="89" spans="1:16" s="181" customFormat="1">
      <c r="C89" s="133"/>
    </row>
    <row r="90" spans="1:16" s="181" customFormat="1" ht="10.5">
      <c r="A90" s="266"/>
      <c r="B90" s="267" t="str">
        <f>nmLOB1</f>
        <v>Riverside</v>
      </c>
      <c r="C90" s="268"/>
      <c r="D90" s="266"/>
      <c r="E90" s="266"/>
      <c r="F90" s="266"/>
      <c r="G90" s="266"/>
      <c r="H90" s="266"/>
      <c r="I90" s="266"/>
      <c r="J90" s="266"/>
      <c r="K90" s="266"/>
      <c r="L90" s="266"/>
      <c r="M90" s="266"/>
    </row>
    <row r="91" spans="1:16" s="269" customFormat="1">
      <c r="C91" s="270" t="s">
        <v>443</v>
      </c>
      <c r="D91" s="269" t="s">
        <v>444</v>
      </c>
      <c r="I91" s="133" t="s">
        <v>449</v>
      </c>
    </row>
    <row r="92" spans="1:16" s="181" customFormat="1">
      <c r="B92" s="181">
        <v>1</v>
      </c>
      <c r="C92" s="271" t="s">
        <v>4354</v>
      </c>
      <c r="D92" s="272">
        <v>-1</v>
      </c>
      <c r="E92" s="205">
        <v>10</v>
      </c>
      <c r="F92" s="205"/>
      <c r="G92" s="205"/>
      <c r="P92" s="269"/>
    </row>
    <row r="93" spans="1:16" s="181" customFormat="1">
      <c r="B93" s="181">
        <v>2</v>
      </c>
      <c r="C93" s="273" t="s">
        <v>4352</v>
      </c>
      <c r="D93" s="272">
        <v>1</v>
      </c>
      <c r="E93" s="205">
        <v>6</v>
      </c>
      <c r="F93" s="205"/>
      <c r="G93" s="205"/>
      <c r="P93" s="269"/>
    </row>
    <row r="94" spans="1:16" s="181" customFormat="1">
      <c r="B94" s="181">
        <v>3</v>
      </c>
      <c r="C94" s="273" t="s">
        <v>490</v>
      </c>
      <c r="D94" s="272">
        <v>1</v>
      </c>
      <c r="E94" s="205">
        <v>9</v>
      </c>
      <c r="F94" s="205"/>
      <c r="G94" s="205"/>
      <c r="P94" s="269"/>
    </row>
    <row r="95" spans="1:16" s="181" customFormat="1">
      <c r="B95" s="181">
        <v>4</v>
      </c>
      <c r="C95" s="273"/>
      <c r="D95" s="272">
        <v>1</v>
      </c>
      <c r="E95" s="205">
        <v>7</v>
      </c>
      <c r="F95" s="205"/>
      <c r="G95" s="205"/>
      <c r="H95" s="251" t="s">
        <v>445</v>
      </c>
      <c r="P95" s="269"/>
    </row>
    <row r="96" spans="1:16" s="181" customFormat="1">
      <c r="B96" s="181">
        <v>5</v>
      </c>
      <c r="C96" s="273"/>
      <c r="D96" s="272">
        <v>1</v>
      </c>
      <c r="E96" s="205">
        <v>8</v>
      </c>
      <c r="F96" s="205"/>
      <c r="G96" s="205"/>
      <c r="P96" s="269"/>
    </row>
    <row r="97" spans="2:16" s="181" customFormat="1">
      <c r="B97" s="181">
        <v>6</v>
      </c>
      <c r="C97" s="273"/>
      <c r="D97" s="272">
        <v>1</v>
      </c>
      <c r="E97" s="205">
        <v>5</v>
      </c>
      <c r="F97" s="205"/>
      <c r="G97" s="205"/>
      <c r="P97" s="269"/>
    </row>
    <row r="98" spans="2:16" s="181" customFormat="1">
      <c r="B98" s="181">
        <v>7</v>
      </c>
      <c r="C98" s="273"/>
      <c r="D98" s="272">
        <v>1</v>
      </c>
      <c r="E98" s="205">
        <v>4</v>
      </c>
      <c r="F98" s="205"/>
      <c r="G98" s="205"/>
      <c r="P98" s="269"/>
    </row>
    <row r="99" spans="2:16" s="181" customFormat="1">
      <c r="B99" s="181">
        <v>8</v>
      </c>
      <c r="C99" s="273"/>
      <c r="D99" s="272">
        <v>1</v>
      </c>
      <c r="E99" s="205"/>
      <c r="F99" s="205"/>
      <c r="G99" s="205"/>
      <c r="P99" s="269"/>
    </row>
    <row r="100" spans="2:16" s="181" customFormat="1">
      <c r="B100" s="181">
        <v>9</v>
      </c>
      <c r="C100" s="273"/>
      <c r="D100" s="272">
        <v>1</v>
      </c>
      <c r="E100" s="205"/>
      <c r="F100" s="205"/>
      <c r="G100" s="205"/>
      <c r="P100" s="269"/>
    </row>
    <row r="101" spans="2:16" s="181" customFormat="1">
      <c r="B101" s="181">
        <v>10</v>
      </c>
      <c r="C101" s="273"/>
      <c r="D101" s="272">
        <v>1</v>
      </c>
      <c r="E101" s="205"/>
      <c r="F101" s="205"/>
      <c r="G101" s="205"/>
      <c r="P101" s="269"/>
    </row>
    <row r="102" spans="2:16" s="181" customFormat="1">
      <c r="C102" s="133" t="s">
        <v>1971</v>
      </c>
      <c r="P102" s="269"/>
    </row>
    <row r="103" spans="2:16" s="181" customFormat="1">
      <c r="C103" s="133"/>
      <c r="P103" s="269"/>
    </row>
    <row r="104" spans="2:16" s="181" customFormat="1">
      <c r="B104" s="133"/>
      <c r="C104" s="133"/>
      <c r="P104" s="269"/>
    </row>
    <row r="105" spans="2:16" s="181" customFormat="1">
      <c r="B105" s="133"/>
      <c r="D105" s="133" t="s">
        <v>410</v>
      </c>
      <c r="E105" s="181" t="s">
        <v>411</v>
      </c>
      <c r="F105" s="181" t="s">
        <v>412</v>
      </c>
      <c r="G105" s="181" t="s">
        <v>413</v>
      </c>
      <c r="H105" s="181" t="s">
        <v>414</v>
      </c>
      <c r="I105" s="181" t="s">
        <v>415</v>
      </c>
      <c r="J105" s="181" t="s">
        <v>416</v>
      </c>
      <c r="P105" s="269"/>
    </row>
    <row r="106" spans="2:16" s="181" customFormat="1">
      <c r="C106" s="133" t="s">
        <v>447</v>
      </c>
      <c r="D106" s="274">
        <v>-0.01</v>
      </c>
      <c r="E106" s="274">
        <v>-5.0000000000000001E-3</v>
      </c>
      <c r="F106" s="275">
        <v>0</v>
      </c>
      <c r="G106" s="276">
        <v>5.0000000000000001E-3</v>
      </c>
      <c r="H106" s="276">
        <v>0.01</v>
      </c>
      <c r="I106" s="276">
        <v>0.01</v>
      </c>
      <c r="J106" s="276">
        <v>0.01</v>
      </c>
      <c r="K106" s="251"/>
      <c r="P106" s="269"/>
    </row>
    <row r="107" spans="2:16" s="181" customFormat="1">
      <c r="C107" s="133"/>
      <c r="D107" s="465">
        <f>E107*(1+D106)</f>
        <v>2462.625</v>
      </c>
      <c r="E107" s="465">
        <f>F107*(1+E106)</f>
        <v>2487.5</v>
      </c>
      <c r="F107" s="465">
        <f>xxLOB1BaseVolume*(1+F106)</f>
        <v>2500</v>
      </c>
      <c r="G107" s="465">
        <f>F107*(1+G106)</f>
        <v>2512.4999999999995</v>
      </c>
      <c r="H107" s="465">
        <f>G107*(1+H106)</f>
        <v>2537.6249999999995</v>
      </c>
      <c r="I107" s="465">
        <f t="shared" ref="I107:J107" si="21">H107*(1+I106)</f>
        <v>2563.0012499999993</v>
      </c>
      <c r="J107" s="465">
        <f t="shared" si="21"/>
        <v>2588.6312624999991</v>
      </c>
      <c r="L107" s="278"/>
      <c r="M107" s="278"/>
      <c r="N107" s="278"/>
      <c r="O107" s="278"/>
      <c r="P107" s="269"/>
    </row>
    <row r="108" spans="2:16" s="181" customFormat="1">
      <c r="C108" s="133"/>
      <c r="D108" s="277"/>
      <c r="E108" s="277"/>
      <c r="F108" s="277"/>
      <c r="G108" s="277"/>
      <c r="H108" s="277"/>
      <c r="I108" s="277"/>
      <c r="J108" s="277"/>
      <c r="L108" s="278"/>
      <c r="M108" s="278"/>
      <c r="N108" s="278"/>
      <c r="O108" s="278"/>
      <c r="P108" s="269"/>
    </row>
    <row r="109" spans="2:16" s="181" customFormat="1">
      <c r="C109" s="133"/>
      <c r="D109" s="277"/>
      <c r="E109" s="277"/>
      <c r="F109" s="277"/>
      <c r="G109" s="277"/>
      <c r="H109" s="277"/>
      <c r="I109" s="277"/>
      <c r="J109" s="277"/>
      <c r="L109" s="278"/>
      <c r="M109" s="278"/>
      <c r="N109" s="278"/>
      <c r="O109" s="278"/>
      <c r="P109" s="269"/>
    </row>
    <row r="110" spans="2:16" s="181" customFormat="1">
      <c r="C110" s="133"/>
      <c r="D110" s="277"/>
      <c r="E110" s="277"/>
      <c r="F110" s="277"/>
      <c r="G110" s="277"/>
      <c r="H110" s="277"/>
      <c r="I110" s="277"/>
      <c r="J110" s="277"/>
      <c r="L110" s="278"/>
      <c r="M110" s="278"/>
      <c r="N110" s="278"/>
      <c r="O110" s="278"/>
      <c r="P110" s="269"/>
    </row>
    <row r="111" spans="2:16" s="181" customFormat="1">
      <c r="C111" s="133"/>
      <c r="D111" s="277"/>
      <c r="E111" s="277"/>
      <c r="F111" s="277"/>
      <c r="G111" s="277"/>
      <c r="H111" s="277"/>
      <c r="I111" s="277"/>
      <c r="J111" s="277"/>
      <c r="L111" s="278"/>
      <c r="M111" s="278"/>
      <c r="N111" s="278"/>
      <c r="O111" s="278"/>
      <c r="P111" s="269"/>
    </row>
    <row r="112" spans="2:16" s="181" customFormat="1">
      <c r="C112" s="133"/>
      <c r="D112" s="277"/>
      <c r="E112" s="277"/>
      <c r="F112" s="277"/>
      <c r="G112" s="277"/>
      <c r="H112" s="277"/>
      <c r="I112" s="277"/>
      <c r="J112" s="277"/>
      <c r="L112" s="278"/>
      <c r="M112" s="278"/>
      <c r="N112" s="278"/>
      <c r="O112" s="278"/>
      <c r="P112" s="269"/>
    </row>
    <row r="113" spans="1:16" s="181" customFormat="1">
      <c r="C113" s="133"/>
      <c r="D113" s="277"/>
      <c r="E113" s="277"/>
      <c r="F113" s="277"/>
      <c r="G113" s="277"/>
      <c r="H113" s="277"/>
      <c r="I113" s="277"/>
      <c r="J113" s="277"/>
      <c r="L113" s="278"/>
      <c r="M113" s="278"/>
      <c r="N113" s="278"/>
      <c r="O113" s="278"/>
      <c r="P113" s="269"/>
    </row>
    <row r="114" spans="1:16" s="182" customFormat="1">
      <c r="C114" s="279"/>
      <c r="D114" s="277"/>
      <c r="E114" s="277"/>
      <c r="F114" s="277"/>
      <c r="G114" s="277"/>
      <c r="H114" s="277"/>
      <c r="I114" s="277"/>
      <c r="J114" s="277"/>
      <c r="P114" s="269"/>
    </row>
    <row r="115" spans="1:16" s="181" customFormat="1">
      <c r="B115" s="133"/>
      <c r="C115" s="133" t="s">
        <v>448</v>
      </c>
      <c r="D115" s="199">
        <f>E115*(1+D106)</f>
        <v>7387.875</v>
      </c>
      <c r="E115" s="199">
        <f>F115*(1+E106)</f>
        <v>7462.5</v>
      </c>
      <c r="F115" s="199">
        <f>xxLOB1BaseVolume*xxNumOfTeams</f>
        <v>7500</v>
      </c>
      <c r="G115" s="199">
        <f>F115*(1+G106)</f>
        <v>7537.4999999999991</v>
      </c>
      <c r="H115" s="199">
        <f t="shared" ref="H115:J115" si="22">G115*(1+H106)</f>
        <v>7612.8749999999991</v>
      </c>
      <c r="I115" s="199">
        <f t="shared" si="22"/>
        <v>7689.0037499999989</v>
      </c>
      <c r="J115" s="199">
        <f t="shared" si="22"/>
        <v>7765.8937874999992</v>
      </c>
      <c r="K115" s="133" t="s">
        <v>1967</v>
      </c>
      <c r="L115" s="280"/>
      <c r="P115" s="269"/>
    </row>
    <row r="116" spans="1:16" s="181" customFormat="1">
      <c r="C116" s="133"/>
      <c r="P116" s="269"/>
    </row>
    <row r="117" spans="1:16" s="181" customFormat="1" ht="10.5">
      <c r="A117" s="266"/>
      <c r="B117" s="267" t="str">
        <f>nmProd2</f>
        <v>Recerts</v>
      </c>
      <c r="C117" s="268"/>
      <c r="D117" s="266"/>
      <c r="E117" s="266"/>
      <c r="F117" s="266"/>
      <c r="G117" s="266"/>
      <c r="H117" s="266"/>
      <c r="I117" s="266"/>
      <c r="J117" s="266"/>
      <c r="K117" s="266"/>
      <c r="L117" s="266"/>
      <c r="M117" s="266"/>
      <c r="P117" s="269"/>
    </row>
    <row r="118" spans="1:16" s="269" customFormat="1">
      <c r="C118" s="270" t="s">
        <v>443</v>
      </c>
      <c r="D118" s="269" t="s">
        <v>444</v>
      </c>
      <c r="I118" s="133" t="s">
        <v>449</v>
      </c>
    </row>
    <row r="119" spans="1:16" s="181" customFormat="1">
      <c r="B119" s="181">
        <v>1</v>
      </c>
      <c r="C119" s="271" t="s">
        <v>4354</v>
      </c>
      <c r="D119" s="272">
        <v>-1</v>
      </c>
      <c r="E119" s="205">
        <v>10</v>
      </c>
      <c r="F119" s="205"/>
      <c r="G119" s="205"/>
    </row>
    <row r="120" spans="1:16" s="181" customFormat="1">
      <c r="B120" s="181">
        <v>2</v>
      </c>
      <c r="C120" s="273" t="s">
        <v>4352</v>
      </c>
      <c r="D120" s="272">
        <v>1</v>
      </c>
      <c r="E120" s="205">
        <v>5</v>
      </c>
      <c r="F120" s="205"/>
      <c r="G120" s="205"/>
    </row>
    <row r="121" spans="1:16" s="181" customFormat="1">
      <c r="B121" s="181">
        <v>3</v>
      </c>
      <c r="C121" s="273" t="s">
        <v>490</v>
      </c>
      <c r="D121" s="272">
        <v>1</v>
      </c>
      <c r="E121" s="205">
        <v>8</v>
      </c>
      <c r="F121" s="205"/>
      <c r="G121" s="205"/>
    </row>
    <row r="122" spans="1:16" s="181" customFormat="1">
      <c r="B122" s="181">
        <v>4</v>
      </c>
      <c r="C122" s="273"/>
      <c r="D122" s="272">
        <v>1</v>
      </c>
      <c r="E122" s="205">
        <v>6</v>
      </c>
      <c r="F122" s="205"/>
      <c r="G122" s="205"/>
      <c r="H122" s="251" t="s">
        <v>445</v>
      </c>
    </row>
    <row r="123" spans="1:16" s="181" customFormat="1">
      <c r="B123" s="181">
        <v>5</v>
      </c>
      <c r="C123" s="273"/>
      <c r="D123" s="272">
        <v>1</v>
      </c>
      <c r="E123" s="205">
        <v>9</v>
      </c>
      <c r="F123" s="205"/>
      <c r="G123" s="205"/>
    </row>
    <row r="124" spans="1:16" s="181" customFormat="1">
      <c r="B124" s="181">
        <v>6</v>
      </c>
      <c r="C124" s="273"/>
      <c r="D124" s="272">
        <v>1</v>
      </c>
      <c r="E124" s="205">
        <v>7</v>
      </c>
      <c r="F124" s="205"/>
      <c r="G124" s="205"/>
    </row>
    <row r="125" spans="1:16" s="181" customFormat="1">
      <c r="B125" s="181">
        <v>7</v>
      </c>
      <c r="C125" s="273"/>
      <c r="D125" s="272">
        <v>1</v>
      </c>
      <c r="E125" s="205">
        <v>4</v>
      </c>
      <c r="F125" s="205"/>
      <c r="G125" s="205"/>
    </row>
    <row r="126" spans="1:16" s="181" customFormat="1">
      <c r="B126" s="181">
        <v>8</v>
      </c>
      <c r="C126" s="273"/>
      <c r="D126" s="272">
        <v>1</v>
      </c>
      <c r="E126" s="205"/>
      <c r="F126" s="205"/>
      <c r="G126" s="205"/>
    </row>
    <row r="127" spans="1:16" s="181" customFormat="1">
      <c r="B127" s="181">
        <v>9</v>
      </c>
      <c r="C127" s="273"/>
      <c r="D127" s="272">
        <v>1</v>
      </c>
      <c r="E127" s="205"/>
      <c r="F127" s="205"/>
      <c r="G127" s="205"/>
    </row>
    <row r="128" spans="1:16" s="181" customFormat="1">
      <c r="B128" s="181">
        <v>10</v>
      </c>
      <c r="C128" s="273"/>
      <c r="D128" s="272">
        <v>1</v>
      </c>
      <c r="E128" s="205"/>
      <c r="F128" s="205"/>
      <c r="G128" s="205"/>
      <c r="K128" s="181" t="s">
        <v>408</v>
      </c>
    </row>
    <row r="129" spans="2:15" s="181" customFormat="1">
      <c r="C129" s="133" t="s">
        <v>1972</v>
      </c>
    </row>
    <row r="130" spans="2:15" s="181" customFormat="1">
      <c r="C130" s="133"/>
    </row>
    <row r="131" spans="2:15" s="181" customFormat="1">
      <c r="B131" s="133" t="s">
        <v>446</v>
      </c>
      <c r="C131" s="133"/>
    </row>
    <row r="132" spans="2:15" s="181" customFormat="1">
      <c r="B132" s="133"/>
      <c r="D132" s="133" t="s">
        <v>410</v>
      </c>
      <c r="E132" s="181" t="s">
        <v>411</v>
      </c>
      <c r="F132" s="181" t="s">
        <v>412</v>
      </c>
      <c r="G132" s="181" t="s">
        <v>413</v>
      </c>
      <c r="H132" s="181" t="s">
        <v>414</v>
      </c>
      <c r="I132" s="181" t="s">
        <v>415</v>
      </c>
      <c r="J132" s="181" t="s">
        <v>416</v>
      </c>
    </row>
    <row r="133" spans="2:15" s="181" customFormat="1">
      <c r="C133" s="133" t="s">
        <v>447</v>
      </c>
      <c r="D133" s="274">
        <v>-0.01</v>
      </c>
      <c r="E133" s="274">
        <v>-5.0000000000000001E-3</v>
      </c>
      <c r="F133" s="275">
        <v>0</v>
      </c>
      <c r="G133" s="276">
        <v>0.03</v>
      </c>
      <c r="H133" s="276">
        <v>0.04</v>
      </c>
      <c r="I133" s="276">
        <v>0.05</v>
      </c>
      <c r="J133" s="276">
        <v>0.05</v>
      </c>
    </row>
    <row r="134" spans="2:15" s="181" customFormat="1">
      <c r="C134" s="133"/>
      <c r="D134" s="465">
        <f>E134*(1+D133)</f>
        <v>1674.585</v>
      </c>
      <c r="E134" s="465">
        <f>F134*(1+E133)</f>
        <v>1691.5</v>
      </c>
      <c r="F134" s="465">
        <f>xxLOB2BaseVolume*(1+F133)</f>
        <v>1700</v>
      </c>
      <c r="G134" s="465">
        <f>F134*(1+G133)</f>
        <v>1751</v>
      </c>
      <c r="H134" s="465">
        <f>G134*(1+H133)</f>
        <v>1821.04</v>
      </c>
      <c r="I134" s="465">
        <f t="shared" ref="I134" si="23">H134*(1+I133)</f>
        <v>1912.0920000000001</v>
      </c>
      <c r="J134" s="465">
        <f t="shared" ref="J134" si="24">I134*(1+J133)</f>
        <v>2007.6966000000002</v>
      </c>
      <c r="L134" s="278"/>
      <c r="M134" s="278"/>
      <c r="N134" s="278"/>
      <c r="O134" s="278"/>
    </row>
    <row r="135" spans="2:15" s="181" customFormat="1">
      <c r="C135" s="133"/>
      <c r="D135" s="277"/>
      <c r="E135" s="277"/>
      <c r="F135" s="277"/>
      <c r="G135" s="277"/>
      <c r="H135" s="277"/>
      <c r="I135" s="277"/>
      <c r="J135" s="277"/>
      <c r="L135" s="278"/>
      <c r="M135" s="278"/>
      <c r="N135" s="278"/>
      <c r="O135" s="278"/>
    </row>
    <row r="136" spans="2:15" s="181" customFormat="1">
      <c r="B136" s="133"/>
      <c r="C136" s="133" t="s">
        <v>13</v>
      </c>
      <c r="D136" s="199">
        <f>E136*(1+D133)</f>
        <v>5023.7550000000001</v>
      </c>
      <c r="E136" s="199">
        <f>F136*(1+E133)</f>
        <v>5074.5</v>
      </c>
      <c r="F136" s="199">
        <f>xxLOB2BaseVolume*xxNumOfTeams</f>
        <v>5100</v>
      </c>
      <c r="G136" s="199">
        <f>F136*(1+G133)</f>
        <v>5253</v>
      </c>
      <c r="H136" s="199">
        <f t="shared" ref="H136:J136" si="25">G136*(1+H133)</f>
        <v>5463.12</v>
      </c>
      <c r="I136" s="199">
        <f t="shared" si="25"/>
        <v>5736.2759999999998</v>
      </c>
      <c r="J136" s="199">
        <f t="shared" si="25"/>
        <v>6023.0897999999997</v>
      </c>
      <c r="K136" s="133" t="s">
        <v>1968</v>
      </c>
      <c r="L136" s="280"/>
    </row>
    <row r="137" spans="2:15" s="181" customFormat="1">
      <c r="C137" s="13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3:M52"/>
  <sheetViews>
    <sheetView workbookViewId="0">
      <selection activeCell="C51" sqref="C51:E51"/>
    </sheetView>
  </sheetViews>
  <sheetFormatPr defaultRowHeight="10"/>
  <cols>
    <col min="1" max="1" width="13.6640625" customWidth="1"/>
    <col min="2" max="2" width="29" customWidth="1"/>
    <col min="3" max="5" width="11.33203125" customWidth="1"/>
  </cols>
  <sheetData>
    <row r="3" spans="1:13" s="181" customFormat="1">
      <c r="A3" s="147"/>
      <c r="B3" s="147" t="s">
        <v>4659</v>
      </c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</row>
    <row r="5" spans="1:13">
      <c r="B5" t="s">
        <v>4661</v>
      </c>
    </row>
    <row r="6" spans="1:13">
      <c r="B6" t="s">
        <v>4662</v>
      </c>
    </row>
    <row r="7" spans="1:13">
      <c r="B7" t="s">
        <v>4663</v>
      </c>
    </row>
    <row r="9" spans="1:13">
      <c r="C9" s="593" t="s">
        <v>410</v>
      </c>
      <c r="D9" s="593" t="s">
        <v>411</v>
      </c>
      <c r="E9" s="593" t="s">
        <v>412</v>
      </c>
    </row>
    <row r="10" spans="1:13">
      <c r="B10" t="s">
        <v>4670</v>
      </c>
      <c r="C10" s="594">
        <v>0.42</v>
      </c>
      <c r="D10" s="594">
        <v>0.44</v>
      </c>
      <c r="E10" s="594">
        <f>D43</f>
        <v>0.45</v>
      </c>
    </row>
    <row r="11" spans="1:13">
      <c r="C11" s="596" t="s">
        <v>4686</v>
      </c>
      <c r="D11" s="596" t="s">
        <v>4687</v>
      </c>
      <c r="E11" s="596" t="s">
        <v>4688</v>
      </c>
    </row>
    <row r="12" spans="1:13">
      <c r="B12" t="s">
        <v>4671</v>
      </c>
      <c r="C12" s="594">
        <v>0.19</v>
      </c>
      <c r="D12" s="594">
        <v>0.17</v>
      </c>
      <c r="E12" s="594">
        <f>D44</f>
        <v>0.18</v>
      </c>
    </row>
    <row r="13" spans="1:13">
      <c r="C13" s="596" t="s">
        <v>4689</v>
      </c>
      <c r="D13" s="596" t="s">
        <v>4690</v>
      </c>
      <c r="E13" s="596" t="s">
        <v>4691</v>
      </c>
    </row>
    <row r="15" spans="1:13">
      <c r="B15" s="596"/>
    </row>
    <row r="16" spans="1:13">
      <c r="B16" s="595"/>
    </row>
    <row r="17" spans="1:13">
      <c r="B17" s="595"/>
    </row>
    <row r="21" spans="1:13" s="181" customFormat="1">
      <c r="A21" s="147"/>
      <c r="B21" s="147" t="s">
        <v>4664</v>
      </c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</row>
    <row r="23" spans="1:13">
      <c r="B23" t="s">
        <v>4666</v>
      </c>
    </row>
    <row r="24" spans="1:13">
      <c r="B24" t="s">
        <v>4665</v>
      </c>
    </row>
    <row r="25" spans="1:13">
      <c r="B25" t="s">
        <v>4667</v>
      </c>
    </row>
    <row r="26" spans="1:13">
      <c r="B26" t="s">
        <v>4668</v>
      </c>
    </row>
    <row r="28" spans="1:13">
      <c r="C28" s="593" t="s">
        <v>410</v>
      </c>
      <c r="D28" s="593" t="s">
        <v>411</v>
      </c>
      <c r="E28" s="593" t="s">
        <v>412</v>
      </c>
    </row>
    <row r="29" spans="1:13">
      <c r="B29" t="s">
        <v>4670</v>
      </c>
      <c r="C29" s="594">
        <v>0.22</v>
      </c>
      <c r="D29" s="594">
        <v>0.21</v>
      </c>
      <c r="E29" s="594">
        <f>E43</f>
        <v>0.19999999999999996</v>
      </c>
    </row>
    <row r="30" spans="1:13">
      <c r="C30" s="596" t="s">
        <v>4692</v>
      </c>
      <c r="D30" s="596" t="s">
        <v>4693</v>
      </c>
      <c r="E30" s="596" t="s">
        <v>4694</v>
      </c>
    </row>
    <row r="31" spans="1:13">
      <c r="B31" t="s">
        <v>4671</v>
      </c>
      <c r="C31" s="594">
        <v>0.45</v>
      </c>
      <c r="D31" s="594">
        <v>0.46</v>
      </c>
      <c r="E31" s="594">
        <f>E44</f>
        <v>0.49</v>
      </c>
    </row>
    <row r="32" spans="1:13">
      <c r="C32" s="596" t="s">
        <v>4695</v>
      </c>
      <c r="D32" s="596" t="s">
        <v>4696</v>
      </c>
      <c r="E32" s="596" t="s">
        <v>4697</v>
      </c>
    </row>
    <row r="40" spans="1:13" s="181" customFormat="1">
      <c r="A40" s="147"/>
      <c r="B40" s="147" t="s">
        <v>4669</v>
      </c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</row>
    <row r="42" spans="1:13">
      <c r="B42" t="s">
        <v>4672</v>
      </c>
      <c r="C42" s="593" t="s">
        <v>4660</v>
      </c>
      <c r="D42" s="593" t="s">
        <v>4659</v>
      </c>
      <c r="E42" s="593" t="s">
        <v>4664</v>
      </c>
    </row>
    <row r="43" spans="1:13">
      <c r="B43" t="s">
        <v>4670</v>
      </c>
      <c r="C43" s="594">
        <v>0.35</v>
      </c>
      <c r="D43" s="594">
        <v>0.45</v>
      </c>
      <c r="E43" s="594">
        <f>1-(C43+D43)</f>
        <v>0.19999999999999996</v>
      </c>
    </row>
    <row r="44" spans="1:13">
      <c r="B44" t="s">
        <v>4671</v>
      </c>
      <c r="C44" s="594">
        <v>0.33</v>
      </c>
      <c r="D44" s="594">
        <v>0.18</v>
      </c>
      <c r="E44" s="594">
        <f>1-(C44+D44)</f>
        <v>0.49</v>
      </c>
    </row>
    <row r="46" spans="1:13">
      <c r="B46" t="s">
        <v>4673</v>
      </c>
      <c r="C46" s="593" t="s">
        <v>410</v>
      </c>
      <c r="D46" s="593" t="s">
        <v>411</v>
      </c>
      <c r="E46" s="593" t="s">
        <v>412</v>
      </c>
    </row>
    <row r="47" spans="1:13">
      <c r="B47" t="s">
        <v>4670</v>
      </c>
      <c r="C47" s="594">
        <f>1-(C10+C29)</f>
        <v>0.36</v>
      </c>
      <c r="D47" s="594">
        <f>1-(D10+D29)</f>
        <v>0.35</v>
      </c>
      <c r="E47" s="594">
        <f>1-(E10+E29)</f>
        <v>0.35000000000000009</v>
      </c>
    </row>
    <row r="48" spans="1:13">
      <c r="B48" t="s">
        <v>4671</v>
      </c>
      <c r="C48" s="594">
        <f>1-(C12+C31)</f>
        <v>0.36</v>
      </c>
      <c r="D48" s="594">
        <f t="shared" ref="D48" si="0">1-(D12+D31)</f>
        <v>0.37</v>
      </c>
      <c r="E48" s="594">
        <f>1-(E12+E31)</f>
        <v>0.33000000000000007</v>
      </c>
    </row>
    <row r="51" spans="3:5">
      <c r="C51" s="382">
        <f>E47</f>
        <v>0.35000000000000009</v>
      </c>
      <c r="D51" s="382">
        <f>tlOutputComp1LOB1MSR0</f>
        <v>0.45</v>
      </c>
      <c r="E51" s="382">
        <f>tlOutputComp2LOB1MSR0</f>
        <v>0.19999999999999996</v>
      </c>
    </row>
    <row r="52" spans="3:5">
      <c r="C52" s="382">
        <f>E48</f>
        <v>0.33000000000000007</v>
      </c>
      <c r="D52" s="382">
        <f>tlOutputComp1LOB2MSR0</f>
        <v>0.18</v>
      </c>
      <c r="E52" s="382">
        <f>tlOutputComp2LOB2MSR0</f>
        <v>0.49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2:V117"/>
  <sheetViews>
    <sheetView topLeftCell="A63" workbookViewId="0">
      <selection activeCell="F101" sqref="F101"/>
    </sheetView>
  </sheetViews>
  <sheetFormatPr defaultRowHeight="10"/>
  <cols>
    <col min="1" max="1" width="2.44140625" customWidth="1"/>
    <col min="2" max="11" width="18.109375" customWidth="1"/>
    <col min="12" max="12" width="2.33203125" customWidth="1"/>
    <col min="13" max="23" width="18.109375" customWidth="1"/>
  </cols>
  <sheetData>
    <row r="2" spans="1:22" s="70" customFormat="1">
      <c r="A2" s="70" t="s">
        <v>658</v>
      </c>
      <c r="G2" s="71"/>
      <c r="H2" s="71"/>
      <c r="I2" s="71"/>
      <c r="J2" s="71"/>
      <c r="K2" s="71"/>
      <c r="L2" s="71"/>
      <c r="M2" s="71"/>
      <c r="N2" s="71"/>
      <c r="O2" s="71"/>
      <c r="P2" s="71"/>
    </row>
    <row r="3" spans="1:22" s="383" customFormat="1">
      <c r="A3" s="385" t="str">
        <f>nmLOB1 &amp; " - Modeled after Glen Burnie, MD, suburb of large city"</f>
        <v>Riverside - Modeled after Glen Burnie, MD, suburb of large city</v>
      </c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94" t="str">
        <f>nmLOB2 &amp; " - Modeled after Dallas, GA, small rural town"</f>
        <v>Pleasentville - Modeled after Dallas, GA, small rural town</v>
      </c>
      <c r="M3" s="395"/>
      <c r="N3" s="395"/>
      <c r="O3" s="395"/>
      <c r="P3" s="395"/>
      <c r="Q3" s="395"/>
      <c r="R3" s="395"/>
      <c r="S3" s="395"/>
      <c r="T3" s="395"/>
      <c r="U3" s="395"/>
      <c r="V3" s="395"/>
    </row>
    <row r="4" spans="1:22" s="383" customFormat="1">
      <c r="A4" s="409" t="s">
        <v>665</v>
      </c>
      <c r="C4" s="405"/>
      <c r="D4" s="405"/>
      <c r="E4" s="405"/>
      <c r="F4" s="405"/>
      <c r="G4" s="405"/>
      <c r="H4" s="405"/>
      <c r="I4" s="405"/>
      <c r="J4" s="405"/>
      <c r="K4" s="405"/>
      <c r="L4" s="409" t="s">
        <v>666</v>
      </c>
      <c r="N4" s="405"/>
      <c r="O4" s="405"/>
      <c r="P4" s="405"/>
      <c r="Q4" s="405"/>
      <c r="R4" s="405"/>
      <c r="S4" s="384"/>
    </row>
    <row r="5" spans="1:22" s="380" customFormat="1" ht="20">
      <c r="B5" s="380" t="s">
        <v>625</v>
      </c>
      <c r="C5" s="406" t="s">
        <v>704</v>
      </c>
      <c r="D5" s="406" t="s">
        <v>632</v>
      </c>
      <c r="E5" s="406" t="s">
        <v>705</v>
      </c>
      <c r="F5" s="406" t="s">
        <v>634</v>
      </c>
      <c r="G5" s="406" t="s">
        <v>656</v>
      </c>
      <c r="H5" s="406" t="s">
        <v>657</v>
      </c>
      <c r="I5" s="380" t="s">
        <v>667</v>
      </c>
      <c r="K5" s="406"/>
      <c r="L5" s="406"/>
      <c r="M5" s="406" t="s">
        <v>625</v>
      </c>
      <c r="N5" s="406" t="s">
        <v>626</v>
      </c>
      <c r="O5" s="406" t="s">
        <v>632</v>
      </c>
      <c r="P5" s="406" t="s">
        <v>633</v>
      </c>
      <c r="Q5" s="406" t="s">
        <v>634</v>
      </c>
      <c r="R5" s="406" t="s">
        <v>656</v>
      </c>
      <c r="S5" s="406" t="s">
        <v>657</v>
      </c>
      <c r="T5" s="380" t="s">
        <v>667</v>
      </c>
      <c r="U5" s="406"/>
    </row>
    <row r="6" spans="1:22" s="8" customFormat="1">
      <c r="B6" s="8" t="s">
        <v>550</v>
      </c>
      <c r="C6" s="8">
        <v>28</v>
      </c>
      <c r="D6" s="8" t="s">
        <v>627</v>
      </c>
      <c r="E6" s="381">
        <v>5796</v>
      </c>
      <c r="F6" s="382">
        <f>E6/$E$9</f>
        <v>0.46416272923840796</v>
      </c>
      <c r="G6" s="404">
        <v>6.8</v>
      </c>
      <c r="H6" s="8">
        <f>ROUND(E6/G6,0)</f>
        <v>852</v>
      </c>
      <c r="I6" s="417">
        <v>61</v>
      </c>
      <c r="M6" s="8" t="s">
        <v>550</v>
      </c>
      <c r="N6" s="8">
        <v>32</v>
      </c>
      <c r="O6" s="8" t="s">
        <v>627</v>
      </c>
      <c r="P6" s="381">
        <v>2280</v>
      </c>
      <c r="Q6" s="382">
        <f>P6/$P$9</f>
        <v>0.64680851063829792</v>
      </c>
      <c r="R6" s="404">
        <v>9.3000000000000007</v>
      </c>
      <c r="S6" s="8">
        <f>ROUND(P6/R6,0)</f>
        <v>245</v>
      </c>
      <c r="T6" s="417">
        <f>I6*0.9</f>
        <v>54.9</v>
      </c>
      <c r="U6" s="396"/>
    </row>
    <row r="7" spans="1:22" s="8" customFormat="1">
      <c r="B7" s="8" t="s">
        <v>554</v>
      </c>
      <c r="C7" s="8">
        <v>30</v>
      </c>
      <c r="D7" s="8" t="s">
        <v>628</v>
      </c>
      <c r="E7" s="381">
        <v>925</v>
      </c>
      <c r="F7" s="382">
        <f>E7/$E$9</f>
        <v>7.4077040121726598E-2</v>
      </c>
      <c r="G7" s="404">
        <v>1.08</v>
      </c>
      <c r="H7" s="8">
        <f t="shared" ref="H7:H8" si="0">ROUND(E7/G7,0)</f>
        <v>856</v>
      </c>
      <c r="I7" s="417">
        <v>70</v>
      </c>
      <c r="M7" s="8" t="s">
        <v>554</v>
      </c>
      <c r="N7" s="8">
        <v>34</v>
      </c>
      <c r="O7" s="8" t="s">
        <v>628</v>
      </c>
      <c r="P7" s="381">
        <v>288</v>
      </c>
      <c r="Q7" s="382">
        <f>P7/$P$9</f>
        <v>8.1702127659574464E-2</v>
      </c>
      <c r="R7" s="404">
        <v>1.2</v>
      </c>
      <c r="S7" s="8">
        <f t="shared" ref="S7:S8" si="1">ROUND(P7/R7,0)</f>
        <v>240</v>
      </c>
      <c r="T7" s="417">
        <f t="shared" ref="T7:T8" si="2">I7*0.9</f>
        <v>63</v>
      </c>
      <c r="U7" s="396"/>
    </row>
    <row r="8" spans="1:22" s="8" customFormat="1">
      <c r="B8" s="8" t="s">
        <v>555</v>
      </c>
      <c r="C8" s="8">
        <v>25</v>
      </c>
      <c r="D8" s="8" t="s">
        <v>629</v>
      </c>
      <c r="E8" s="381">
        <v>5766</v>
      </c>
      <c r="F8" s="382">
        <f>E8/$E$9</f>
        <v>0.46176023063986549</v>
      </c>
      <c r="G8" s="404">
        <v>6.8</v>
      </c>
      <c r="H8" s="8">
        <f t="shared" si="0"/>
        <v>848</v>
      </c>
      <c r="I8" s="417">
        <v>81</v>
      </c>
      <c r="M8" s="8" t="s">
        <v>555</v>
      </c>
      <c r="N8" s="8">
        <v>35</v>
      </c>
      <c r="O8" s="8" t="s">
        <v>629</v>
      </c>
      <c r="P8" s="381">
        <v>957</v>
      </c>
      <c r="Q8" s="382">
        <f>P8/$P$9</f>
        <v>0.27148936170212767</v>
      </c>
      <c r="R8" s="404">
        <v>4</v>
      </c>
      <c r="S8" s="8">
        <f t="shared" si="1"/>
        <v>239</v>
      </c>
      <c r="T8" s="417">
        <f t="shared" si="2"/>
        <v>72.900000000000006</v>
      </c>
      <c r="U8" s="396"/>
    </row>
    <row r="9" spans="1:22" s="8" customFormat="1">
      <c r="B9" s="8" t="s">
        <v>556</v>
      </c>
      <c r="C9" s="8">
        <v>32</v>
      </c>
      <c r="D9" s="8" t="s">
        <v>13</v>
      </c>
      <c r="E9" s="381">
        <f>SUM(E6:E8)</f>
        <v>12487</v>
      </c>
      <c r="F9" s="382">
        <f>E9/$E$9</f>
        <v>1</v>
      </c>
      <c r="M9" s="8" t="s">
        <v>556</v>
      </c>
      <c r="N9" s="8">
        <v>26</v>
      </c>
      <c r="O9" s="8" t="s">
        <v>13</v>
      </c>
      <c r="P9" s="381">
        <f>SUM(P6:P8)</f>
        <v>3525</v>
      </c>
      <c r="Q9" s="382">
        <f>P9/$P$9</f>
        <v>1</v>
      </c>
    </row>
    <row r="10" spans="1:22" s="8" customFormat="1">
      <c r="F10" s="381"/>
      <c r="G10" s="382"/>
    </row>
    <row r="11" spans="1:22" s="8" customFormat="1">
      <c r="C11" s="396" t="s">
        <v>661</v>
      </c>
      <c r="D11" s="8" t="s">
        <v>662</v>
      </c>
      <c r="E11" s="8" t="s">
        <v>663</v>
      </c>
      <c r="F11" s="381"/>
      <c r="G11" s="406"/>
      <c r="H11" s="406"/>
      <c r="N11" s="396" t="s">
        <v>661</v>
      </c>
      <c r="O11" s="8" t="s">
        <v>662</v>
      </c>
      <c r="P11" s="8" t="s">
        <v>663</v>
      </c>
    </row>
    <row r="12" spans="1:22" s="8" customFormat="1">
      <c r="B12" s="8" t="s">
        <v>534</v>
      </c>
      <c r="C12" s="381">
        <v>455</v>
      </c>
      <c r="D12" s="416">
        <f>C12/SUM($C$12:$C$14)</f>
        <v>0.91919191919191923</v>
      </c>
      <c r="E12" s="396">
        <f>C12/(C12+C15)</f>
        <v>0.7021604938271605</v>
      </c>
      <c r="F12" s="439" t="s">
        <v>709</v>
      </c>
      <c r="H12" s="396"/>
      <c r="M12" s="8" t="s">
        <v>534</v>
      </c>
      <c r="N12" s="381">
        <f>16+21+16</f>
        <v>53</v>
      </c>
      <c r="O12" s="416">
        <f>N12/SUM($N$12:$N$14)</f>
        <v>0.57608695652173914</v>
      </c>
      <c r="P12" s="396">
        <f>N12/(N12+N15)</f>
        <v>0.44915254237288138</v>
      </c>
    </row>
    <row r="13" spans="1:22" s="8" customFormat="1">
      <c r="B13" s="8" t="s">
        <v>535</v>
      </c>
      <c r="C13" s="381">
        <v>27</v>
      </c>
      <c r="D13" s="416">
        <f t="shared" ref="D13:D14" si="3">C13/SUM($C$12:$C$14)</f>
        <v>5.4545454545454543E-2</v>
      </c>
      <c r="E13" s="396">
        <f>C13/(C13+C16)</f>
        <v>0.69230769230769229</v>
      </c>
      <c r="F13" s="381"/>
      <c r="H13" s="396"/>
      <c r="M13" s="8" t="s">
        <v>535</v>
      </c>
      <c r="N13" s="381">
        <f>2+4+4</f>
        <v>10</v>
      </c>
      <c r="O13" s="416">
        <f t="shared" ref="O13:O14" si="4">N13/SUM($N$12:$N$14)</f>
        <v>0.10869565217391304</v>
      </c>
      <c r="P13" s="396">
        <f>N13/(N13+N16)</f>
        <v>0.32258064516129031</v>
      </c>
    </row>
    <row r="14" spans="1:22" s="8" customFormat="1">
      <c r="B14" s="8" t="s">
        <v>659</v>
      </c>
      <c r="C14" s="381">
        <v>13</v>
      </c>
      <c r="D14" s="416">
        <f t="shared" si="3"/>
        <v>2.6262626262626262E-2</v>
      </c>
      <c r="E14" s="396">
        <f>C14/(C14+C17)</f>
        <v>1.1818181818181819</v>
      </c>
      <c r="F14" s="381"/>
      <c r="H14" s="396"/>
      <c r="M14" s="8" t="s">
        <v>659</v>
      </c>
      <c r="N14" s="381">
        <f>8+12+9</f>
        <v>29</v>
      </c>
      <c r="O14" s="416">
        <f t="shared" si="4"/>
        <v>0.31521739130434784</v>
      </c>
      <c r="P14" s="396">
        <f>N14/(N14+N17)</f>
        <v>0.64444444444444449</v>
      </c>
    </row>
    <row r="15" spans="1:22" s="8" customFormat="1">
      <c r="B15" s="8" t="s">
        <v>537</v>
      </c>
      <c r="C15" s="381">
        <v>193</v>
      </c>
      <c r="D15" s="396">
        <f>C15/SUM($C$15:$C$17)</f>
        <v>0.95073891625615758</v>
      </c>
      <c r="F15" s="381" t="s">
        <v>710</v>
      </c>
      <c r="G15" s="382"/>
      <c r="M15" s="8" t="s">
        <v>537</v>
      </c>
      <c r="N15" s="381">
        <f>16+30+19</f>
        <v>65</v>
      </c>
      <c r="O15" s="396">
        <f>N15/SUM($N$15:$N$17)</f>
        <v>0.63725490196078427</v>
      </c>
    </row>
    <row r="16" spans="1:22" s="8" customFormat="1">
      <c r="B16" s="8" t="s">
        <v>538</v>
      </c>
      <c r="C16" s="381">
        <v>12</v>
      </c>
      <c r="D16" s="396">
        <f t="shared" ref="D16:D17" si="5">C16/SUM($C$15:$C$17)</f>
        <v>5.9113300492610835E-2</v>
      </c>
      <c r="F16" s="381"/>
      <c r="G16" s="382"/>
      <c r="M16" s="8" t="s">
        <v>538</v>
      </c>
      <c r="N16" s="381">
        <f>6+8+7</f>
        <v>21</v>
      </c>
      <c r="O16" s="396">
        <f t="shared" ref="O16:O17" si="6">N16/SUM($N$15:$N$17)</f>
        <v>0.20588235294117646</v>
      </c>
    </row>
    <row r="17" spans="2:22" s="8" customFormat="1">
      <c r="B17" s="8" t="s">
        <v>660</v>
      </c>
      <c r="C17" s="381">
        <v>-2</v>
      </c>
      <c r="D17" s="396">
        <f t="shared" si="5"/>
        <v>-9.852216748768473E-3</v>
      </c>
      <c r="F17" s="381"/>
      <c r="G17" s="382"/>
      <c r="M17" s="8" t="s">
        <v>660</v>
      </c>
      <c r="N17" s="381">
        <f>7+6+3</f>
        <v>16</v>
      </c>
      <c r="O17" s="396">
        <f t="shared" si="6"/>
        <v>0.15686274509803921</v>
      </c>
    </row>
    <row r="18" spans="2:22" s="8" customFormat="1">
      <c r="F18" s="381"/>
      <c r="G18" s="382"/>
    </row>
    <row r="19" spans="2:22" s="8" customFormat="1">
      <c r="F19" s="381"/>
      <c r="G19" s="382"/>
    </row>
    <row r="20" spans="2:22" s="8" customFormat="1">
      <c r="B20" s="8">
        <v>1</v>
      </c>
      <c r="C20" s="8">
        <v>2</v>
      </c>
      <c r="D20" s="8">
        <v>3</v>
      </c>
      <c r="E20" s="8">
        <v>4</v>
      </c>
      <c r="F20" s="381">
        <v>5</v>
      </c>
      <c r="G20" s="381">
        <v>6</v>
      </c>
      <c r="H20" s="8">
        <v>7</v>
      </c>
      <c r="I20" s="8">
        <v>8</v>
      </c>
      <c r="J20" s="8">
        <v>9</v>
      </c>
      <c r="K20" s="8">
        <v>10</v>
      </c>
      <c r="M20" s="8">
        <v>1</v>
      </c>
      <c r="N20" s="8">
        <v>2</v>
      </c>
      <c r="O20" s="8">
        <v>3</v>
      </c>
      <c r="P20" s="8">
        <v>4</v>
      </c>
      <c r="Q20" s="381">
        <v>5</v>
      </c>
      <c r="R20" s="381">
        <v>6</v>
      </c>
      <c r="S20" s="8">
        <v>7</v>
      </c>
      <c r="T20" s="8">
        <v>8</v>
      </c>
      <c r="U20" s="8">
        <v>9</v>
      </c>
      <c r="V20" s="8">
        <v>10</v>
      </c>
    </row>
    <row r="21" spans="2:22" s="8" customFormat="1" ht="20">
      <c r="B21" s="412" t="str">
        <f>nmLOB1</f>
        <v>Riverside</v>
      </c>
      <c r="C21" s="413" t="s">
        <v>630</v>
      </c>
      <c r="D21" s="413" t="s">
        <v>631</v>
      </c>
      <c r="E21" s="413" t="s">
        <v>156</v>
      </c>
      <c r="F21" s="413" t="s">
        <v>626</v>
      </c>
      <c r="G21" s="399"/>
      <c r="H21" s="399"/>
      <c r="I21" s="399"/>
      <c r="J21" s="399"/>
      <c r="K21" s="400"/>
      <c r="M21" s="412" t="str">
        <f>nmLOB2</f>
        <v>Pleasentville</v>
      </c>
      <c r="N21" s="413" t="s">
        <v>630</v>
      </c>
      <c r="O21" s="413" t="s">
        <v>631</v>
      </c>
      <c r="P21" s="413" t="s">
        <v>156</v>
      </c>
      <c r="Q21" s="413" t="s">
        <v>626</v>
      </c>
      <c r="R21" s="399"/>
      <c r="S21" s="399"/>
      <c r="T21" s="399"/>
      <c r="U21" s="399"/>
      <c r="V21" s="400"/>
    </row>
    <row r="22" spans="2:22" s="8" customFormat="1">
      <c r="B22" s="397">
        <v>1</v>
      </c>
      <c r="C22" s="398" t="s">
        <v>550</v>
      </c>
      <c r="D22" s="398" t="s">
        <v>551</v>
      </c>
      <c r="E22" s="398" t="s">
        <v>654</v>
      </c>
      <c r="F22" s="401">
        <v>30</v>
      </c>
      <c r="G22" s="399"/>
      <c r="H22" s="399"/>
      <c r="I22" s="399"/>
      <c r="J22" s="399"/>
      <c r="K22" s="400"/>
      <c r="M22" s="397">
        <v>1</v>
      </c>
      <c r="N22" s="398" t="s">
        <v>550</v>
      </c>
      <c r="O22" s="398" t="s">
        <v>551</v>
      </c>
      <c r="P22" s="398" t="s">
        <v>655</v>
      </c>
      <c r="Q22" s="401">
        <v>34</v>
      </c>
      <c r="R22" s="399"/>
      <c r="S22" s="399"/>
      <c r="T22" s="399"/>
      <c r="U22" s="399"/>
      <c r="V22" s="400"/>
    </row>
    <row r="23" spans="2:22" s="8" customFormat="1">
      <c r="B23" s="389">
        <v>2</v>
      </c>
      <c r="C23" s="388" t="s">
        <v>550</v>
      </c>
      <c r="D23" s="388" t="s">
        <v>551</v>
      </c>
      <c r="E23" s="388" t="s">
        <v>636</v>
      </c>
      <c r="F23" s="402">
        <f>VLOOKUP(C23,$B$6:$C$9,2,FALSE)*IF(D23="Full-Time",1,0.5)</f>
        <v>28</v>
      </c>
      <c r="G23" s="387"/>
      <c r="H23" s="387"/>
      <c r="I23" s="387"/>
      <c r="J23" s="387"/>
      <c r="K23" s="390"/>
      <c r="M23" s="389">
        <v>2</v>
      </c>
      <c r="N23" s="388" t="s">
        <v>550</v>
      </c>
      <c r="O23" s="388" t="s">
        <v>551</v>
      </c>
      <c r="P23" s="388" t="s">
        <v>651</v>
      </c>
      <c r="Q23" s="402">
        <f>VLOOKUP(N23,$M$6:$N$9,2,FALSE)*IF(O23="Full-Time",1,0.5)</f>
        <v>32</v>
      </c>
      <c r="R23" s="388"/>
      <c r="S23" s="388"/>
      <c r="T23" s="388"/>
      <c r="U23" s="388"/>
      <c r="V23" s="391"/>
    </row>
    <row r="24" spans="2:22" s="8" customFormat="1">
      <c r="B24" s="389">
        <v>3</v>
      </c>
      <c r="C24" s="388" t="s">
        <v>550</v>
      </c>
      <c r="D24" s="388" t="s">
        <v>553</v>
      </c>
      <c r="E24" s="388" t="s">
        <v>644</v>
      </c>
      <c r="F24" s="402">
        <f>VLOOKUP(C24,$B$6:$C$9,2,FALSE)*IF(D24="Full-Time",1,0.5)</f>
        <v>14</v>
      </c>
      <c r="G24" s="388"/>
      <c r="H24" s="388"/>
      <c r="I24" s="388"/>
      <c r="J24" s="388"/>
      <c r="K24" s="391"/>
      <c r="M24" s="389">
        <v>3</v>
      </c>
      <c r="N24" s="388" t="s">
        <v>550</v>
      </c>
      <c r="O24" s="388" t="s">
        <v>553</v>
      </c>
      <c r="P24" s="388" t="s">
        <v>645</v>
      </c>
      <c r="Q24" s="402">
        <f>VLOOKUP(N24,$M$6:$N$9,2,FALSE)*IF(O24="Full-Time",1,0.5)</f>
        <v>16</v>
      </c>
      <c r="R24" s="387"/>
      <c r="S24" s="387"/>
      <c r="T24" s="387"/>
      <c r="U24" s="387"/>
      <c r="V24" s="390"/>
    </row>
    <row r="25" spans="2:22" s="8" customFormat="1">
      <c r="B25" s="389">
        <v>4</v>
      </c>
      <c r="C25" s="388" t="s">
        <v>554</v>
      </c>
      <c r="D25" s="388" t="s">
        <v>551</v>
      </c>
      <c r="E25" s="388" t="s">
        <v>637</v>
      </c>
      <c r="F25" s="402">
        <v>28</v>
      </c>
      <c r="G25" s="387"/>
      <c r="H25" s="387"/>
      <c r="I25" s="387"/>
      <c r="J25" s="387"/>
      <c r="K25" s="390"/>
      <c r="M25" s="389">
        <v>4</v>
      </c>
      <c r="N25" s="388" t="s">
        <v>550</v>
      </c>
      <c r="O25" s="388" t="s">
        <v>553</v>
      </c>
      <c r="P25" s="388" t="s">
        <v>653</v>
      </c>
      <c r="Q25" s="402">
        <f>VLOOKUP(N25,$M$6:$N$9,2,FALSE)*IF(O25="Full-Time",1,0.5)</f>
        <v>16</v>
      </c>
      <c r="R25" s="388"/>
      <c r="S25" s="388"/>
      <c r="T25" s="388"/>
      <c r="U25" s="388"/>
      <c r="V25" s="391"/>
    </row>
    <row r="26" spans="2:22" s="8" customFormat="1">
      <c r="B26" s="389">
        <v>5</v>
      </c>
      <c r="C26" s="388" t="s">
        <v>554</v>
      </c>
      <c r="D26" s="388" t="s">
        <v>553</v>
      </c>
      <c r="E26" s="388" t="s">
        <v>641</v>
      </c>
      <c r="F26" s="402">
        <f>VLOOKUP(C26,$B$6:$C$9,2,FALSE)*IF(D26="Full-Time",1,0.5)</f>
        <v>15</v>
      </c>
      <c r="G26" s="388"/>
      <c r="H26" s="388"/>
      <c r="I26" s="388"/>
      <c r="J26" s="388"/>
      <c r="K26" s="391"/>
      <c r="M26" s="389">
        <v>5</v>
      </c>
      <c r="N26" s="388" t="s">
        <v>554</v>
      </c>
      <c r="O26" s="388" t="s">
        <v>551</v>
      </c>
      <c r="P26" s="388" t="s">
        <v>646</v>
      </c>
      <c r="Q26" s="402">
        <f>VLOOKUP(N26,$M$6:$N$9,2,FALSE)*IF(O26="Full-Time",1,0.5)</f>
        <v>34</v>
      </c>
      <c r="R26" s="387"/>
      <c r="S26" s="387"/>
      <c r="T26" s="387"/>
      <c r="U26" s="387"/>
      <c r="V26" s="390"/>
    </row>
    <row r="27" spans="2:22" s="8" customFormat="1">
      <c r="B27" s="389">
        <v>6</v>
      </c>
      <c r="C27" s="388" t="s">
        <v>556</v>
      </c>
      <c r="D27" s="388" t="s">
        <v>551</v>
      </c>
      <c r="E27" s="388" t="s">
        <v>639</v>
      </c>
      <c r="F27" s="402">
        <v>32</v>
      </c>
      <c r="G27" s="387"/>
      <c r="H27" s="387"/>
      <c r="I27" s="387"/>
      <c r="J27" s="387"/>
      <c r="K27" s="390"/>
      <c r="M27" s="389">
        <v>6</v>
      </c>
      <c r="N27" s="388" t="s">
        <v>554</v>
      </c>
      <c r="O27" s="388" t="s">
        <v>551</v>
      </c>
      <c r="P27" s="388" t="s">
        <v>650</v>
      </c>
      <c r="Q27" s="402">
        <f>VLOOKUP(N27,$M$6:$N$9,2,FALSE)*IF(O27="Full-Time",1,0.5)</f>
        <v>34</v>
      </c>
      <c r="R27" s="387"/>
      <c r="S27" s="387"/>
      <c r="T27" s="387"/>
      <c r="U27" s="387"/>
      <c r="V27" s="390"/>
    </row>
    <row r="28" spans="2:22">
      <c r="B28" s="389">
        <v>7</v>
      </c>
      <c r="C28" s="388" t="s">
        <v>556</v>
      </c>
      <c r="D28" s="388" t="s">
        <v>551</v>
      </c>
      <c r="E28" s="388" t="s">
        <v>642</v>
      </c>
      <c r="F28" s="402">
        <v>34</v>
      </c>
      <c r="G28" s="388"/>
      <c r="H28" s="388"/>
      <c r="I28" s="388"/>
      <c r="J28" s="388"/>
      <c r="K28" s="391"/>
      <c r="M28" s="389">
        <v>7</v>
      </c>
      <c r="N28" s="388" t="s">
        <v>556</v>
      </c>
      <c r="O28" s="388" t="s">
        <v>551</v>
      </c>
      <c r="P28" s="388" t="s">
        <v>648</v>
      </c>
      <c r="Q28" s="402">
        <v>31</v>
      </c>
      <c r="R28" s="388"/>
      <c r="S28" s="388"/>
      <c r="T28" s="388"/>
      <c r="U28" s="388"/>
      <c r="V28" s="414"/>
    </row>
    <row r="29" spans="2:22">
      <c r="B29" s="389">
        <v>8</v>
      </c>
      <c r="C29" s="388" t="s">
        <v>556</v>
      </c>
      <c r="D29" s="388" t="s">
        <v>551</v>
      </c>
      <c r="E29" s="388" t="s">
        <v>643</v>
      </c>
      <c r="F29" s="402">
        <v>30</v>
      </c>
      <c r="G29" s="387"/>
      <c r="H29" s="387"/>
      <c r="I29" s="387"/>
      <c r="J29" s="387"/>
      <c r="K29" s="390"/>
      <c r="M29" s="389">
        <v>8</v>
      </c>
      <c r="N29" s="388" t="s">
        <v>556</v>
      </c>
      <c r="O29" s="388" t="s">
        <v>551</v>
      </c>
      <c r="P29" s="388" t="s">
        <v>649</v>
      </c>
      <c r="Q29" s="402">
        <v>30</v>
      </c>
      <c r="R29" s="388"/>
      <c r="S29" s="388"/>
      <c r="T29" s="388"/>
      <c r="U29" s="388"/>
      <c r="V29" s="414"/>
    </row>
    <row r="30" spans="2:22">
      <c r="B30" s="389">
        <v>9</v>
      </c>
      <c r="C30" s="388" t="s">
        <v>556</v>
      </c>
      <c r="D30" s="388" t="s">
        <v>553</v>
      </c>
      <c r="E30" s="388" t="s">
        <v>640</v>
      </c>
      <c r="F30" s="402">
        <v>18</v>
      </c>
      <c r="G30" s="388"/>
      <c r="H30" s="388"/>
      <c r="I30" s="388"/>
      <c r="J30" s="388"/>
      <c r="K30" s="391"/>
      <c r="M30" s="389">
        <v>9</v>
      </c>
      <c r="N30" s="388" t="s">
        <v>556</v>
      </c>
      <c r="O30" s="388" t="s">
        <v>553</v>
      </c>
      <c r="P30" s="388" t="s">
        <v>652</v>
      </c>
      <c r="Q30" s="402">
        <v>12</v>
      </c>
      <c r="R30" s="388"/>
      <c r="S30" s="388"/>
      <c r="T30" s="388"/>
      <c r="U30" s="388"/>
      <c r="V30" s="414"/>
    </row>
    <row r="31" spans="2:22">
      <c r="B31" s="392">
        <v>10</v>
      </c>
      <c r="C31" s="393" t="s">
        <v>555</v>
      </c>
      <c r="D31" s="393" t="s">
        <v>553</v>
      </c>
      <c r="E31" s="393" t="s">
        <v>638</v>
      </c>
      <c r="F31" s="403">
        <v>18</v>
      </c>
      <c r="G31" s="410"/>
      <c r="H31" s="410"/>
      <c r="I31" s="410"/>
      <c r="J31" s="410"/>
      <c r="K31" s="411"/>
      <c r="M31" s="392">
        <v>10</v>
      </c>
      <c r="N31" s="393" t="s">
        <v>555</v>
      </c>
      <c r="O31" s="393" t="s">
        <v>551</v>
      </c>
      <c r="P31" s="393" t="s">
        <v>647</v>
      </c>
      <c r="Q31" s="403">
        <v>22</v>
      </c>
      <c r="R31" s="393"/>
      <c r="S31" s="393"/>
      <c r="T31" s="393"/>
      <c r="U31" s="393"/>
      <c r="V31" s="415"/>
    </row>
    <row r="34" spans="2:19" s="408" customFormat="1">
      <c r="B34" s="418" t="s">
        <v>632</v>
      </c>
      <c r="C34" s="423" t="s">
        <v>698</v>
      </c>
      <c r="D34" s="423" t="s">
        <v>699</v>
      </c>
      <c r="E34" s="423" t="s">
        <v>656</v>
      </c>
      <c r="F34" s="423" t="s">
        <v>657</v>
      </c>
      <c r="G34" s="425" t="s">
        <v>687</v>
      </c>
      <c r="H34" s="424" t="s">
        <v>700</v>
      </c>
      <c r="M34" s="418" t="s">
        <v>632</v>
      </c>
      <c r="N34" s="423" t="s">
        <v>698</v>
      </c>
      <c r="O34" s="423" t="s">
        <v>699</v>
      </c>
      <c r="P34" s="423" t="s">
        <v>656</v>
      </c>
      <c r="Q34" s="423" t="s">
        <v>657</v>
      </c>
      <c r="R34" s="425" t="s">
        <v>687</v>
      </c>
      <c r="S34" s="424" t="s">
        <v>700</v>
      </c>
    </row>
    <row r="35" spans="2:19" s="8" customFormat="1">
      <c r="B35" s="8" t="s">
        <v>627</v>
      </c>
      <c r="C35" s="381">
        <f>SUMIF($C$22:$C$31,$B$6,$F$22:$F$31)*4*3+SUMIF($C$22:$C$31,$B$7,$F$22:$F$31)*4*3</f>
        <v>1380</v>
      </c>
      <c r="D35" s="382">
        <f>C35/$C$38</f>
        <v>0.46558704453441296</v>
      </c>
      <c r="E35" s="404">
        <v>6.8</v>
      </c>
      <c r="F35" s="8">
        <f>ROUND(C35/E35,0)</f>
        <v>203</v>
      </c>
      <c r="G35" s="8" t="s">
        <v>620</v>
      </c>
      <c r="H35" s="396">
        <v>0.91919191919191923</v>
      </c>
      <c r="M35" s="8" t="s">
        <v>627</v>
      </c>
      <c r="N35" s="381">
        <f>SUMIF($N$22:$N$31,$M$6,$Q$22:$Q$31)*4*3+SUMIF($N$22:$N$31,$M$7,$Q$22:$Q$31)*4*3</f>
        <v>1992</v>
      </c>
      <c r="O35" s="382">
        <f>N35/$N$38</f>
        <v>0.63601532567049812</v>
      </c>
      <c r="P35" s="404">
        <v>9.3000000000000007</v>
      </c>
      <c r="Q35" s="8">
        <f>ROUND(N35/P35,0)</f>
        <v>214</v>
      </c>
      <c r="R35" s="8" t="s">
        <v>620</v>
      </c>
      <c r="S35" s="396">
        <v>0.57608695652173914</v>
      </c>
    </row>
    <row r="36" spans="2:19" s="8" customFormat="1">
      <c r="B36" s="8" t="s">
        <v>628</v>
      </c>
      <c r="C36" s="381">
        <f>SUMIF($C$22:$C$31,$B$8,$F$22:$F$31)*4*3</f>
        <v>216</v>
      </c>
      <c r="D36" s="382">
        <f>C36/$C$38</f>
        <v>7.28744939271255E-2</v>
      </c>
      <c r="E36" s="404">
        <v>1.08</v>
      </c>
      <c r="F36" s="8">
        <f t="shared" ref="F36:F37" si="7">ROUND(C36/E36,0)</f>
        <v>200</v>
      </c>
      <c r="G36" s="8" t="s">
        <v>621</v>
      </c>
      <c r="H36" s="396">
        <v>5.4545454545454543E-2</v>
      </c>
      <c r="M36" s="8" t="s">
        <v>628</v>
      </c>
      <c r="N36" s="381">
        <f>+SUMIF($N$22:$N$31,$M$8,$Q$22:$Q$31)*4*3</f>
        <v>264</v>
      </c>
      <c r="O36" s="382">
        <f>N36/$N$38</f>
        <v>8.4291187739463605E-2</v>
      </c>
      <c r="P36" s="404">
        <v>1.2</v>
      </c>
      <c r="Q36" s="8">
        <f t="shared" ref="Q36:Q37" si="8">ROUND(N36/P36,0)</f>
        <v>220</v>
      </c>
      <c r="R36" s="8" t="s">
        <v>621</v>
      </c>
      <c r="S36" s="396">
        <v>0.10869565217391304</v>
      </c>
    </row>
    <row r="37" spans="2:19" s="8" customFormat="1">
      <c r="B37" s="8" t="s">
        <v>629</v>
      </c>
      <c r="C37" s="381">
        <f>SUMIF($C$22:$C$31,$B$9,$F$22:$F$31)*4*3</f>
        <v>1368</v>
      </c>
      <c r="D37" s="382">
        <f>C37/$C$38</f>
        <v>0.46153846153846156</v>
      </c>
      <c r="E37" s="404">
        <v>6.8</v>
      </c>
      <c r="F37" s="8">
        <f t="shared" si="7"/>
        <v>201</v>
      </c>
      <c r="G37" s="8" t="s">
        <v>592</v>
      </c>
      <c r="H37" s="396">
        <v>2.6262626262626262E-2</v>
      </c>
      <c r="M37" s="8" t="s">
        <v>629</v>
      </c>
      <c r="N37" s="381">
        <f>+SUMIF($N$22:$N$31,$M$9,$Q$22:$Q$31)*4*3</f>
        <v>876</v>
      </c>
      <c r="O37" s="382">
        <f>N37/$N$38</f>
        <v>0.27969348659003829</v>
      </c>
      <c r="P37" s="404">
        <v>4</v>
      </c>
      <c r="Q37" s="8">
        <f t="shared" si="8"/>
        <v>219</v>
      </c>
      <c r="R37" s="8" t="s">
        <v>592</v>
      </c>
      <c r="S37" s="396">
        <v>0.31521739130434784</v>
      </c>
    </row>
    <row r="38" spans="2:19" s="8" customFormat="1">
      <c r="C38" s="381">
        <f>SUM(C35:C37)</f>
        <v>2964</v>
      </c>
      <c r="D38" s="382">
        <f>SUM(D35:D37)</f>
        <v>1</v>
      </c>
      <c r="E38" s="382"/>
      <c r="N38" s="381">
        <f>SUM(N35:N37)</f>
        <v>3132</v>
      </c>
      <c r="O38" s="382">
        <f>SUM(O35:O37)</f>
        <v>1</v>
      </c>
    </row>
    <row r="39" spans="2:19" s="8" customFormat="1">
      <c r="B39" s="8" t="s">
        <v>688</v>
      </c>
      <c r="C39" s="8">
        <v>200</v>
      </c>
      <c r="E39" s="381"/>
      <c r="F39" s="382"/>
      <c r="G39" s="382"/>
      <c r="M39" s="8" t="s">
        <v>688</v>
      </c>
      <c r="N39" s="8">
        <v>215</v>
      </c>
      <c r="P39" s="381"/>
      <c r="Q39" s="382"/>
    </row>
    <row r="40" spans="2:19" s="8" customFormat="1">
      <c r="B40" s="8" t="s">
        <v>689</v>
      </c>
      <c r="C40" s="419">
        <v>0.7</v>
      </c>
      <c r="E40" s="381"/>
      <c r="F40" s="382"/>
      <c r="G40" s="382"/>
      <c r="M40" s="8" t="s">
        <v>689</v>
      </c>
      <c r="N40" s="419">
        <v>0.45</v>
      </c>
      <c r="O40" s="419">
        <v>0.55000000000000004</v>
      </c>
      <c r="P40" s="381"/>
      <c r="Q40" s="382"/>
    </row>
    <row r="41" spans="2:19" s="8" customFormat="1">
      <c r="E41" s="381"/>
      <c r="F41" s="382"/>
      <c r="G41" s="382"/>
      <c r="P41" s="381"/>
      <c r="Q41" s="382"/>
    </row>
    <row r="42" spans="2:19">
      <c r="B42" s="8" t="s">
        <v>668</v>
      </c>
      <c r="M42" s="8" t="s">
        <v>668</v>
      </c>
    </row>
    <row r="43" spans="2:19">
      <c r="B43" s="8" t="s">
        <v>669</v>
      </c>
      <c r="C43" s="420">
        <f>F$36*E$35*H35*C$40</f>
        <v>875.07070707070704</v>
      </c>
      <c r="M43" s="8" t="s">
        <v>669</v>
      </c>
      <c r="N43" s="420">
        <f>Q$36*P$35*S35*N$40</f>
        <v>530.40326086956532</v>
      </c>
    </row>
    <row r="44" spans="2:19">
      <c r="B44" s="8" t="s">
        <v>670</v>
      </c>
      <c r="C44" s="420">
        <f>F$36*E$35*H36*C$40</f>
        <v>51.927272727272715</v>
      </c>
      <c r="M44" s="8" t="s">
        <v>670</v>
      </c>
      <c r="N44" s="420">
        <f t="shared" ref="N44" si="9">Q$36*P$35*S36*N$40</f>
        <v>100.07608695652175</v>
      </c>
    </row>
    <row r="45" spans="2:19">
      <c r="B45" s="8" t="s">
        <v>671</v>
      </c>
      <c r="C45" s="420">
        <f>F$36*E$35*H37*C$40</f>
        <v>25.002020202020201</v>
      </c>
      <c r="M45" s="8" t="s">
        <v>671</v>
      </c>
      <c r="N45" s="420">
        <f>Q$36*P$35*S37*N$40</f>
        <v>290.22065217391309</v>
      </c>
    </row>
    <row r="46" spans="2:19">
      <c r="B46" s="8" t="s">
        <v>672</v>
      </c>
      <c r="C46" s="420">
        <f>F$36*E$35*H35*(1-C$40)</f>
        <v>375.03030303030312</v>
      </c>
      <c r="M46" s="8" t="s">
        <v>672</v>
      </c>
      <c r="N46" s="420">
        <f>Q$36*P$35*S35*(1-N$40)</f>
        <v>648.27065217391316</v>
      </c>
    </row>
    <row r="47" spans="2:19">
      <c r="B47" s="8" t="s">
        <v>673</v>
      </c>
      <c r="C47" s="420">
        <f t="shared" ref="C47:C48" si="10">F$36*E$35*H36*(1-C$40)</f>
        <v>22.254545454545454</v>
      </c>
      <c r="M47" s="8" t="s">
        <v>673</v>
      </c>
      <c r="N47" s="420">
        <f t="shared" ref="N47:N48" si="11">Q$36*P$35*S36*(1-N$40)</f>
        <v>122.31521739130436</v>
      </c>
    </row>
    <row r="48" spans="2:19">
      <c r="B48" s="8" t="s">
        <v>674</v>
      </c>
      <c r="C48" s="420">
        <f t="shared" si="10"/>
        <v>10.715151515151517</v>
      </c>
      <c r="M48" s="8" t="s">
        <v>674</v>
      </c>
      <c r="N48" s="420">
        <f t="shared" si="11"/>
        <v>354.7141304347827</v>
      </c>
    </row>
    <row r="49" spans="2:14">
      <c r="B49" s="8"/>
      <c r="M49" s="8"/>
    </row>
    <row r="50" spans="2:14">
      <c r="B50" s="8" t="s">
        <v>681</v>
      </c>
      <c r="C50" s="420">
        <f>F$36*E$36*H35*C$40</f>
        <v>138.98181818181817</v>
      </c>
      <c r="M50" s="8" t="s">
        <v>681</v>
      </c>
      <c r="N50" s="420">
        <f>Q$36*P$36*S35*N$40</f>
        <v>68.439130434782612</v>
      </c>
    </row>
    <row r="51" spans="2:14">
      <c r="B51" s="8" t="s">
        <v>682</v>
      </c>
      <c r="C51" s="420">
        <f t="shared" ref="C51:C52" si="12">F$36*E$36*H36*C$40</f>
        <v>8.2472727272727262</v>
      </c>
      <c r="M51" s="8" t="s">
        <v>682</v>
      </c>
      <c r="N51" s="420">
        <f t="shared" ref="N51:N52" si="13">Q$36*P$36*S36*N$40</f>
        <v>12.913043478260869</v>
      </c>
    </row>
    <row r="52" spans="2:14">
      <c r="B52" s="8" t="s">
        <v>683</v>
      </c>
      <c r="C52" s="420">
        <f t="shared" si="12"/>
        <v>3.9709090909090907</v>
      </c>
      <c r="M52" s="8" t="s">
        <v>683</v>
      </c>
      <c r="N52" s="420">
        <f t="shared" si="13"/>
        <v>37.447826086956525</v>
      </c>
    </row>
    <row r="53" spans="2:14">
      <c r="B53" s="8" t="s">
        <v>684</v>
      </c>
      <c r="C53" s="420">
        <f>F$36*E$36*H35*(1-C$40)</f>
        <v>59.563636363636377</v>
      </c>
      <c r="M53" s="8" t="s">
        <v>684</v>
      </c>
      <c r="N53" s="420">
        <f>Q$36*P$36*S35*(1-N$40)</f>
        <v>83.647826086956528</v>
      </c>
    </row>
    <row r="54" spans="2:14">
      <c r="B54" s="8" t="s">
        <v>685</v>
      </c>
      <c r="C54" s="420">
        <f t="shared" ref="C54:C55" si="14">F$36*E$36*H36*(1-C$40)</f>
        <v>3.5345454545454551</v>
      </c>
      <c r="M54" s="8" t="s">
        <v>685</v>
      </c>
      <c r="N54" s="420">
        <f t="shared" ref="N54:N55" si="15">Q$36*P$36*S36*(1-N$40)</f>
        <v>15.782608695652176</v>
      </c>
    </row>
    <row r="55" spans="2:14">
      <c r="B55" s="8" t="s">
        <v>686</v>
      </c>
      <c r="C55" s="420">
        <f t="shared" si="14"/>
        <v>1.7018181818181821</v>
      </c>
      <c r="M55" s="8" t="s">
        <v>686</v>
      </c>
      <c r="N55" s="420">
        <f t="shared" si="15"/>
        <v>45.76956521739131</v>
      </c>
    </row>
    <row r="57" spans="2:14">
      <c r="B57" s="8" t="s">
        <v>675</v>
      </c>
      <c r="C57" s="420">
        <f>F$36*E$37*H35*C$40</f>
        <v>875.07070707070704</v>
      </c>
      <c r="M57" s="8" t="s">
        <v>675</v>
      </c>
      <c r="N57" s="420">
        <f>Q$36*P$37*S35*N$40</f>
        <v>228.13043478260869</v>
      </c>
    </row>
    <row r="58" spans="2:14">
      <c r="B58" s="8" t="s">
        <v>676</v>
      </c>
      <c r="C58" s="420">
        <f t="shared" ref="C58:C59" si="16">F$36*E$37*H36*C$40</f>
        <v>51.927272727272715</v>
      </c>
      <c r="M58" s="8" t="s">
        <v>676</v>
      </c>
      <c r="N58" s="420">
        <f t="shared" ref="N58:N59" si="17">Q$36*P$37*S36*N$40</f>
        <v>43.043478260869563</v>
      </c>
    </row>
    <row r="59" spans="2:14">
      <c r="B59" s="8" t="s">
        <v>677</v>
      </c>
      <c r="C59" s="420">
        <f t="shared" si="16"/>
        <v>25.002020202020201</v>
      </c>
      <c r="M59" s="8" t="s">
        <v>677</v>
      </c>
      <c r="N59" s="420">
        <f t="shared" si="17"/>
        <v>124.82608695652176</v>
      </c>
    </row>
    <row r="60" spans="2:14">
      <c r="B60" s="8" t="s">
        <v>678</v>
      </c>
      <c r="C60" s="420">
        <f>F$36*E$37*H35*(1-C$40)</f>
        <v>375.03030303030312</v>
      </c>
      <c r="M60" s="8" t="s">
        <v>678</v>
      </c>
      <c r="N60" s="420">
        <f>Q$36*P$37*S35*(1-N$40)</f>
        <v>278.82608695652175</v>
      </c>
    </row>
    <row r="61" spans="2:14">
      <c r="B61" s="8" t="s">
        <v>679</v>
      </c>
      <c r="C61" s="420">
        <f t="shared" ref="C61:C62" si="18">F$36*E$37*H36*(1-C$40)</f>
        <v>22.254545454545454</v>
      </c>
      <c r="M61" s="8" t="s">
        <v>679</v>
      </c>
      <c r="N61" s="420">
        <f t="shared" ref="N61:N62" si="19">Q$36*P$37*S36*(1-N$40)</f>
        <v>52.608695652173914</v>
      </c>
    </row>
    <row r="62" spans="2:14">
      <c r="B62" s="8" t="s">
        <v>680</v>
      </c>
      <c r="C62" s="420">
        <f t="shared" si="18"/>
        <v>10.715151515151517</v>
      </c>
      <c r="M62" s="8" t="s">
        <v>680</v>
      </c>
      <c r="N62" s="420">
        <f t="shared" si="19"/>
        <v>152.56521739130437</v>
      </c>
    </row>
    <row r="65" spans="2:15">
      <c r="B65" s="8" t="s">
        <v>690</v>
      </c>
      <c r="C65" t="s">
        <v>347</v>
      </c>
      <c r="D65" t="s">
        <v>711</v>
      </c>
      <c r="M65" s="8" t="s">
        <v>690</v>
      </c>
      <c r="N65" t="s">
        <v>347</v>
      </c>
      <c r="O65" t="s">
        <v>691</v>
      </c>
    </row>
    <row r="66" spans="2:15">
      <c r="B66" s="8" t="s">
        <v>669</v>
      </c>
      <c r="C66" s="420">
        <f>C43*D66</f>
        <v>157512.72727272726</v>
      </c>
      <c r="D66" s="421">
        <v>180</v>
      </c>
      <c r="M66" s="8" t="s">
        <v>669</v>
      </c>
      <c r="N66" s="420">
        <f>N43*O66</f>
        <v>37854.880728260876</v>
      </c>
      <c r="O66" s="421">
        <f>T6*1.3</f>
        <v>71.37</v>
      </c>
    </row>
    <row r="67" spans="2:15">
      <c r="B67" s="8" t="s">
        <v>670</v>
      </c>
      <c r="C67" s="420">
        <f t="shared" ref="C67:C71" si="20">C44*D67</f>
        <v>8308.3636363636342</v>
      </c>
      <c r="D67" s="421">
        <v>160</v>
      </c>
      <c r="M67" s="8" t="s">
        <v>670</v>
      </c>
      <c r="N67" s="420">
        <f t="shared" ref="N67:N71" si="21">N44*O67</f>
        <v>6428.1872934782623</v>
      </c>
      <c r="O67" s="421">
        <f>O66*0.9</f>
        <v>64.233000000000004</v>
      </c>
    </row>
    <row r="68" spans="2:15">
      <c r="B68" s="8" t="s">
        <v>671</v>
      </c>
      <c r="C68" s="420">
        <f t="shared" si="20"/>
        <v>2500.2020202020203</v>
      </c>
      <c r="D68" s="421">
        <v>100</v>
      </c>
      <c r="M68" s="8" t="s">
        <v>671</v>
      </c>
      <c r="N68" s="420">
        <f t="shared" si="21"/>
        <v>16777.568835978265</v>
      </c>
      <c r="O68" s="421">
        <f>O67*0.9</f>
        <v>57.809700000000007</v>
      </c>
    </row>
    <row r="69" spans="2:15">
      <c r="B69" s="8" t="s">
        <v>672</v>
      </c>
      <c r="C69" s="420">
        <f t="shared" si="20"/>
        <v>67505.454545454559</v>
      </c>
      <c r="D69" s="421">
        <v>180</v>
      </c>
      <c r="M69" s="8" t="s">
        <v>672</v>
      </c>
      <c r="N69" s="420">
        <f t="shared" si="21"/>
        <v>41640.368801086966</v>
      </c>
      <c r="O69" s="421">
        <f>O66*0.9</f>
        <v>64.233000000000004</v>
      </c>
    </row>
    <row r="70" spans="2:15">
      <c r="B70" s="8" t="s">
        <v>673</v>
      </c>
      <c r="C70" s="420">
        <f t="shared" si="20"/>
        <v>3560.7272727272725</v>
      </c>
      <c r="D70" s="421">
        <v>160</v>
      </c>
      <c r="M70" s="8" t="s">
        <v>673</v>
      </c>
      <c r="N70" s="420">
        <f t="shared" si="21"/>
        <v>7071.0060228260882</v>
      </c>
      <c r="O70" s="421">
        <f t="shared" ref="O70:O71" si="22">O67*0.9</f>
        <v>57.809700000000007</v>
      </c>
    </row>
    <row r="71" spans="2:15">
      <c r="B71" s="8" t="s">
        <v>674</v>
      </c>
      <c r="C71" s="420">
        <f t="shared" si="20"/>
        <v>1071.5151515151517</v>
      </c>
      <c r="D71" s="421">
        <v>100</v>
      </c>
      <c r="M71" s="8" t="s">
        <v>674</v>
      </c>
      <c r="N71" s="420">
        <f t="shared" si="21"/>
        <v>18455.325719576096</v>
      </c>
      <c r="O71" s="421">
        <f t="shared" si="22"/>
        <v>52.02873000000001</v>
      </c>
    </row>
    <row r="72" spans="2:15">
      <c r="B72" s="8"/>
      <c r="M72" s="8"/>
    </row>
    <row r="73" spans="2:15">
      <c r="B73" s="8" t="s">
        <v>681</v>
      </c>
      <c r="C73" s="420">
        <f>C50*D73</f>
        <v>25016.727272727272</v>
      </c>
      <c r="D73" s="421">
        <v>180</v>
      </c>
      <c r="M73" s="8" t="s">
        <v>681</v>
      </c>
      <c r="N73" s="420">
        <f>N50*O73</f>
        <v>5605.1647826086964</v>
      </c>
      <c r="O73" s="421">
        <f>T7*1.3</f>
        <v>81.900000000000006</v>
      </c>
    </row>
    <row r="74" spans="2:15">
      <c r="B74" s="8" t="s">
        <v>682</v>
      </c>
      <c r="C74" s="420">
        <f t="shared" ref="C74:C78" si="23">C51*D74</f>
        <v>1319.5636363636363</v>
      </c>
      <c r="D74" s="421">
        <v>160</v>
      </c>
      <c r="M74" s="8" t="s">
        <v>682</v>
      </c>
      <c r="N74" s="420">
        <f t="shared" ref="N74:N78" si="24">N51*O74</f>
        <v>951.8204347826088</v>
      </c>
      <c r="O74" s="421">
        <f>O73*0.9</f>
        <v>73.710000000000008</v>
      </c>
    </row>
    <row r="75" spans="2:15">
      <c r="B75" s="8" t="s">
        <v>683</v>
      </c>
      <c r="C75" s="420">
        <f t="shared" si="23"/>
        <v>397.09090909090907</v>
      </c>
      <c r="D75" s="421">
        <v>100</v>
      </c>
      <c r="M75" s="8" t="s">
        <v>683</v>
      </c>
      <c r="N75" s="420">
        <f t="shared" si="24"/>
        <v>2484.2513347826093</v>
      </c>
      <c r="O75" s="421">
        <f>O74*0.9</f>
        <v>66.339000000000013</v>
      </c>
    </row>
    <row r="76" spans="2:15">
      <c r="B76" s="8" t="s">
        <v>684</v>
      </c>
      <c r="C76" s="420">
        <f t="shared" si="23"/>
        <v>10721.454545454548</v>
      </c>
      <c r="D76" s="421">
        <v>180</v>
      </c>
      <c r="M76" s="8" t="s">
        <v>684</v>
      </c>
      <c r="N76" s="420">
        <f t="shared" si="24"/>
        <v>6165.6812608695664</v>
      </c>
      <c r="O76" s="421">
        <f>O73*0.9</f>
        <v>73.710000000000008</v>
      </c>
    </row>
    <row r="77" spans="2:15">
      <c r="B77" s="8" t="s">
        <v>685</v>
      </c>
      <c r="C77" s="420">
        <f t="shared" si="23"/>
        <v>565.52727272727282</v>
      </c>
      <c r="D77" s="421">
        <v>160</v>
      </c>
      <c r="M77" s="8" t="s">
        <v>685</v>
      </c>
      <c r="N77" s="420">
        <f t="shared" si="24"/>
        <v>1047.0024782608698</v>
      </c>
      <c r="O77" s="421">
        <f t="shared" ref="O77:O78" si="25">O74*0.9</f>
        <v>66.339000000000013</v>
      </c>
    </row>
    <row r="78" spans="2:15">
      <c r="B78" s="8" t="s">
        <v>686</v>
      </c>
      <c r="C78" s="420">
        <f t="shared" si="23"/>
        <v>170.18181818181822</v>
      </c>
      <c r="D78" s="421">
        <v>100</v>
      </c>
      <c r="M78" s="8" t="s">
        <v>686</v>
      </c>
      <c r="N78" s="420">
        <f t="shared" si="24"/>
        <v>2732.6764682608705</v>
      </c>
      <c r="O78" s="421">
        <f t="shared" si="25"/>
        <v>59.705100000000016</v>
      </c>
    </row>
    <row r="80" spans="2:15">
      <c r="B80" s="8" t="s">
        <v>675</v>
      </c>
      <c r="C80" s="420">
        <f>C57*D80</f>
        <v>157512.72727272726</v>
      </c>
      <c r="D80" s="421">
        <v>180</v>
      </c>
      <c r="M80" s="8" t="s">
        <v>675</v>
      </c>
      <c r="N80" s="420">
        <f>N57*O80</f>
        <v>21619.921304347827</v>
      </c>
      <c r="O80" s="421">
        <f>T8*1.3</f>
        <v>94.77000000000001</v>
      </c>
    </row>
    <row r="81" spans="2:15">
      <c r="B81" s="8" t="s">
        <v>676</v>
      </c>
      <c r="C81" s="420">
        <f t="shared" ref="C81:C85" si="26">C58*D81</f>
        <v>8308.3636363636342</v>
      </c>
      <c r="D81" s="421">
        <v>160</v>
      </c>
      <c r="M81" s="8" t="s">
        <v>676</v>
      </c>
      <c r="N81" s="420">
        <f t="shared" ref="N81:N85" si="27">N58*O81</f>
        <v>3671.3073913043477</v>
      </c>
      <c r="O81" s="421">
        <f>O80*0.9</f>
        <v>85.293000000000006</v>
      </c>
    </row>
    <row r="82" spans="2:15">
      <c r="B82" s="8" t="s">
        <v>677</v>
      </c>
      <c r="C82" s="420">
        <f t="shared" si="26"/>
        <v>2500.2020202020203</v>
      </c>
      <c r="D82" s="421">
        <v>100</v>
      </c>
      <c r="M82" s="8" t="s">
        <v>677</v>
      </c>
      <c r="N82" s="420">
        <f t="shared" si="27"/>
        <v>9582.1122913043509</v>
      </c>
      <c r="O82" s="421">
        <f>O81*0.9</f>
        <v>76.763700000000014</v>
      </c>
    </row>
    <row r="83" spans="2:15">
      <c r="B83" s="8" t="s">
        <v>678</v>
      </c>
      <c r="C83" s="420">
        <f t="shared" si="26"/>
        <v>67505.454545454559</v>
      </c>
      <c r="D83" s="421">
        <v>180</v>
      </c>
      <c r="M83" s="8" t="s">
        <v>678</v>
      </c>
      <c r="N83" s="420">
        <f t="shared" si="27"/>
        <v>23781.913434782611</v>
      </c>
      <c r="O83" s="421">
        <f>O80*0.9</f>
        <v>85.293000000000006</v>
      </c>
    </row>
    <row r="84" spans="2:15">
      <c r="B84" s="8" t="s">
        <v>679</v>
      </c>
      <c r="C84" s="420">
        <f t="shared" si="26"/>
        <v>3560.7272727272725</v>
      </c>
      <c r="D84" s="421">
        <v>160</v>
      </c>
      <c r="M84" s="8" t="s">
        <v>679</v>
      </c>
      <c r="N84" s="420">
        <f t="shared" si="27"/>
        <v>4038.4381304347835</v>
      </c>
      <c r="O84" s="421">
        <f t="shared" ref="O84:O85" si="28">O81*0.9</f>
        <v>76.763700000000014</v>
      </c>
    </row>
    <row r="85" spans="2:15">
      <c r="B85" s="8" t="s">
        <v>680</v>
      </c>
      <c r="C85" s="420">
        <f t="shared" si="26"/>
        <v>1071.5151515151517</v>
      </c>
      <c r="D85" s="421">
        <v>100</v>
      </c>
      <c r="M85" s="8" t="s">
        <v>680</v>
      </c>
      <c r="N85" s="420">
        <f t="shared" si="27"/>
        <v>10540.323520434786</v>
      </c>
      <c r="O85" s="421">
        <f t="shared" si="28"/>
        <v>69.087330000000009</v>
      </c>
    </row>
    <row r="87" spans="2:15">
      <c r="B87" t="s">
        <v>406</v>
      </c>
      <c r="C87" s="422">
        <f>SUM(C66:C86)</f>
        <v>519108.52525252523</v>
      </c>
      <c r="M87" t="s">
        <v>406</v>
      </c>
      <c r="N87" s="422">
        <f>SUM(N66:N86)</f>
        <v>220447.95023338046</v>
      </c>
    </row>
    <row r="89" spans="2:15">
      <c r="B89" s="8" t="s">
        <v>692</v>
      </c>
      <c r="C89" t="s">
        <v>347</v>
      </c>
      <c r="D89" t="s">
        <v>667</v>
      </c>
      <c r="M89" s="8" t="s">
        <v>692</v>
      </c>
      <c r="N89" t="s">
        <v>347</v>
      </c>
      <c r="O89" t="s">
        <v>667</v>
      </c>
    </row>
    <row r="90" spans="2:15">
      <c r="B90" s="8" t="s">
        <v>669</v>
      </c>
      <c r="C90" s="420">
        <f>C43*D90</f>
        <v>76131.15151515152</v>
      </c>
      <c r="D90" s="417">
        <v>87</v>
      </c>
      <c r="M90" s="8" t="s">
        <v>669</v>
      </c>
      <c r="N90" s="420">
        <f>N43*O90</f>
        <v>29119.139021739134</v>
      </c>
      <c r="O90" s="417">
        <f>T6</f>
        <v>54.9</v>
      </c>
    </row>
    <row r="91" spans="2:15">
      <c r="B91" s="8" t="s">
        <v>670</v>
      </c>
      <c r="C91" s="420">
        <f t="shared" ref="C91:C95" si="29">C44*D91</f>
        <v>4517.6727272727267</v>
      </c>
      <c r="D91" s="417">
        <f>D90</f>
        <v>87</v>
      </c>
      <c r="M91" s="8" t="s">
        <v>670</v>
      </c>
      <c r="N91" s="420">
        <f t="shared" ref="N91:N95" si="30">N44*O91</f>
        <v>5494.1771739130436</v>
      </c>
      <c r="O91" s="417">
        <f>O90</f>
        <v>54.9</v>
      </c>
    </row>
    <row r="92" spans="2:15">
      <c r="B92" s="8" t="s">
        <v>671</v>
      </c>
      <c r="C92" s="420">
        <f t="shared" si="29"/>
        <v>2175.1757575757574</v>
      </c>
      <c r="D92" s="417">
        <f t="shared" ref="D92:D95" si="31">D91</f>
        <v>87</v>
      </c>
      <c r="M92" s="8" t="s">
        <v>671</v>
      </c>
      <c r="N92" s="420">
        <f t="shared" si="30"/>
        <v>15933.113804347828</v>
      </c>
      <c r="O92" s="417">
        <f t="shared" ref="O92:O95" si="32">O91</f>
        <v>54.9</v>
      </c>
    </row>
    <row r="93" spans="2:15">
      <c r="B93" s="8" t="s">
        <v>672</v>
      </c>
      <c r="C93" s="420">
        <f t="shared" si="29"/>
        <v>32627.636363636371</v>
      </c>
      <c r="D93" s="417">
        <f t="shared" si="31"/>
        <v>87</v>
      </c>
      <c r="M93" s="8" t="s">
        <v>672</v>
      </c>
      <c r="N93" s="420">
        <f t="shared" si="30"/>
        <v>35590.058804347835</v>
      </c>
      <c r="O93" s="417">
        <f t="shared" si="32"/>
        <v>54.9</v>
      </c>
    </row>
    <row r="94" spans="2:15">
      <c r="B94" s="8" t="s">
        <v>673</v>
      </c>
      <c r="C94" s="420">
        <f t="shared" si="29"/>
        <v>1936.1454545454544</v>
      </c>
      <c r="D94" s="417">
        <f t="shared" si="31"/>
        <v>87</v>
      </c>
      <c r="M94" s="8" t="s">
        <v>673</v>
      </c>
      <c r="N94" s="420">
        <f t="shared" si="30"/>
        <v>6715.1054347826093</v>
      </c>
      <c r="O94" s="417">
        <f t="shared" si="32"/>
        <v>54.9</v>
      </c>
    </row>
    <row r="95" spans="2:15">
      <c r="B95" s="8" t="s">
        <v>674</v>
      </c>
      <c r="C95" s="420">
        <f t="shared" si="29"/>
        <v>932.21818181818196</v>
      </c>
      <c r="D95" s="417">
        <f t="shared" si="31"/>
        <v>87</v>
      </c>
      <c r="M95" s="8" t="s">
        <v>674</v>
      </c>
      <c r="N95" s="420">
        <f t="shared" si="30"/>
        <v>19473.805760869571</v>
      </c>
      <c r="O95" s="417">
        <f t="shared" si="32"/>
        <v>54.9</v>
      </c>
    </row>
    <row r="96" spans="2:15">
      <c r="B96" s="8"/>
      <c r="M96" s="8"/>
    </row>
    <row r="97" spans="2:15">
      <c r="B97" s="8" t="s">
        <v>681</v>
      </c>
      <c r="C97" s="420">
        <f>C50*D97</f>
        <v>13342.254545454543</v>
      </c>
      <c r="D97" s="417">
        <v>96</v>
      </c>
      <c r="M97" s="8" t="s">
        <v>681</v>
      </c>
      <c r="N97" s="420">
        <f>N50*O97</f>
        <v>4311.6652173913044</v>
      </c>
      <c r="O97" s="417">
        <f>T7</f>
        <v>63</v>
      </c>
    </row>
    <row r="98" spans="2:15">
      <c r="B98" s="8" t="s">
        <v>682</v>
      </c>
      <c r="C98" s="420">
        <f t="shared" ref="C98:C102" si="33">C51*D98</f>
        <v>791.73818181818172</v>
      </c>
      <c r="D98" s="417">
        <f>D97</f>
        <v>96</v>
      </c>
      <c r="M98" s="8" t="s">
        <v>682</v>
      </c>
      <c r="N98" s="420">
        <f t="shared" ref="N98:N102" si="34">N51*O98</f>
        <v>813.52173913043475</v>
      </c>
      <c r="O98" s="417">
        <f>O97</f>
        <v>63</v>
      </c>
    </row>
    <row r="99" spans="2:15">
      <c r="B99" s="8" t="s">
        <v>683</v>
      </c>
      <c r="C99" s="420">
        <f t="shared" si="33"/>
        <v>381.20727272727271</v>
      </c>
      <c r="D99" s="417">
        <f t="shared" ref="D99:D102" si="35">D98</f>
        <v>96</v>
      </c>
      <c r="M99" s="8" t="s">
        <v>683</v>
      </c>
      <c r="N99" s="420">
        <f t="shared" si="34"/>
        <v>2359.2130434782612</v>
      </c>
      <c r="O99" s="417">
        <f t="shared" ref="O99:O102" si="36">O98</f>
        <v>63</v>
      </c>
    </row>
    <row r="100" spans="2:15">
      <c r="B100" s="8" t="s">
        <v>684</v>
      </c>
      <c r="C100" s="420">
        <f t="shared" si="33"/>
        <v>5718.1090909090926</v>
      </c>
      <c r="D100" s="417">
        <f t="shared" si="35"/>
        <v>96</v>
      </c>
      <c r="M100" s="8" t="s">
        <v>684</v>
      </c>
      <c r="N100" s="420">
        <f t="shared" si="34"/>
        <v>5269.8130434782615</v>
      </c>
      <c r="O100" s="417">
        <f t="shared" si="36"/>
        <v>63</v>
      </c>
    </row>
    <row r="101" spans="2:15">
      <c r="B101" s="8" t="s">
        <v>685</v>
      </c>
      <c r="C101" s="420">
        <f t="shared" si="33"/>
        <v>339.31636363636369</v>
      </c>
      <c r="D101" s="417">
        <f t="shared" si="35"/>
        <v>96</v>
      </c>
      <c r="M101" s="8" t="s">
        <v>685</v>
      </c>
      <c r="N101" s="420">
        <f t="shared" si="34"/>
        <v>994.30434782608711</v>
      </c>
      <c r="O101" s="417">
        <f t="shared" si="36"/>
        <v>63</v>
      </c>
    </row>
    <row r="102" spans="2:15">
      <c r="B102" s="8" t="s">
        <v>686</v>
      </c>
      <c r="C102" s="420">
        <f t="shared" si="33"/>
        <v>163.37454545454548</v>
      </c>
      <c r="D102" s="417">
        <f t="shared" si="35"/>
        <v>96</v>
      </c>
      <c r="M102" s="8" t="s">
        <v>686</v>
      </c>
      <c r="N102" s="420">
        <f t="shared" si="34"/>
        <v>2883.4826086956527</v>
      </c>
      <c r="O102" s="417">
        <f t="shared" si="36"/>
        <v>63</v>
      </c>
    </row>
    <row r="104" spans="2:15">
      <c r="B104" s="8" t="s">
        <v>675</v>
      </c>
      <c r="C104" s="420">
        <f>C57*D104</f>
        <v>85756.929292929286</v>
      </c>
      <c r="D104" s="422">
        <v>98</v>
      </c>
      <c r="M104" s="8" t="s">
        <v>675</v>
      </c>
      <c r="N104" s="420">
        <f>N57*O104</f>
        <v>16630.708695652174</v>
      </c>
      <c r="O104" s="422">
        <f>T8</f>
        <v>72.900000000000006</v>
      </c>
    </row>
    <row r="105" spans="2:15">
      <c r="B105" s="8" t="s">
        <v>676</v>
      </c>
      <c r="C105" s="420">
        <f t="shared" ref="C105:C109" si="37">C58*D105</f>
        <v>5088.8727272727265</v>
      </c>
      <c r="D105" s="422">
        <f>D104</f>
        <v>98</v>
      </c>
      <c r="M105" s="8" t="s">
        <v>676</v>
      </c>
      <c r="N105" s="420">
        <f t="shared" ref="N105:N109" si="38">N58*O105</f>
        <v>3137.8695652173915</v>
      </c>
      <c r="O105" s="422">
        <f>O104</f>
        <v>72.900000000000006</v>
      </c>
    </row>
    <row r="106" spans="2:15">
      <c r="B106" s="8" t="s">
        <v>677</v>
      </c>
      <c r="C106" s="420">
        <f t="shared" si="37"/>
        <v>2450.1979797979798</v>
      </c>
      <c r="D106" s="422">
        <f t="shared" ref="D106:D109" si="39">D105</f>
        <v>98</v>
      </c>
      <c r="M106" s="8" t="s">
        <v>677</v>
      </c>
      <c r="N106" s="420">
        <f t="shared" si="38"/>
        <v>9099.821739130437</v>
      </c>
      <c r="O106" s="422">
        <f t="shared" ref="O106:O109" si="40">O105</f>
        <v>72.900000000000006</v>
      </c>
    </row>
    <row r="107" spans="2:15">
      <c r="B107" s="8" t="s">
        <v>678</v>
      </c>
      <c r="C107" s="420">
        <f t="shared" si="37"/>
        <v>36752.969696969703</v>
      </c>
      <c r="D107" s="422">
        <f t="shared" si="39"/>
        <v>98</v>
      </c>
      <c r="M107" s="8" t="s">
        <v>678</v>
      </c>
      <c r="N107" s="420">
        <f t="shared" si="38"/>
        <v>20326.421739130437</v>
      </c>
      <c r="O107" s="422">
        <f t="shared" si="40"/>
        <v>72.900000000000006</v>
      </c>
    </row>
    <row r="108" spans="2:15">
      <c r="B108" s="8" t="s">
        <v>679</v>
      </c>
      <c r="C108" s="420">
        <f t="shared" si="37"/>
        <v>2180.9454545454546</v>
      </c>
      <c r="D108" s="422">
        <f t="shared" si="39"/>
        <v>98</v>
      </c>
      <c r="M108" s="8" t="s">
        <v>679</v>
      </c>
      <c r="N108" s="420">
        <f t="shared" si="38"/>
        <v>3835.1739130434785</v>
      </c>
      <c r="O108" s="422">
        <f t="shared" si="40"/>
        <v>72.900000000000006</v>
      </c>
    </row>
    <row r="109" spans="2:15">
      <c r="B109" s="8" t="s">
        <v>680</v>
      </c>
      <c r="C109" s="420">
        <f t="shared" si="37"/>
        <v>1050.0848484848486</v>
      </c>
      <c r="D109" s="422">
        <f t="shared" si="39"/>
        <v>98</v>
      </c>
      <c r="M109" s="8" t="s">
        <v>680</v>
      </c>
      <c r="N109" s="420">
        <f t="shared" si="38"/>
        <v>11122.00434782609</v>
      </c>
      <c r="O109" s="422">
        <f t="shared" si="40"/>
        <v>72.900000000000006</v>
      </c>
    </row>
    <row r="111" spans="2:15">
      <c r="B111" t="s">
        <v>695</v>
      </c>
      <c r="C111" s="422">
        <f>SUM(C90:C110)</f>
        <v>272336</v>
      </c>
      <c r="M111" t="s">
        <v>695</v>
      </c>
      <c r="N111" s="422">
        <f>SUM(N90:N110)</f>
        <v>193109.40000000002</v>
      </c>
    </row>
    <row r="112" spans="2:15">
      <c r="C112" s="382">
        <f>(C87-C111)/C87</f>
        <v>0.47537752367384145</v>
      </c>
    </row>
    <row r="113" spans="2:15">
      <c r="D113" t="s">
        <v>694</v>
      </c>
      <c r="O113" t="s">
        <v>694</v>
      </c>
    </row>
    <row r="114" spans="2:15">
      <c r="B114" t="s">
        <v>693</v>
      </c>
      <c r="C114" s="422">
        <f>10*D114</f>
        <v>200000</v>
      </c>
      <c r="D114" s="422">
        <v>20000</v>
      </c>
      <c r="M114" t="s">
        <v>693</v>
      </c>
      <c r="N114" s="422">
        <f>10*O114</f>
        <v>25000</v>
      </c>
      <c r="O114" s="422">
        <v>2500</v>
      </c>
    </row>
    <row r="116" spans="2:15">
      <c r="B116" t="s">
        <v>696</v>
      </c>
      <c r="C116" s="422">
        <f>C87-C111-C114</f>
        <v>46772.525252525229</v>
      </c>
      <c r="M116" t="s">
        <v>696</v>
      </c>
      <c r="N116" s="422">
        <f>N87-N111-N114</f>
        <v>2338.5502333804325</v>
      </c>
    </row>
    <row r="117" spans="2:15">
      <c r="B117" t="s">
        <v>697</v>
      </c>
      <c r="C117" s="382">
        <f>C116/C87</f>
        <v>9.0101631888577241E-2</v>
      </c>
      <c r="M117" t="s">
        <v>697</v>
      </c>
      <c r="N117" s="382">
        <f>N116/N87</f>
        <v>1.0608174087827498E-2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/>
  </sheetPr>
  <dimension ref="A1:U519"/>
  <sheetViews>
    <sheetView topLeftCell="A103" zoomScaleNormal="100" workbookViewId="0">
      <selection activeCell="D134" sqref="D134"/>
    </sheetView>
  </sheetViews>
  <sheetFormatPr defaultColWidth="9" defaultRowHeight="10"/>
  <cols>
    <col min="1" max="1" width="2" style="8" customWidth="1"/>
    <col min="2" max="3" width="4.44140625" style="8" customWidth="1"/>
    <col min="4" max="4" width="22.44140625" style="8" customWidth="1"/>
    <col min="5" max="6" width="15" style="8" customWidth="1"/>
    <col min="7" max="7" width="7.33203125" style="8" customWidth="1"/>
    <col min="8" max="8" width="12.33203125" style="8" customWidth="1"/>
    <col min="9" max="9" width="30.109375" style="8" customWidth="1"/>
    <col min="10" max="10" width="12.33203125" style="8" customWidth="1"/>
    <col min="11" max="13" width="30.109375" style="8" customWidth="1"/>
    <col min="14" max="15" width="15" style="8" customWidth="1"/>
    <col min="16" max="16" width="29.33203125" style="8" customWidth="1"/>
    <col min="17" max="17" width="18.33203125" style="8" customWidth="1"/>
    <col min="18" max="16384" width="9" style="8"/>
  </cols>
  <sheetData>
    <row r="1" spans="1:19" s="61" customFormat="1">
      <c r="A1" s="61" t="s">
        <v>293</v>
      </c>
      <c r="E1" s="144" t="s">
        <v>162</v>
      </c>
      <c r="F1" s="144"/>
      <c r="G1" s="144"/>
      <c r="H1" s="144"/>
      <c r="I1" s="144"/>
      <c r="J1" s="144"/>
      <c r="K1" s="144"/>
      <c r="L1" s="144"/>
      <c r="M1" s="144"/>
      <c r="N1" s="144"/>
      <c r="O1" s="144"/>
    </row>
    <row r="3" spans="1:19" s="70" customFormat="1">
      <c r="A3" s="69"/>
      <c r="B3" s="70" t="s">
        <v>304</v>
      </c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</row>
    <row r="4" spans="1:19">
      <c r="D4" s="281"/>
      <c r="G4" s="281"/>
      <c r="H4" s="281"/>
      <c r="I4" s="281"/>
      <c r="J4" s="281"/>
      <c r="K4" s="281"/>
      <c r="L4" s="281"/>
      <c r="M4" s="281"/>
      <c r="N4" s="281"/>
      <c r="O4" s="281"/>
    </row>
    <row r="5" spans="1:19">
      <c r="B5" s="188"/>
      <c r="C5" s="73" t="s">
        <v>303</v>
      </c>
      <c r="D5" s="599"/>
      <c r="G5" s="599"/>
      <c r="H5" s="599"/>
      <c r="I5" s="599"/>
      <c r="J5" s="599"/>
      <c r="K5" s="599"/>
      <c r="L5" s="599"/>
      <c r="M5" s="599"/>
      <c r="N5" s="132"/>
      <c r="O5" s="73" t="s">
        <v>111</v>
      </c>
      <c r="S5" s="8" t="s">
        <v>302</v>
      </c>
    </row>
    <row r="6" spans="1:19">
      <c r="B6" s="74"/>
      <c r="C6" s="73" t="s">
        <v>107</v>
      </c>
      <c r="D6" s="599"/>
      <c r="G6" s="599"/>
      <c r="H6" s="599"/>
      <c r="I6" s="599"/>
      <c r="J6" s="599"/>
      <c r="K6" s="599"/>
      <c r="L6" s="599"/>
      <c r="M6" s="599"/>
      <c r="N6" s="599"/>
      <c r="O6" s="599"/>
      <c r="S6" s="8" t="s">
        <v>292</v>
      </c>
    </row>
    <row r="7" spans="1:19">
      <c r="B7" s="75"/>
      <c r="C7" s="73" t="s">
        <v>301</v>
      </c>
      <c r="D7" s="599"/>
      <c r="G7" s="599"/>
      <c r="H7" s="599"/>
      <c r="I7" s="599"/>
      <c r="J7" s="599"/>
      <c r="K7" s="599"/>
      <c r="L7" s="599"/>
      <c r="M7" s="599"/>
      <c r="N7" s="599"/>
      <c r="O7" s="599"/>
      <c r="S7" s="8" t="s">
        <v>300</v>
      </c>
    </row>
    <row r="8" spans="1:19">
      <c r="D8" s="281"/>
      <c r="G8" s="281"/>
      <c r="H8" s="281"/>
      <c r="I8" s="281"/>
      <c r="J8" s="281"/>
      <c r="K8" s="281"/>
      <c r="L8" s="281"/>
      <c r="M8" s="281"/>
      <c r="N8" s="281"/>
      <c r="O8" s="281"/>
      <c r="S8" s="8" t="s">
        <v>299</v>
      </c>
    </row>
    <row r="9" spans="1:19" hidden="1">
      <c r="D9" s="281"/>
      <c r="G9" s="281"/>
      <c r="H9" s="281"/>
      <c r="I9" s="281"/>
      <c r="J9" s="281"/>
      <c r="K9" s="281"/>
      <c r="L9" s="281"/>
      <c r="M9" s="281"/>
      <c r="N9" s="281"/>
      <c r="O9" s="281"/>
      <c r="S9" s="8" t="s">
        <v>298</v>
      </c>
    </row>
    <row r="10" spans="1:19" hidden="1">
      <c r="D10" s="281"/>
      <c r="G10" s="281"/>
      <c r="H10" s="281"/>
      <c r="I10" s="281"/>
      <c r="J10" s="281"/>
      <c r="K10" s="281"/>
      <c r="L10" s="281"/>
      <c r="M10" s="281"/>
      <c r="N10" s="281"/>
      <c r="O10" s="281"/>
      <c r="S10" s="8" t="s">
        <v>297</v>
      </c>
    </row>
    <row r="11" spans="1:19" hidden="1">
      <c r="D11" s="281"/>
      <c r="G11" s="281"/>
      <c r="H11" s="281"/>
      <c r="I11" s="281"/>
      <c r="J11" s="281"/>
      <c r="K11" s="281"/>
      <c r="L11" s="281"/>
      <c r="M11" s="281"/>
      <c r="N11" s="281"/>
      <c r="O11" s="281"/>
      <c r="S11" s="8" t="s">
        <v>296</v>
      </c>
    </row>
    <row r="12" spans="1:19" hidden="1">
      <c r="D12" s="281"/>
      <c r="G12" s="281"/>
      <c r="H12" s="281"/>
      <c r="I12" s="281"/>
      <c r="J12" s="281"/>
      <c r="K12" s="281"/>
      <c r="L12" s="281"/>
      <c r="M12" s="281"/>
      <c r="N12" s="281"/>
      <c r="O12" s="281"/>
    </row>
    <row r="13" spans="1:19" s="70" customFormat="1">
      <c r="A13" s="69"/>
      <c r="B13" s="70" t="s">
        <v>133</v>
      </c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</row>
    <row r="14" spans="1:19">
      <c r="D14" s="281"/>
      <c r="G14" s="281"/>
      <c r="H14" s="281"/>
      <c r="I14" s="281"/>
      <c r="J14" s="281"/>
      <c r="K14" s="281"/>
      <c r="L14" s="281"/>
      <c r="M14" s="281"/>
      <c r="N14" s="281"/>
      <c r="O14" s="281"/>
    </row>
    <row r="15" spans="1:19" ht="10.5">
      <c r="B15" s="8" t="s">
        <v>295</v>
      </c>
      <c r="D15" s="600">
        <f>xxNumOfTeams</f>
        <v>3</v>
      </c>
      <c r="E15" s="8" t="s">
        <v>294</v>
      </c>
      <c r="G15" s="601"/>
      <c r="H15" s="601"/>
      <c r="I15" s="601"/>
      <c r="J15" s="601"/>
      <c r="K15" s="601"/>
      <c r="L15" s="601"/>
      <c r="M15" s="601"/>
      <c r="N15" s="601"/>
      <c r="O15" s="601"/>
    </row>
    <row r="16" spans="1:19">
      <c r="D16" s="281"/>
      <c r="G16" s="281"/>
      <c r="H16" s="281"/>
      <c r="I16" s="281"/>
      <c r="J16" s="281"/>
      <c r="K16" s="281"/>
      <c r="L16" s="281"/>
      <c r="M16" s="281"/>
      <c r="N16" s="281"/>
      <c r="O16" s="281"/>
    </row>
    <row r="17" spans="1:21">
      <c r="D17" s="281"/>
      <c r="G17" s="281"/>
      <c r="H17" s="281"/>
      <c r="I17" s="281"/>
      <c r="J17" s="281"/>
      <c r="K17" s="281"/>
      <c r="L17" s="281"/>
      <c r="M17" s="281"/>
      <c r="N17" s="281"/>
      <c r="O17" s="281"/>
    </row>
    <row r="18" spans="1:21">
      <c r="D18" s="281"/>
      <c r="G18" s="281"/>
      <c r="H18" s="281"/>
      <c r="I18" s="281"/>
      <c r="J18" s="281"/>
      <c r="K18" s="281"/>
      <c r="L18" s="281"/>
      <c r="M18" s="281"/>
      <c r="N18" s="281"/>
      <c r="O18" s="281"/>
    </row>
    <row r="19" spans="1:21">
      <c r="D19" s="281"/>
      <c r="G19" s="281"/>
      <c r="H19" s="281"/>
      <c r="I19" s="281"/>
      <c r="J19" s="281"/>
      <c r="K19" s="281"/>
      <c r="L19" s="281"/>
      <c r="M19" s="281"/>
      <c r="N19" s="281"/>
      <c r="O19" s="281"/>
    </row>
    <row r="20" spans="1:21" s="70" customFormat="1">
      <c r="A20" s="69"/>
      <c r="B20" s="70" t="s">
        <v>293</v>
      </c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</row>
    <row r="21" spans="1:21">
      <c r="D21" s="281"/>
      <c r="G21" s="281"/>
      <c r="H21" s="281"/>
      <c r="I21" s="281"/>
      <c r="J21" s="281"/>
      <c r="K21" s="281"/>
      <c r="L21" s="281"/>
      <c r="M21" s="281"/>
      <c r="N21" s="281"/>
      <c r="O21" s="281"/>
      <c r="T21" s="383"/>
      <c r="U21" s="332"/>
    </row>
    <row r="22" spans="1:21" s="197" customFormat="1" ht="10.5">
      <c r="D22" s="602" t="s">
        <v>231</v>
      </c>
      <c r="E22" s="75">
        <f>decTeamName</f>
        <v>0</v>
      </c>
      <c r="F22" s="525" t="s">
        <v>7834</v>
      </c>
      <c r="G22" s="281"/>
      <c r="H22" s="718"/>
      <c r="I22" s="383"/>
      <c r="J22" s="602" t="s">
        <v>231</v>
      </c>
      <c r="K22" s="75">
        <f>decR2TeamName</f>
        <v>0</v>
      </c>
      <c r="L22" s="525" t="s">
        <v>7835</v>
      </c>
      <c r="M22" s="281"/>
      <c r="N22" s="281"/>
      <c r="O22" s="281"/>
      <c r="P22" s="281"/>
      <c r="Q22" s="281"/>
      <c r="R22" s="281"/>
      <c r="S22" s="281"/>
      <c r="T22" s="281"/>
      <c r="U22" s="281"/>
    </row>
    <row r="23" spans="1:21" s="197" customFormat="1">
      <c r="E23" s="181" t="str">
        <f>E22&amp; " (1)"</f>
        <v>0 (1)</v>
      </c>
      <c r="F23" s="281"/>
      <c r="G23" s="281"/>
      <c r="H23" s="431"/>
      <c r="I23" s="182"/>
      <c r="K23" s="181" t="str">
        <f t="shared" ref="K23" si="0">K22&amp; " (1)"</f>
        <v>0 (1)</v>
      </c>
      <c r="L23" s="281"/>
      <c r="M23" s="281"/>
      <c r="N23" s="281"/>
      <c r="O23" s="281"/>
      <c r="P23" s="281"/>
      <c r="Q23" s="281"/>
      <c r="R23" s="281"/>
      <c r="S23" s="281"/>
      <c r="T23" s="281"/>
      <c r="U23" s="281"/>
    </row>
    <row r="24" spans="1:21" s="197" customFormat="1">
      <c r="E24" s="181"/>
      <c r="F24" s="281"/>
      <c r="G24" s="281"/>
      <c r="H24" s="431"/>
      <c r="I24" s="182"/>
      <c r="K24" s="1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</row>
    <row r="25" spans="1:21">
      <c r="A25" s="461"/>
      <c r="D25" s="8" t="s">
        <v>4727</v>
      </c>
      <c r="E25" s="603" t="str">
        <f>E$23</f>
        <v>0 (1)</v>
      </c>
      <c r="F25" s="281"/>
      <c r="G25" s="281"/>
      <c r="H25" s="332"/>
      <c r="I25" s="630"/>
      <c r="J25" s="8" t="s">
        <v>4727</v>
      </c>
      <c r="K25" s="603" t="str">
        <f t="shared" ref="K25" si="1">K$23</f>
        <v>0 (1)</v>
      </c>
      <c r="L25" s="281"/>
      <c r="M25" s="281"/>
      <c r="N25" s="281"/>
      <c r="O25" s="281"/>
      <c r="P25" s="281"/>
      <c r="Q25" s="281"/>
      <c r="R25" s="281"/>
      <c r="S25" s="281"/>
      <c r="T25" s="281"/>
      <c r="U25" s="281"/>
    </row>
    <row r="26" spans="1:21">
      <c r="A26" s="461"/>
      <c r="D26" s="188" t="str">
        <f>nmSeg1</f>
        <v>Medicare</v>
      </c>
      <c r="E26" s="604">
        <f>finPNLLOB1Seg1Rev</f>
        <v>5006556</v>
      </c>
      <c r="F26" s="525" t="s">
        <v>4731</v>
      </c>
      <c r="G26" s="525"/>
      <c r="H26" s="332"/>
      <c r="I26" s="631"/>
      <c r="J26" s="188" t="str">
        <f>nmSeg1</f>
        <v>Medicare</v>
      </c>
      <c r="K26" s="604">
        <f>finR2PNLLOB1Seg1Rev</f>
        <v>5106024</v>
      </c>
      <c r="L26" s="525" t="s">
        <v>7698</v>
      </c>
      <c r="M26" s="525"/>
      <c r="N26" s="525"/>
      <c r="O26" s="525"/>
      <c r="P26" s="525"/>
      <c r="Q26" s="525"/>
      <c r="R26" s="525"/>
      <c r="S26" s="525"/>
      <c r="T26" s="525"/>
      <c r="U26" s="525"/>
    </row>
    <row r="27" spans="1:21">
      <c r="A27" s="461"/>
      <c r="D27" s="188" t="str">
        <f>nmSeg2</f>
        <v>PPS</v>
      </c>
      <c r="E27" s="604">
        <f>finPNLLOB1Seg2Rev</f>
        <v>779610</v>
      </c>
      <c r="F27" s="525" t="s">
        <v>4732</v>
      </c>
      <c r="G27" s="525"/>
      <c r="H27" s="332"/>
      <c r="I27" s="631"/>
      <c r="J27" s="188" t="str">
        <f>nmSeg2</f>
        <v>PPS</v>
      </c>
      <c r="K27" s="604">
        <f>finR2PNLLOB1Seg2Rev</f>
        <v>779610</v>
      </c>
      <c r="L27" s="525" t="s">
        <v>7699</v>
      </c>
      <c r="M27" s="525"/>
      <c r="N27" s="525"/>
      <c r="O27" s="525"/>
      <c r="P27" s="525"/>
      <c r="Q27" s="525"/>
      <c r="R27" s="525"/>
      <c r="S27" s="525"/>
      <c r="T27" s="525"/>
      <c r="U27" s="525"/>
    </row>
    <row r="28" spans="1:21">
      <c r="A28" s="461"/>
      <c r="D28" s="188" t="str">
        <f>nmSeg3</f>
        <v>Other</v>
      </c>
      <c r="E28" s="604">
        <f>finPNLLOB1Seg3Rev</f>
        <v>1547280</v>
      </c>
      <c r="F28" s="525" t="s">
        <v>4733</v>
      </c>
      <c r="G28" s="525"/>
      <c r="H28" s="332"/>
      <c r="I28" s="631"/>
      <c r="J28" s="188" t="str">
        <f>nmSeg3</f>
        <v>Other</v>
      </c>
      <c r="K28" s="604">
        <f>finR2PNLLOB1Seg3Rev</f>
        <v>1565700</v>
      </c>
      <c r="L28" s="525" t="s">
        <v>7700</v>
      </c>
      <c r="M28" s="525"/>
      <c r="N28" s="525"/>
      <c r="O28" s="525"/>
      <c r="P28" s="525"/>
      <c r="Q28" s="525"/>
      <c r="R28" s="525"/>
      <c r="S28" s="525"/>
      <c r="T28" s="525"/>
      <c r="U28" s="525"/>
    </row>
    <row r="29" spans="1:21">
      <c r="A29" s="461"/>
      <c r="D29" s="188" t="s">
        <v>4730</v>
      </c>
      <c r="E29" s="605">
        <f>cbalLOB1RevGrowth</f>
        <v>-2.8501956139906914E-3</v>
      </c>
      <c r="F29" s="525" t="s">
        <v>4734</v>
      </c>
      <c r="G29" s="525"/>
      <c r="H29" s="332"/>
      <c r="I29" s="632"/>
      <c r="J29" s="188" t="s">
        <v>4730</v>
      </c>
      <c r="K29" s="605">
        <f>cbalR2LOB1RevGrowth</f>
        <v>1.6075389387199435E-2</v>
      </c>
      <c r="L29" s="525" t="s">
        <v>7701</v>
      </c>
      <c r="M29" s="525"/>
      <c r="N29" s="525"/>
      <c r="O29" s="525"/>
      <c r="P29" s="525"/>
      <c r="Q29" s="525"/>
      <c r="R29" s="525"/>
      <c r="S29" s="525"/>
      <c r="T29" s="525"/>
      <c r="U29" s="525"/>
    </row>
    <row r="30" spans="1:21">
      <c r="A30" s="461"/>
      <c r="D30" s="188"/>
      <c r="E30" s="75"/>
      <c r="F30" s="281"/>
      <c r="G30" s="281"/>
      <c r="H30" s="332"/>
      <c r="I30" s="383"/>
      <c r="J30" s="188"/>
      <c r="K30" s="75"/>
      <c r="L30" s="281"/>
      <c r="M30" s="281"/>
      <c r="N30" s="281"/>
      <c r="O30" s="281"/>
      <c r="P30" s="281"/>
      <c r="Q30" s="281"/>
      <c r="R30" s="281"/>
      <c r="S30" s="281"/>
      <c r="T30" s="281"/>
      <c r="U30" s="281"/>
    </row>
    <row r="31" spans="1:21">
      <c r="A31" s="461"/>
      <c r="F31" s="281"/>
      <c r="G31" s="281"/>
      <c r="H31" s="332"/>
      <c r="I31" s="332"/>
      <c r="L31" s="281"/>
      <c r="M31" s="281"/>
      <c r="N31" s="281"/>
      <c r="O31" s="281"/>
      <c r="P31" s="281"/>
      <c r="Q31" s="281"/>
      <c r="R31" s="281"/>
      <c r="S31" s="281"/>
      <c r="T31" s="281"/>
      <c r="U31" s="281"/>
    </row>
    <row r="32" spans="1:21">
      <c r="A32" s="461"/>
      <c r="F32" s="281"/>
      <c r="G32" s="281"/>
      <c r="H32" s="332"/>
      <c r="I32" s="332"/>
      <c r="L32" s="281"/>
      <c r="M32" s="281"/>
      <c r="N32" s="281"/>
      <c r="O32" s="281"/>
      <c r="P32" s="281"/>
      <c r="Q32" s="281"/>
      <c r="R32" s="281"/>
      <c r="S32" s="281"/>
      <c r="T32" s="281"/>
      <c r="U32" s="281"/>
    </row>
    <row r="33" spans="1:21">
      <c r="A33" s="461"/>
      <c r="D33" s="8" t="s">
        <v>4728</v>
      </c>
      <c r="E33" s="603" t="str">
        <f t="shared" ref="E33" si="2">E$23</f>
        <v>0 (1)</v>
      </c>
      <c r="F33" s="281"/>
      <c r="G33" s="281"/>
      <c r="H33" s="332"/>
      <c r="I33" s="630"/>
      <c r="J33" s="8" t="s">
        <v>4728</v>
      </c>
      <c r="K33" s="603" t="str">
        <f t="shared" ref="K33" si="3">K$23</f>
        <v>0 (1)</v>
      </c>
      <c r="L33" s="281"/>
      <c r="M33" s="281"/>
      <c r="N33" s="281"/>
      <c r="O33" s="281"/>
      <c r="P33" s="281"/>
      <c r="Q33" s="281"/>
      <c r="R33" s="281"/>
      <c r="S33" s="281"/>
      <c r="T33" s="281"/>
      <c r="U33" s="281"/>
    </row>
    <row r="34" spans="1:21">
      <c r="A34" s="461"/>
      <c r="D34" s="188" t="str">
        <f>nmSeg1 &amp; " -  " &amp; nmProd1</f>
        <v>Medicare -  Admits</v>
      </c>
      <c r="E34" s="604">
        <f>calcLOB1Prod1Seg1Patients</f>
        <v>1452</v>
      </c>
      <c r="F34" s="525" t="s">
        <v>4735</v>
      </c>
      <c r="G34" s="525"/>
      <c r="H34" s="332"/>
      <c r="I34" s="631"/>
      <c r="J34" s="188" t="str">
        <f>nmSeg1 &amp; " -  " &amp; nmProd1</f>
        <v>Medicare -  Admits</v>
      </c>
      <c r="K34" s="604">
        <f>calcR2LOB1Prod1Seg1Patients</f>
        <v>1476</v>
      </c>
      <c r="L34" s="525" t="s">
        <v>7702</v>
      </c>
      <c r="M34" s="525"/>
      <c r="N34" s="525"/>
      <c r="O34" s="525"/>
      <c r="P34" s="525"/>
      <c r="Q34" s="525"/>
      <c r="R34" s="525"/>
      <c r="S34" s="525"/>
      <c r="T34" s="525"/>
      <c r="U34" s="525"/>
    </row>
    <row r="35" spans="1:21">
      <c r="A35" s="461"/>
      <c r="D35" s="188" t="str">
        <f>nmSeg1 &amp; " -  " &amp; nmProd2</f>
        <v>Medicare -  Recerts</v>
      </c>
      <c r="E35" s="604">
        <f>calcLOB1Prod2Seg1Patients</f>
        <v>360</v>
      </c>
      <c r="F35" s="525" t="s">
        <v>4737</v>
      </c>
      <c r="G35" s="525"/>
      <c r="H35" s="332"/>
      <c r="I35" s="631"/>
      <c r="J35" s="188" t="str">
        <f>nmSeg1 &amp; " -  " &amp; nmProd2</f>
        <v>Medicare -  Recerts</v>
      </c>
      <c r="K35" s="604">
        <f>calcR2LOB1Prod2Seg1Patients</f>
        <v>372</v>
      </c>
      <c r="L35" s="525" t="s">
        <v>7703</v>
      </c>
      <c r="M35" s="525"/>
      <c r="N35" s="525"/>
      <c r="O35" s="525"/>
      <c r="P35" s="525"/>
      <c r="Q35" s="525"/>
      <c r="R35" s="525"/>
      <c r="S35" s="525"/>
      <c r="T35" s="525"/>
      <c r="U35" s="525"/>
    </row>
    <row r="36" spans="1:21">
      <c r="A36" s="461"/>
      <c r="D36" s="188" t="str">
        <f>nmSeg2 &amp; " -  " &amp; nmProd1</f>
        <v>PPS -  Admits</v>
      </c>
      <c r="E36" s="604">
        <f>calcLOB1Prod1Seg2Patients</f>
        <v>252</v>
      </c>
      <c r="F36" s="525" t="s">
        <v>4736</v>
      </c>
      <c r="G36" s="525"/>
      <c r="H36" s="332"/>
      <c r="I36" s="631"/>
      <c r="J36" s="188" t="str">
        <f>nmSeg2 &amp; " -  " &amp; nmProd1</f>
        <v>PPS -  Admits</v>
      </c>
      <c r="K36" s="604">
        <f>calcR2LOB1Prod1Seg2Patients</f>
        <v>252</v>
      </c>
      <c r="L36" s="525" t="s">
        <v>7704</v>
      </c>
      <c r="M36" s="525"/>
      <c r="N36" s="525"/>
      <c r="O36" s="525"/>
      <c r="P36" s="525"/>
      <c r="Q36" s="525"/>
      <c r="R36" s="525"/>
      <c r="S36" s="525"/>
      <c r="T36" s="525"/>
      <c r="U36" s="525"/>
    </row>
    <row r="37" spans="1:21">
      <c r="A37" s="461"/>
      <c r="D37" s="188" t="str">
        <f>nmSeg2&amp; " -  " &amp; nmProd2</f>
        <v>PPS -  Recerts</v>
      </c>
      <c r="E37" s="604">
        <f>calcLOB1Prod2Seg2Patients</f>
        <v>60</v>
      </c>
      <c r="F37" s="525" t="s">
        <v>4738</v>
      </c>
      <c r="G37" s="525"/>
      <c r="H37" s="332"/>
      <c r="I37" s="631"/>
      <c r="J37" s="188" t="str">
        <f>nmSeg2&amp; " -  " &amp; nmProd2</f>
        <v>PPS -  Recerts</v>
      </c>
      <c r="K37" s="604">
        <f>calcR2LOB1Prod2Seg2Patients</f>
        <v>60</v>
      </c>
      <c r="L37" s="525" t="s">
        <v>7705</v>
      </c>
      <c r="M37" s="525"/>
      <c r="N37" s="525"/>
      <c r="O37" s="525"/>
      <c r="P37" s="525"/>
      <c r="Q37" s="525"/>
      <c r="R37" s="525"/>
      <c r="S37" s="525"/>
      <c r="T37" s="525"/>
      <c r="U37" s="525"/>
    </row>
    <row r="38" spans="1:21">
      <c r="A38" s="461"/>
      <c r="D38" s="188" t="str">
        <f>nmSeg3 &amp; " -  " &amp; nmProd1</f>
        <v>Other -  Admits</v>
      </c>
      <c r="E38" s="604">
        <f>calcLOB1Prod1Seg3Patients</f>
        <v>804</v>
      </c>
      <c r="F38" s="525" t="s">
        <v>4739</v>
      </c>
      <c r="G38" s="525"/>
      <c r="H38" s="332"/>
      <c r="I38" s="631"/>
      <c r="J38" s="188" t="str">
        <f>nmSeg3 &amp; " -  " &amp; nmProd1</f>
        <v>Other -  Admits</v>
      </c>
      <c r="K38" s="604">
        <f>calcR2LOB1Prod1Seg3Patients</f>
        <v>816</v>
      </c>
      <c r="L38" s="525" t="s">
        <v>7706</v>
      </c>
      <c r="M38" s="525"/>
      <c r="N38" s="525"/>
      <c r="O38" s="525"/>
      <c r="P38" s="525"/>
      <c r="Q38" s="525"/>
      <c r="R38" s="525"/>
      <c r="S38" s="525"/>
      <c r="T38" s="525"/>
      <c r="U38" s="525"/>
    </row>
    <row r="39" spans="1:21">
      <c r="A39" s="461"/>
      <c r="D39" s="188" t="str">
        <f>nmSeg3&amp; " -  " &amp; nmProd2</f>
        <v>Other -  Recerts</v>
      </c>
      <c r="E39" s="604">
        <f>calcLOB1Prod2Seg3Patients</f>
        <v>204</v>
      </c>
      <c r="F39" s="525" t="s">
        <v>4740</v>
      </c>
      <c r="G39" s="525"/>
      <c r="H39" s="332"/>
      <c r="I39" s="631"/>
      <c r="J39" s="188" t="str">
        <f>nmSeg3&amp; " -  " &amp; nmProd2</f>
        <v>Other -  Recerts</v>
      </c>
      <c r="K39" s="604">
        <f>calcR2LOB1Prod2Seg3Patients</f>
        <v>204</v>
      </c>
      <c r="L39" s="525" t="s">
        <v>7707</v>
      </c>
      <c r="M39" s="525"/>
      <c r="N39" s="525"/>
      <c r="O39" s="525"/>
      <c r="P39" s="525"/>
      <c r="Q39" s="525"/>
      <c r="R39" s="525"/>
      <c r="S39" s="525"/>
      <c r="T39" s="525"/>
      <c r="U39" s="525"/>
    </row>
    <row r="40" spans="1:21">
      <c r="A40" s="461"/>
      <c r="D40" s="188" t="s">
        <v>4741</v>
      </c>
      <c r="E40" s="605">
        <f>(E34+E36+E38)/SUM(E34:E39)</f>
        <v>0.8007662835249042</v>
      </c>
      <c r="F40" s="525" t="s">
        <v>4781</v>
      </c>
      <c r="G40" s="525"/>
      <c r="H40" s="332"/>
      <c r="I40" s="632"/>
      <c r="J40" s="188" t="s">
        <v>4741</v>
      </c>
      <c r="K40" s="605">
        <f t="shared" ref="K40" si="4">(K34+K36+K38)/SUM(K34:K39)</f>
        <v>0.8</v>
      </c>
      <c r="L40" s="525" t="s">
        <v>7708</v>
      </c>
      <c r="M40" s="525"/>
      <c r="N40" s="525"/>
      <c r="O40" s="525"/>
      <c r="P40" s="525"/>
      <c r="Q40" s="525"/>
      <c r="R40" s="525"/>
      <c r="S40" s="525"/>
      <c r="T40" s="525"/>
      <c r="U40" s="525"/>
    </row>
    <row r="41" spans="1:21">
      <c r="A41" s="461"/>
      <c r="F41" s="281"/>
      <c r="G41" s="281"/>
      <c r="H41" s="332"/>
      <c r="I41" s="332"/>
      <c r="L41" s="281"/>
      <c r="M41" s="281"/>
      <c r="N41" s="281"/>
      <c r="O41" s="281"/>
      <c r="P41" s="281"/>
      <c r="Q41" s="281"/>
      <c r="R41" s="281"/>
      <c r="S41" s="281"/>
      <c r="T41" s="281"/>
      <c r="U41" s="281"/>
    </row>
    <row r="42" spans="1:21">
      <c r="A42" s="461"/>
      <c r="D42" s="8">
        <v>3</v>
      </c>
      <c r="E42" s="8">
        <v>4</v>
      </c>
      <c r="F42" s="281"/>
      <c r="G42" s="281"/>
      <c r="H42" s="332"/>
      <c r="I42" s="332"/>
      <c r="J42" s="8">
        <v>2</v>
      </c>
      <c r="K42" s="8">
        <v>3</v>
      </c>
      <c r="L42" s="281"/>
      <c r="M42" s="281"/>
      <c r="N42" s="281"/>
      <c r="O42" s="281"/>
      <c r="P42" s="281"/>
      <c r="Q42" s="281"/>
      <c r="R42" s="281"/>
      <c r="S42" s="281"/>
      <c r="T42" s="281"/>
      <c r="U42" s="281"/>
    </row>
    <row r="43" spans="1:21">
      <c r="A43" s="461"/>
      <c r="D43" s="8" t="s">
        <v>4729</v>
      </c>
      <c r="E43" s="603" t="str">
        <f t="shared" ref="E43" si="5">E$23</f>
        <v>0 (1)</v>
      </c>
      <c r="F43" s="281"/>
      <c r="G43" s="281"/>
      <c r="H43" s="332"/>
      <c r="I43" s="630"/>
      <c r="J43" s="8" t="s">
        <v>4729</v>
      </c>
      <c r="K43" s="603" t="str">
        <f t="shared" ref="K43" si="6">K$23</f>
        <v>0 (1)</v>
      </c>
      <c r="L43" s="281"/>
      <c r="M43" s="281"/>
      <c r="N43" s="281"/>
      <c r="O43" s="281"/>
      <c r="P43" s="281"/>
      <c r="Q43" s="281"/>
      <c r="R43" s="281"/>
      <c r="S43" s="281"/>
      <c r="T43" s="281"/>
      <c r="U43" s="281"/>
    </row>
    <row r="44" spans="1:21">
      <c r="A44" s="461"/>
      <c r="B44" s="8">
        <v>3</v>
      </c>
      <c r="D44" s="188" t="str">
        <f t="shared" ref="D44:E48" si="7">VLOOKUP($B44,calcTableLOB1CSAT,D$42,FALSE)</f>
        <v>DOO Actions</v>
      </c>
      <c r="E44" s="605">
        <f t="shared" si="7"/>
        <v>0</v>
      </c>
      <c r="F44" s="525" t="s">
        <v>4782</v>
      </c>
      <c r="G44" s="525"/>
      <c r="H44" s="332"/>
      <c r="I44" s="632"/>
      <c r="J44" s="188" t="str">
        <f t="shared" ref="J44:K48" si="8">VLOOKUP($B44,calcR2TableLOB1CSAT,J$42,FALSE)</f>
        <v>DOO Actions</v>
      </c>
      <c r="K44" s="605">
        <f t="shared" si="8"/>
        <v>0</v>
      </c>
      <c r="L44" s="525" t="s">
        <v>7709</v>
      </c>
      <c r="M44" s="525"/>
      <c r="N44" s="525"/>
      <c r="O44" s="525"/>
      <c r="P44" s="525"/>
      <c r="Q44" s="525"/>
      <c r="R44" s="525"/>
      <c r="S44" s="525"/>
      <c r="T44" s="525"/>
      <c r="U44" s="525"/>
    </row>
    <row r="45" spans="1:21">
      <c r="A45" s="461"/>
      <c r="B45" s="8">
        <v>4</v>
      </c>
      <c r="D45" s="188" t="str">
        <f t="shared" si="7"/>
        <v>Missed Visits</v>
      </c>
      <c r="E45" s="605">
        <f t="shared" si="7"/>
        <v>8.9999999999999802E-3</v>
      </c>
      <c r="F45" s="525" t="s">
        <v>4783</v>
      </c>
      <c r="G45" s="525"/>
      <c r="H45" s="332"/>
      <c r="I45" s="632"/>
      <c r="J45" s="188" t="str">
        <f t="shared" si="8"/>
        <v>Missed Visits</v>
      </c>
      <c r="K45" s="605">
        <f t="shared" si="8"/>
        <v>0</v>
      </c>
      <c r="L45" s="525" t="s">
        <v>7710</v>
      </c>
      <c r="M45" s="525"/>
      <c r="N45" s="525"/>
      <c r="O45" s="525"/>
      <c r="P45" s="525"/>
      <c r="Q45" s="525"/>
      <c r="R45" s="525"/>
      <c r="S45" s="525"/>
      <c r="T45" s="525"/>
      <c r="U45" s="525"/>
    </row>
    <row r="46" spans="1:21">
      <c r="A46" s="461"/>
      <c r="B46" s="8">
        <v>5</v>
      </c>
      <c r="D46" s="188" t="str">
        <f t="shared" si="7"/>
        <v>Employee Engagement</v>
      </c>
      <c r="E46" s="605">
        <f t="shared" si="7"/>
        <v>0</v>
      </c>
      <c r="F46" s="525" t="s">
        <v>4784</v>
      </c>
      <c r="G46" s="525"/>
      <c r="H46" s="332"/>
      <c r="I46" s="632"/>
      <c r="J46" s="188" t="str">
        <f t="shared" si="8"/>
        <v>Employee Engagement</v>
      </c>
      <c r="K46" s="605">
        <f t="shared" si="8"/>
        <v>-1.0515584014389489E-2</v>
      </c>
      <c r="L46" s="525" t="s">
        <v>7711</v>
      </c>
      <c r="M46" s="525"/>
      <c r="N46" s="525"/>
      <c r="O46" s="525"/>
      <c r="P46" s="525"/>
      <c r="Q46" s="525"/>
      <c r="R46" s="525"/>
      <c r="S46" s="525"/>
      <c r="T46" s="525"/>
      <c r="U46" s="525"/>
    </row>
    <row r="47" spans="1:21">
      <c r="A47" s="461"/>
      <c r="B47" s="8">
        <v>6</v>
      </c>
      <c r="D47" s="188" t="str">
        <f t="shared" si="7"/>
        <v>Clincial Quality</v>
      </c>
      <c r="E47" s="605">
        <f t="shared" si="7"/>
        <v>9.0000000000000084E-4</v>
      </c>
      <c r="F47" s="525" t="s">
        <v>4785</v>
      </c>
      <c r="G47" s="525"/>
      <c r="H47" s="332"/>
      <c r="I47" s="632"/>
      <c r="J47" s="188" t="str">
        <f t="shared" si="8"/>
        <v>Clincial Quality</v>
      </c>
      <c r="K47" s="605">
        <f t="shared" si="8"/>
        <v>-1.4020778685852608E-3</v>
      </c>
      <c r="L47" s="525" t="s">
        <v>7712</v>
      </c>
      <c r="M47" s="525"/>
      <c r="N47" s="525"/>
      <c r="O47" s="525"/>
      <c r="P47" s="525"/>
      <c r="Q47" s="525"/>
      <c r="R47" s="525"/>
      <c r="S47" s="525"/>
      <c r="T47" s="525"/>
      <c r="U47" s="525"/>
    </row>
    <row r="48" spans="1:21">
      <c r="A48" s="461"/>
      <c r="B48" s="8">
        <v>8</v>
      </c>
      <c r="D48" s="188" t="str">
        <f t="shared" si="7"/>
        <v>Referrals Satisfaction</v>
      </c>
      <c r="E48" s="605">
        <f t="shared" si="7"/>
        <v>0.8599</v>
      </c>
      <c r="F48" s="525" t="s">
        <v>4786</v>
      </c>
      <c r="G48" s="525"/>
      <c r="H48" s="332"/>
      <c r="I48" s="632"/>
      <c r="J48" s="188">
        <f t="shared" si="8"/>
        <v>1</v>
      </c>
      <c r="K48" s="605">
        <f t="shared" si="8"/>
        <v>0.84798233811702528</v>
      </c>
      <c r="L48" s="525" t="s">
        <v>7713</v>
      </c>
      <c r="M48" s="525"/>
      <c r="N48" s="525"/>
      <c r="O48" s="525"/>
      <c r="P48" s="525"/>
      <c r="Q48" s="525"/>
      <c r="R48" s="525"/>
      <c r="S48" s="525"/>
      <c r="T48" s="525"/>
      <c r="U48" s="525"/>
    </row>
    <row r="49" spans="1:21">
      <c r="A49" s="461"/>
      <c r="D49" s="188"/>
      <c r="E49" s="605"/>
      <c r="F49" s="525"/>
      <c r="G49" s="525"/>
      <c r="H49" s="332"/>
      <c r="I49" s="632"/>
      <c r="J49" s="188"/>
      <c r="K49" s="605"/>
      <c r="L49" s="525"/>
      <c r="M49" s="525"/>
      <c r="N49" s="525"/>
      <c r="O49" s="525"/>
      <c r="P49" s="525"/>
      <c r="Q49" s="525"/>
      <c r="R49" s="525"/>
      <c r="S49" s="525"/>
      <c r="T49" s="525"/>
      <c r="U49" s="525"/>
    </row>
    <row r="50" spans="1:21">
      <c r="A50" s="461"/>
      <c r="D50" s="188"/>
      <c r="E50" s="605"/>
      <c r="F50" s="525"/>
      <c r="G50" s="525"/>
      <c r="H50" s="332"/>
      <c r="I50" s="632"/>
      <c r="J50" s="188"/>
      <c r="K50" s="605"/>
      <c r="L50" s="525"/>
      <c r="M50" s="525"/>
      <c r="N50" s="525"/>
      <c r="O50" s="525"/>
      <c r="P50" s="525"/>
      <c r="Q50" s="525"/>
      <c r="R50" s="525"/>
      <c r="S50" s="525"/>
      <c r="T50" s="525"/>
      <c r="U50" s="525"/>
    </row>
    <row r="51" spans="1:21">
      <c r="A51" s="461"/>
      <c r="F51" s="281"/>
      <c r="G51" s="281"/>
      <c r="H51" s="332"/>
      <c r="I51" s="332"/>
      <c r="L51" s="281"/>
      <c r="M51" s="281"/>
      <c r="N51" s="281"/>
      <c r="O51" s="281"/>
      <c r="P51" s="281"/>
      <c r="Q51" s="281"/>
      <c r="R51" s="281"/>
      <c r="S51" s="281"/>
      <c r="T51" s="281"/>
      <c r="U51" s="281"/>
    </row>
    <row r="52" spans="1:21">
      <c r="A52" s="461"/>
      <c r="F52" s="281"/>
      <c r="G52" s="281"/>
      <c r="H52" s="332"/>
      <c r="I52" s="332"/>
      <c r="L52" s="281"/>
      <c r="M52" s="281"/>
      <c r="N52" s="281"/>
      <c r="O52" s="281"/>
      <c r="P52" s="281"/>
      <c r="Q52" s="281"/>
      <c r="R52" s="281"/>
      <c r="S52" s="281"/>
      <c r="T52" s="281"/>
      <c r="U52" s="281"/>
    </row>
    <row r="53" spans="1:21">
      <c r="A53" s="461"/>
      <c r="D53" s="8">
        <v>3</v>
      </c>
      <c r="E53" s="8">
        <v>4</v>
      </c>
      <c r="F53" s="281"/>
      <c r="G53" s="281"/>
      <c r="H53" s="332"/>
      <c r="I53" s="332"/>
      <c r="J53" s="8">
        <v>3</v>
      </c>
      <c r="K53" s="8">
        <v>4</v>
      </c>
      <c r="L53" s="281"/>
      <c r="M53" s="281"/>
      <c r="N53" s="281"/>
      <c r="O53" s="281"/>
      <c r="P53" s="281"/>
      <c r="Q53" s="281"/>
      <c r="R53" s="281"/>
      <c r="S53" s="281"/>
      <c r="T53" s="281"/>
      <c r="U53" s="281"/>
    </row>
    <row r="54" spans="1:21">
      <c r="A54" s="461"/>
      <c r="D54" s="8" t="s">
        <v>4352</v>
      </c>
      <c r="E54" s="603" t="str">
        <f t="shared" ref="E54" si="9">E$23</f>
        <v>0 (1)</v>
      </c>
      <c r="F54" s="281"/>
      <c r="G54" s="281"/>
      <c r="H54" s="332"/>
      <c r="I54" s="630"/>
      <c r="J54" s="8" t="s">
        <v>4352</v>
      </c>
      <c r="K54" s="603" t="str">
        <f t="shared" ref="K54" si="10">K$23</f>
        <v>0 (1)</v>
      </c>
      <c r="L54" s="281"/>
      <c r="M54" s="281"/>
      <c r="N54" s="281"/>
      <c r="O54" s="281"/>
      <c r="P54" s="281"/>
      <c r="Q54" s="281"/>
      <c r="R54" s="281"/>
      <c r="S54" s="281"/>
      <c r="T54" s="281"/>
      <c r="U54" s="281"/>
    </row>
    <row r="55" spans="1:21">
      <c r="A55" s="461"/>
      <c r="B55" s="8">
        <v>3</v>
      </c>
      <c r="D55" s="188" t="str">
        <f t="shared" ref="D55:E60" si="11">VLOOKUP($B55,calcTableLOB1Stars,D$42,FALSE)</f>
        <v>DOO Actions</v>
      </c>
      <c r="E55" s="605">
        <f t="shared" si="11"/>
        <v>0</v>
      </c>
      <c r="F55" s="525" t="s">
        <v>4787</v>
      </c>
      <c r="G55" s="525"/>
      <c r="H55" s="332"/>
      <c r="I55" s="632"/>
      <c r="J55" s="188" t="str">
        <f t="shared" ref="J55:K60" si="12">VLOOKUP($B55,calcR2TableLOB1Stars,J$42,FALSE)</f>
        <v>DOO Actions</v>
      </c>
      <c r="K55" s="605">
        <f t="shared" si="12"/>
        <v>0</v>
      </c>
      <c r="L55" s="525" t="s">
        <v>7714</v>
      </c>
      <c r="M55" s="525"/>
      <c r="N55" s="525"/>
      <c r="O55" s="525"/>
      <c r="P55" s="525"/>
      <c r="Q55" s="525"/>
      <c r="R55" s="525"/>
      <c r="S55" s="525"/>
      <c r="T55" s="525"/>
      <c r="U55" s="525"/>
    </row>
    <row r="56" spans="1:21">
      <c r="A56" s="461"/>
      <c r="B56" s="8">
        <v>4</v>
      </c>
      <c r="D56" s="188" t="str">
        <f t="shared" si="11"/>
        <v>DOO Utilzation</v>
      </c>
      <c r="E56" s="605">
        <f t="shared" si="11"/>
        <v>0</v>
      </c>
      <c r="F56" s="525" t="s">
        <v>4788</v>
      </c>
      <c r="G56" s="525"/>
      <c r="H56" s="332"/>
      <c r="I56" s="632"/>
      <c r="J56" s="188" t="str">
        <f t="shared" si="12"/>
        <v>DOO Utilzation</v>
      </c>
      <c r="K56" s="605">
        <f t="shared" si="12"/>
        <v>0</v>
      </c>
      <c r="L56" s="525" t="s">
        <v>7715</v>
      </c>
      <c r="M56" s="525"/>
      <c r="N56" s="525"/>
      <c r="O56" s="525"/>
      <c r="P56" s="525"/>
      <c r="Q56" s="525"/>
      <c r="R56" s="525"/>
      <c r="S56" s="525"/>
      <c r="T56" s="525"/>
      <c r="U56" s="525"/>
    </row>
    <row r="57" spans="1:21">
      <c r="A57" s="461"/>
      <c r="B57" s="8">
        <v>5</v>
      </c>
      <c r="D57" s="188" t="str">
        <f t="shared" si="11"/>
        <v>Missed Visits</v>
      </c>
      <c r="E57" s="605">
        <f t="shared" si="11"/>
        <v>8.9999999999999802E-3</v>
      </c>
      <c r="F57" s="525" t="s">
        <v>4789</v>
      </c>
      <c r="G57" s="525"/>
      <c r="H57" s="332"/>
      <c r="I57" s="632"/>
      <c r="J57" s="188" t="str">
        <f t="shared" si="12"/>
        <v>Missed Visits</v>
      </c>
      <c r="K57" s="605">
        <f t="shared" si="12"/>
        <v>0</v>
      </c>
      <c r="L57" s="525" t="s">
        <v>7716</v>
      </c>
      <c r="M57" s="525"/>
      <c r="N57" s="525"/>
      <c r="O57" s="525"/>
      <c r="P57" s="525"/>
      <c r="Q57" s="525"/>
      <c r="R57" s="525"/>
      <c r="S57" s="525"/>
      <c r="T57" s="525"/>
      <c r="U57" s="525"/>
    </row>
    <row r="58" spans="1:21">
      <c r="A58" s="461"/>
      <c r="B58" s="8">
        <v>6</v>
      </c>
      <c r="D58" s="188" t="str">
        <f t="shared" si="11"/>
        <v xml:space="preserve">Clinical Utilzation </v>
      </c>
      <c r="E58" s="605">
        <f t="shared" si="11"/>
        <v>0</v>
      </c>
      <c r="F58" s="525" t="s">
        <v>4790</v>
      </c>
      <c r="G58" s="525"/>
      <c r="H58" s="332"/>
      <c r="I58" s="632"/>
      <c r="J58" s="188" t="str">
        <f>VLOOKUP($B58,calcR2TableLOB1Stars,J$42,FALSE)</f>
        <v xml:space="preserve">Clinical Utilzation </v>
      </c>
      <c r="K58" s="605">
        <f>VLOOKUP($B58,calcR2TableLOB1Stars,K$42,FALSE)</f>
        <v>0</v>
      </c>
      <c r="L58" s="525" t="s">
        <v>7717</v>
      </c>
      <c r="M58" s="525"/>
      <c r="N58" s="525"/>
      <c r="O58" s="525"/>
      <c r="P58" s="525"/>
      <c r="Q58" s="525"/>
      <c r="R58" s="525"/>
      <c r="S58" s="525"/>
      <c r="T58" s="525"/>
      <c r="U58" s="525"/>
    </row>
    <row r="59" spans="1:21">
      <c r="A59" s="461"/>
      <c r="B59" s="8">
        <v>7</v>
      </c>
      <c r="D59" s="188" t="str">
        <f t="shared" si="11"/>
        <v>Employee Engagement</v>
      </c>
      <c r="E59" s="605">
        <f t="shared" si="11"/>
        <v>0</v>
      </c>
      <c r="F59" s="525" t="s">
        <v>4792</v>
      </c>
      <c r="G59" s="525"/>
      <c r="H59" s="332"/>
      <c r="I59" s="632"/>
      <c r="J59" s="188" t="str">
        <f t="shared" si="12"/>
        <v>Employee Engagement</v>
      </c>
      <c r="K59" s="605">
        <f t="shared" si="12"/>
        <v>-1.4020778685852654E-2</v>
      </c>
      <c r="L59" s="525" t="s">
        <v>7718</v>
      </c>
      <c r="M59" s="525"/>
      <c r="N59" s="525"/>
      <c r="O59" s="525"/>
      <c r="P59" s="525"/>
      <c r="Q59" s="525"/>
      <c r="R59" s="525"/>
      <c r="S59" s="525"/>
      <c r="T59" s="525"/>
      <c r="U59" s="525"/>
    </row>
    <row r="60" spans="1:21">
      <c r="A60" s="461"/>
      <c r="B60" s="8">
        <v>9</v>
      </c>
      <c r="D60" s="188" t="str">
        <f t="shared" si="11"/>
        <v>Clinical Quality</v>
      </c>
      <c r="E60" s="605">
        <f t="shared" si="11"/>
        <v>0.78900000000000003</v>
      </c>
      <c r="F60" s="525" t="s">
        <v>4791</v>
      </c>
      <c r="G60" s="525"/>
      <c r="H60" s="332"/>
      <c r="I60" s="632"/>
      <c r="J60" s="188">
        <f t="shared" si="12"/>
        <v>1</v>
      </c>
      <c r="K60" s="605">
        <f t="shared" si="12"/>
        <v>0.77497922131414743</v>
      </c>
      <c r="L60" s="525" t="s">
        <v>7719</v>
      </c>
      <c r="M60" s="525"/>
      <c r="N60" s="525"/>
      <c r="O60" s="525"/>
      <c r="P60" s="525"/>
      <c r="Q60" s="525"/>
      <c r="R60" s="525"/>
      <c r="S60" s="525"/>
      <c r="T60" s="525"/>
      <c r="U60" s="525"/>
    </row>
    <row r="61" spans="1:21">
      <c r="A61" s="461"/>
      <c r="D61" s="188"/>
      <c r="E61" s="605"/>
      <c r="F61" s="525"/>
      <c r="G61" s="525"/>
      <c r="H61" s="332"/>
      <c r="I61" s="632"/>
      <c r="J61" s="188"/>
      <c r="K61" s="605"/>
      <c r="L61" s="525"/>
      <c r="M61" s="525"/>
      <c r="N61" s="525"/>
      <c r="O61" s="525"/>
      <c r="P61" s="525"/>
      <c r="Q61" s="525"/>
      <c r="R61" s="525"/>
      <c r="S61" s="525"/>
      <c r="T61" s="525"/>
      <c r="U61" s="525"/>
    </row>
    <row r="62" spans="1:21">
      <c r="A62" s="461"/>
      <c r="F62" s="281"/>
      <c r="G62" s="281"/>
      <c r="H62" s="332"/>
      <c r="I62" s="332"/>
      <c r="L62" s="281"/>
      <c r="M62" s="281"/>
      <c r="N62" s="281"/>
      <c r="O62" s="281"/>
      <c r="P62" s="281"/>
      <c r="Q62" s="281"/>
      <c r="R62" s="281"/>
      <c r="S62" s="281"/>
      <c r="T62" s="281"/>
      <c r="U62" s="281"/>
    </row>
    <row r="63" spans="1:21">
      <c r="A63" s="461"/>
      <c r="F63" s="281"/>
      <c r="G63" s="281"/>
      <c r="H63" s="332"/>
      <c r="I63" s="332"/>
      <c r="L63" s="281"/>
      <c r="M63" s="281"/>
      <c r="N63" s="281"/>
      <c r="O63" s="281"/>
      <c r="P63" s="281"/>
      <c r="Q63" s="281"/>
      <c r="R63" s="281"/>
      <c r="S63" s="281"/>
      <c r="T63" s="281"/>
      <c r="U63" s="281"/>
    </row>
    <row r="64" spans="1:21">
      <c r="A64" s="461"/>
      <c r="D64" s="8">
        <v>3</v>
      </c>
      <c r="E64" s="8">
        <v>4</v>
      </c>
      <c r="F64" s="281"/>
      <c r="G64" s="281"/>
      <c r="H64" s="332"/>
      <c r="I64" s="332"/>
      <c r="J64" s="8">
        <v>3</v>
      </c>
      <c r="K64" s="8">
        <v>5</v>
      </c>
      <c r="L64" s="281"/>
      <c r="M64" s="281"/>
      <c r="N64" s="281"/>
      <c r="O64" s="281"/>
      <c r="P64" s="281"/>
      <c r="Q64" s="281"/>
      <c r="R64" s="281"/>
      <c r="S64" s="281"/>
      <c r="T64" s="281"/>
      <c r="U64" s="281"/>
    </row>
    <row r="65" spans="1:21">
      <c r="A65" s="461"/>
      <c r="D65" s="8" t="s">
        <v>489</v>
      </c>
      <c r="E65" s="603" t="str">
        <f t="shared" ref="E65" si="13">E$23</f>
        <v>0 (1)</v>
      </c>
      <c r="F65" s="281"/>
      <c r="G65" s="281"/>
      <c r="H65" s="332"/>
      <c r="I65" s="630"/>
      <c r="J65" s="8" t="s">
        <v>489</v>
      </c>
      <c r="K65" s="603" t="str">
        <f t="shared" ref="K65" si="14">K$23</f>
        <v>0 (1)</v>
      </c>
      <c r="L65" s="281"/>
      <c r="M65" s="281"/>
      <c r="N65" s="281"/>
      <c r="O65" s="281"/>
      <c r="P65" s="281"/>
      <c r="Q65" s="281"/>
      <c r="R65" s="281"/>
      <c r="S65" s="281"/>
      <c r="T65" s="281"/>
      <c r="U65" s="281"/>
    </row>
    <row r="66" spans="1:21">
      <c r="A66" s="461"/>
      <c r="B66" s="8">
        <v>3</v>
      </c>
      <c r="D66" s="188" t="str">
        <f t="shared" ref="D66:E70" si="15">VLOOKUP($B66,calcTableLOB1ESAT,D$42,FALSE)</f>
        <v>DOO Actions</v>
      </c>
      <c r="E66" s="605">
        <f t="shared" si="15"/>
        <v>0</v>
      </c>
      <c r="F66" s="525" t="s">
        <v>4793</v>
      </c>
      <c r="G66" s="525"/>
      <c r="H66" s="332"/>
      <c r="I66" s="632"/>
      <c r="J66" s="188" t="str">
        <f t="shared" ref="J66:K70" si="16">VLOOKUP($B66,calcR2TableLOB1ESAT,J$42,FALSE)</f>
        <v>DOO Actions</v>
      </c>
      <c r="K66" s="605">
        <f t="shared" si="16"/>
        <v>0</v>
      </c>
      <c r="L66" s="525" t="s">
        <v>7720</v>
      </c>
      <c r="M66" s="525"/>
      <c r="N66" s="525"/>
      <c r="O66" s="525"/>
      <c r="P66" s="525"/>
      <c r="Q66" s="525"/>
      <c r="R66" s="525"/>
      <c r="S66" s="525"/>
      <c r="T66" s="525"/>
      <c r="U66" s="525"/>
    </row>
    <row r="67" spans="1:21">
      <c r="A67" s="461"/>
      <c r="B67" s="8">
        <v>4</v>
      </c>
      <c r="D67" s="188" t="str">
        <f t="shared" si="15"/>
        <v>People Development Time</v>
      </c>
      <c r="E67" s="605">
        <f t="shared" si="15"/>
        <v>0</v>
      </c>
      <c r="F67" s="525" t="s">
        <v>4794</v>
      </c>
      <c r="G67" s="525"/>
      <c r="H67" s="332"/>
      <c r="I67" s="632"/>
      <c r="J67" s="188" t="str">
        <f t="shared" si="16"/>
        <v>People Development Time</v>
      </c>
      <c r="K67" s="605">
        <f t="shared" si="16"/>
        <v>0</v>
      </c>
      <c r="L67" s="525" t="s">
        <v>7721</v>
      </c>
      <c r="M67" s="525"/>
      <c r="N67" s="525"/>
      <c r="O67" s="525"/>
      <c r="P67" s="525"/>
      <c r="Q67" s="525"/>
      <c r="R67" s="525"/>
      <c r="S67" s="525"/>
      <c r="T67" s="525"/>
      <c r="U67" s="525"/>
    </row>
    <row r="68" spans="1:21">
      <c r="A68" s="461"/>
      <c r="B68" s="8">
        <v>5</v>
      </c>
      <c r="D68" s="188" t="str">
        <f t="shared" si="15"/>
        <v>DOO Utilzation</v>
      </c>
      <c r="E68" s="605">
        <f t="shared" si="15"/>
        <v>0</v>
      </c>
      <c r="F68" s="525" t="s">
        <v>4795</v>
      </c>
      <c r="G68" s="525"/>
      <c r="H68" s="332"/>
      <c r="I68" s="632"/>
      <c r="J68" s="188" t="str">
        <f t="shared" si="16"/>
        <v>DOO Utilzation</v>
      </c>
      <c r="K68" s="605">
        <f t="shared" si="16"/>
        <v>0</v>
      </c>
      <c r="L68" s="525" t="s">
        <v>7722</v>
      </c>
      <c r="M68" s="525"/>
      <c r="N68" s="525"/>
      <c r="O68" s="525"/>
      <c r="P68" s="525"/>
      <c r="Q68" s="525"/>
      <c r="R68" s="525"/>
      <c r="S68" s="525"/>
      <c r="T68" s="525"/>
      <c r="U68" s="525"/>
    </row>
    <row r="69" spans="1:21">
      <c r="A69" s="461"/>
      <c r="B69" s="8">
        <v>6</v>
      </c>
      <c r="D69" s="188" t="str">
        <f t="shared" si="15"/>
        <v>DOO Staff Modification</v>
      </c>
      <c r="E69" s="605">
        <f t="shared" si="15"/>
        <v>0</v>
      </c>
      <c r="F69" s="525" t="s">
        <v>8226</v>
      </c>
      <c r="G69" s="525"/>
      <c r="H69" s="332"/>
      <c r="I69" s="632"/>
      <c r="J69" s="188" t="str">
        <f t="shared" si="16"/>
        <v>DOO Staff Modification</v>
      </c>
      <c r="K69" s="605">
        <f t="shared" si="16"/>
        <v>0</v>
      </c>
      <c r="L69" s="525" t="s">
        <v>8227</v>
      </c>
      <c r="M69" s="525"/>
      <c r="N69" s="525"/>
      <c r="O69" s="525"/>
      <c r="P69" s="525"/>
      <c r="Q69" s="525"/>
      <c r="R69" s="525"/>
      <c r="S69" s="525"/>
      <c r="T69" s="525"/>
      <c r="U69" s="525"/>
    </row>
    <row r="70" spans="1:21">
      <c r="A70" s="461"/>
      <c r="B70" s="8">
        <v>7</v>
      </c>
      <c r="D70" s="188" t="str">
        <f t="shared" si="15"/>
        <v>Employee Engagement</v>
      </c>
      <c r="E70" s="605">
        <f t="shared" si="15"/>
        <v>0.75</v>
      </c>
      <c r="F70" s="525" t="s">
        <v>4796</v>
      </c>
      <c r="G70" s="525"/>
      <c r="H70" s="332"/>
      <c r="I70" s="632"/>
      <c r="J70" s="188">
        <f t="shared" si="16"/>
        <v>1</v>
      </c>
      <c r="K70" s="605">
        <f t="shared" si="16"/>
        <v>0.71494805328536837</v>
      </c>
      <c r="L70" s="525" t="s">
        <v>7723</v>
      </c>
      <c r="M70" s="525"/>
      <c r="N70" s="525"/>
      <c r="O70" s="525"/>
      <c r="P70" s="525"/>
      <c r="Q70" s="525"/>
      <c r="R70" s="525"/>
      <c r="S70" s="525"/>
      <c r="T70" s="525"/>
      <c r="U70" s="525"/>
    </row>
    <row r="71" spans="1:21">
      <c r="A71" s="461"/>
      <c r="D71" s="188"/>
      <c r="E71" s="605"/>
      <c r="F71" s="525"/>
      <c r="G71" s="525"/>
      <c r="H71" s="332"/>
      <c r="I71" s="632"/>
      <c r="J71" s="188"/>
      <c r="K71" s="605"/>
      <c r="L71" s="525"/>
      <c r="M71" s="525"/>
      <c r="N71" s="525"/>
      <c r="O71" s="525"/>
      <c r="P71" s="525"/>
      <c r="Q71" s="525"/>
      <c r="R71" s="525"/>
      <c r="S71" s="525"/>
      <c r="T71" s="525"/>
      <c r="U71" s="525"/>
    </row>
    <row r="72" spans="1:21">
      <c r="A72" s="461"/>
      <c r="D72" s="188"/>
      <c r="E72" s="605"/>
      <c r="F72" s="525"/>
      <c r="G72" s="525"/>
      <c r="H72" s="332"/>
      <c r="I72" s="632"/>
      <c r="J72" s="188"/>
      <c r="K72" s="605"/>
      <c r="L72" s="525"/>
      <c r="M72" s="525"/>
      <c r="N72" s="525"/>
      <c r="O72" s="525"/>
      <c r="P72" s="525"/>
      <c r="Q72" s="525"/>
      <c r="R72" s="525"/>
      <c r="S72" s="525"/>
      <c r="T72" s="525"/>
      <c r="U72" s="525"/>
    </row>
    <row r="73" spans="1:21">
      <c r="A73" s="461"/>
      <c r="D73" s="188"/>
      <c r="E73" s="605"/>
      <c r="F73" s="525"/>
      <c r="G73" s="525"/>
      <c r="H73" s="332"/>
      <c r="I73" s="632"/>
      <c r="J73" s="188"/>
      <c r="K73" s="605"/>
      <c r="L73" s="525"/>
      <c r="M73" s="525"/>
      <c r="N73" s="525"/>
      <c r="O73" s="525"/>
      <c r="P73" s="525"/>
      <c r="Q73" s="525"/>
      <c r="R73" s="525"/>
      <c r="S73" s="525"/>
      <c r="T73" s="525"/>
      <c r="U73" s="525"/>
    </row>
    <row r="74" spans="1:21">
      <c r="A74" s="461"/>
      <c r="F74" s="281"/>
      <c r="G74" s="281"/>
      <c r="H74" s="332"/>
      <c r="I74" s="332"/>
      <c r="L74" s="281"/>
      <c r="M74" s="281"/>
      <c r="N74" s="281"/>
      <c r="O74" s="281"/>
      <c r="P74" s="281"/>
      <c r="Q74" s="281"/>
      <c r="R74" s="281"/>
      <c r="S74" s="281"/>
      <c r="T74" s="281"/>
      <c r="U74" s="281"/>
    </row>
    <row r="75" spans="1:21">
      <c r="A75" s="461"/>
      <c r="F75" s="281"/>
      <c r="G75" s="281"/>
      <c r="H75" s="332"/>
      <c r="I75" s="332"/>
      <c r="L75" s="281"/>
      <c r="M75" s="281"/>
      <c r="N75" s="281"/>
      <c r="O75" s="281"/>
      <c r="P75" s="281"/>
      <c r="Q75" s="281"/>
      <c r="R75" s="281"/>
      <c r="S75" s="281"/>
      <c r="T75" s="281"/>
      <c r="U75" s="281"/>
    </row>
    <row r="76" spans="1:21">
      <c r="A76" s="461"/>
      <c r="D76" s="8" t="s">
        <v>341</v>
      </c>
      <c r="E76" s="603" t="str">
        <f t="shared" ref="E76" si="17">E$23</f>
        <v>0 (1)</v>
      </c>
      <c r="F76" s="281"/>
      <c r="G76" s="281"/>
      <c r="H76" s="332"/>
      <c r="I76" s="630"/>
      <c r="J76" s="8" t="s">
        <v>341</v>
      </c>
      <c r="K76" s="603" t="str">
        <f t="shared" ref="K76" si="18">K$23</f>
        <v>0 (1)</v>
      </c>
      <c r="L76" s="281"/>
      <c r="M76" s="281"/>
      <c r="N76" s="281"/>
      <c r="O76" s="281"/>
      <c r="P76" s="281"/>
      <c r="Q76" s="281"/>
      <c r="R76" s="281"/>
      <c r="S76" s="281"/>
      <c r="T76" s="281"/>
      <c r="U76" s="281"/>
    </row>
    <row r="77" spans="1:21">
      <c r="A77" s="461"/>
      <c r="D77" s="188" t="str">
        <f>nmEmp1</f>
        <v>Skilled Nursing</v>
      </c>
      <c r="E77" s="604">
        <f>finPNLLOB1Emp1Cost</f>
        <v>1478576.9407499996</v>
      </c>
      <c r="F77" s="525" t="s">
        <v>4797</v>
      </c>
      <c r="G77" s="525"/>
      <c r="H77" s="332"/>
      <c r="I77" s="631"/>
      <c r="J77" s="188" t="str">
        <f>nmEmp1</f>
        <v>Skilled Nursing</v>
      </c>
      <c r="K77" s="604">
        <f>finR2PNLLOB1Emp1Cost</f>
        <v>1284146.5988816808</v>
      </c>
      <c r="L77" s="525" t="s">
        <v>7724</v>
      </c>
      <c r="M77" s="525"/>
      <c r="N77" s="525"/>
      <c r="O77" s="525"/>
      <c r="P77" s="525"/>
      <c r="Q77" s="525"/>
      <c r="R77" s="525"/>
      <c r="S77" s="525"/>
      <c r="T77" s="525"/>
      <c r="U77" s="525"/>
    </row>
    <row r="78" spans="1:21">
      <c r="A78" s="461"/>
      <c r="D78" s="188" t="str">
        <f>nmEmp2</f>
        <v>Occupational Therapy</v>
      </c>
      <c r="E78" s="604">
        <f>finPNLLOB1Emp2Cost</f>
        <v>439439.93280000013</v>
      </c>
      <c r="F78" s="525" t="s">
        <v>4798</v>
      </c>
      <c r="G78" s="525"/>
      <c r="H78" s="332"/>
      <c r="I78" s="631"/>
      <c r="J78" s="188" t="str">
        <f>nmEmp2</f>
        <v>Occupational Therapy</v>
      </c>
      <c r="K78" s="604">
        <f>finR2PNLLOB1Emp2Cost</f>
        <v>382446.6112141721</v>
      </c>
      <c r="L78" s="525" t="s">
        <v>7725</v>
      </c>
      <c r="M78" s="525"/>
      <c r="N78" s="525"/>
      <c r="O78" s="525"/>
      <c r="P78" s="525"/>
      <c r="Q78" s="525"/>
      <c r="R78" s="525"/>
      <c r="S78" s="525"/>
      <c r="T78" s="525"/>
      <c r="U78" s="525"/>
    </row>
    <row r="79" spans="1:21">
      <c r="A79" s="461"/>
      <c r="D79" s="188" t="str">
        <f>nmEmp3</f>
        <v>Physical Therapy</v>
      </c>
      <c r="E79" s="604">
        <f>finPNLLOB1Emp3Cost</f>
        <v>1763106.2400000005</v>
      </c>
      <c r="F79" s="525" t="s">
        <v>4897</v>
      </c>
      <c r="G79" s="525"/>
      <c r="H79" s="332"/>
      <c r="I79" s="631"/>
      <c r="J79" s="188" t="str">
        <f>nmEmp3</f>
        <v>Physical Therapy</v>
      </c>
      <c r="K79" s="604">
        <f>finR2PNLLOB1Emp3Cost</f>
        <v>1530880.9541815661</v>
      </c>
      <c r="L79" s="525" t="s">
        <v>7726</v>
      </c>
      <c r="M79" s="525"/>
      <c r="N79" s="525"/>
      <c r="O79" s="525"/>
      <c r="P79" s="525"/>
      <c r="Q79" s="525"/>
      <c r="R79" s="525"/>
      <c r="S79" s="525"/>
      <c r="T79" s="525"/>
      <c r="U79" s="525"/>
    </row>
    <row r="80" spans="1:21">
      <c r="A80" s="461"/>
      <c r="D80" s="188" t="s">
        <v>343</v>
      </c>
      <c r="E80" s="604">
        <f>finPNLLOB1GrossProfit</f>
        <v>3652322.8864500001</v>
      </c>
      <c r="F80" s="525" t="s">
        <v>4799</v>
      </c>
      <c r="G80" s="525"/>
      <c r="H80" s="332"/>
      <c r="I80" s="631"/>
      <c r="J80" s="188" t="s">
        <v>343</v>
      </c>
      <c r="K80" s="604">
        <f>finR2PNLLOB1GrossProfit</f>
        <v>4253859.8357225806</v>
      </c>
      <c r="L80" s="525" t="s">
        <v>7727</v>
      </c>
      <c r="M80" s="525"/>
      <c r="N80" s="525"/>
      <c r="O80" s="525"/>
      <c r="P80" s="525"/>
      <c r="Q80" s="525"/>
      <c r="R80" s="525"/>
      <c r="S80" s="525"/>
      <c r="T80" s="525"/>
      <c r="U80" s="525"/>
    </row>
    <row r="81" spans="1:21">
      <c r="A81" s="461"/>
      <c r="D81" s="188" t="s">
        <v>341</v>
      </c>
      <c r="E81" s="605">
        <f>finPNLLOB1GrossMargin</f>
        <v>0.49803637832064218</v>
      </c>
      <c r="F81" s="525" t="s">
        <v>4800</v>
      </c>
      <c r="G81" s="525"/>
      <c r="H81" s="332"/>
      <c r="I81" s="632"/>
      <c r="J81" s="188" t="s">
        <v>341</v>
      </c>
      <c r="K81" s="605">
        <f>finR2PNLLOB1GrossMargin</f>
        <v>0.5708856743936831</v>
      </c>
      <c r="L81" s="525" t="s">
        <v>7728</v>
      </c>
      <c r="M81" s="525"/>
      <c r="N81" s="525"/>
      <c r="O81" s="525"/>
      <c r="P81" s="525"/>
      <c r="Q81" s="525"/>
      <c r="R81" s="525"/>
      <c r="S81" s="525"/>
      <c r="T81" s="525"/>
      <c r="U81" s="525"/>
    </row>
    <row r="82" spans="1:21">
      <c r="A82" s="461"/>
      <c r="F82" s="281"/>
      <c r="G82" s="281"/>
      <c r="H82" s="332"/>
      <c r="I82" s="332"/>
      <c r="L82" s="281"/>
      <c r="M82" s="281"/>
      <c r="N82" s="281"/>
      <c r="O82" s="281"/>
      <c r="P82" s="281"/>
      <c r="Q82" s="281"/>
      <c r="R82" s="281"/>
      <c r="S82" s="281"/>
      <c r="T82" s="281"/>
      <c r="U82" s="281"/>
    </row>
    <row r="83" spans="1:21">
      <c r="A83" s="461"/>
      <c r="F83" s="281"/>
      <c r="G83" s="281"/>
      <c r="H83" s="332"/>
      <c r="I83" s="332"/>
      <c r="L83" s="281"/>
      <c r="M83" s="281"/>
      <c r="N83" s="281"/>
      <c r="O83" s="281"/>
      <c r="P83" s="281"/>
      <c r="Q83" s="281"/>
      <c r="R83" s="281"/>
      <c r="S83" s="281"/>
      <c r="T83" s="281"/>
      <c r="U83" s="281"/>
    </row>
    <row r="84" spans="1:21">
      <c r="A84" s="461"/>
      <c r="D84" s="8" t="s">
        <v>4801</v>
      </c>
      <c r="E84" s="603" t="str">
        <f t="shared" ref="E84" si="19">E$23</f>
        <v>0 (1)</v>
      </c>
      <c r="F84" s="281"/>
      <c r="G84" s="281"/>
      <c r="H84" s="332"/>
      <c r="I84" s="630"/>
      <c r="J84" s="8" t="s">
        <v>4801</v>
      </c>
      <c r="K84" s="603" t="str">
        <f t="shared" ref="K84" si="20">K$23</f>
        <v>0 (1)</v>
      </c>
      <c r="L84" s="281"/>
      <c r="M84" s="281"/>
      <c r="N84" s="281"/>
      <c r="O84" s="281"/>
      <c r="P84" s="281"/>
      <c r="Q84" s="281"/>
      <c r="R84" s="281"/>
      <c r="S84" s="281"/>
      <c r="T84" s="281"/>
      <c r="U84" s="281"/>
    </row>
    <row r="85" spans="1:21">
      <c r="A85" s="461"/>
      <c r="D85" s="188" t="str">
        <f>nmEmp1&amp;" Capacity"</f>
        <v>Skilled Nursing Capacity</v>
      </c>
      <c r="E85" s="604">
        <f>calcLOB1Emp1Capacity</f>
        <v>18915.1002712968</v>
      </c>
      <c r="F85" s="525" t="s">
        <v>4802</v>
      </c>
      <c r="G85" s="525"/>
      <c r="H85" s="332"/>
      <c r="I85" s="631"/>
      <c r="J85" s="188" t="str">
        <f>nmEmp1&amp;" Capacity"</f>
        <v>Skilled Nursing Capacity</v>
      </c>
      <c r="K85" s="604">
        <f>calcR2LOB1Emp1Capacity</f>
        <v>16563.406359560959</v>
      </c>
      <c r="L85" s="525" t="s">
        <v>7729</v>
      </c>
      <c r="M85" s="525"/>
      <c r="N85" s="525"/>
      <c r="O85" s="525"/>
      <c r="P85" s="525"/>
      <c r="Q85" s="525"/>
      <c r="R85" s="525"/>
      <c r="S85" s="525"/>
      <c r="T85" s="525"/>
      <c r="U85" s="525"/>
    </row>
    <row r="86" spans="1:21">
      <c r="A86" s="461"/>
      <c r="D86" s="188" t="str">
        <f>nmEmp1&amp;" Demand"</f>
        <v>Skilled Nursing Demand</v>
      </c>
      <c r="E86" s="604">
        <f>calcLOB1Emp1Visits</f>
        <v>21297.600000000002</v>
      </c>
      <c r="F86" s="525" t="s">
        <v>4803</v>
      </c>
      <c r="G86" s="525"/>
      <c r="H86" s="332"/>
      <c r="I86" s="631"/>
      <c r="J86" s="188" t="str">
        <f>nmEmp1&amp;" Demand"</f>
        <v>Skilled Nursing Demand</v>
      </c>
      <c r="K86" s="604">
        <f>calcR2LOB1Emp1Visits</f>
        <v>21624</v>
      </c>
      <c r="L86" s="525" t="s">
        <v>7730</v>
      </c>
      <c r="M86" s="525"/>
      <c r="N86" s="525"/>
      <c r="O86" s="525"/>
      <c r="P86" s="525"/>
      <c r="Q86" s="525"/>
      <c r="R86" s="525"/>
      <c r="S86" s="525"/>
      <c r="T86" s="525"/>
      <c r="U86" s="525"/>
    </row>
    <row r="87" spans="1:21">
      <c r="A87" s="461"/>
      <c r="D87" s="188" t="str">
        <f>nmEmp2&amp;" Capacity"</f>
        <v>Occupational Therapy Capacity</v>
      </c>
      <c r="E87" s="604">
        <f>calcLOB1Emp2Capacity</f>
        <v>4773.0063157894738</v>
      </c>
      <c r="F87" s="525" t="s">
        <v>4804</v>
      </c>
      <c r="G87" s="525"/>
      <c r="H87" s="332"/>
      <c r="I87" s="631"/>
      <c r="J87" s="188" t="str">
        <f>nmEmp2&amp;" Capacity"</f>
        <v>Occupational Therapy Capacity</v>
      </c>
      <c r="K87" s="604">
        <f>calcR2LOB1Emp2Capacity</f>
        <v>4148.2815209161363</v>
      </c>
      <c r="L87" s="525" t="s">
        <v>7731</v>
      </c>
      <c r="M87" s="525"/>
      <c r="N87" s="525"/>
      <c r="O87" s="525"/>
      <c r="P87" s="525"/>
      <c r="Q87" s="525"/>
      <c r="R87" s="525"/>
      <c r="S87" s="525"/>
      <c r="T87" s="525"/>
      <c r="U87" s="525"/>
    </row>
    <row r="88" spans="1:21">
      <c r="A88" s="461"/>
      <c r="D88" s="188" t="str">
        <f>nmEmp2&amp;" Demand"</f>
        <v>Occupational Therapy Demand</v>
      </c>
      <c r="E88" s="604">
        <f>calcLOB1Emp2Visits</f>
        <v>5481</v>
      </c>
      <c r="F88" s="525" t="s">
        <v>4805</v>
      </c>
      <c r="G88" s="525"/>
      <c r="H88" s="332"/>
      <c r="I88" s="631"/>
      <c r="J88" s="188" t="str">
        <f>nmEmp2&amp;" Demand"</f>
        <v>Occupational Therapy Demand</v>
      </c>
      <c r="K88" s="604">
        <f>calcR2LOB1Emp2Visits</f>
        <v>5565</v>
      </c>
      <c r="L88" s="525" t="s">
        <v>7732</v>
      </c>
      <c r="M88" s="525"/>
      <c r="N88" s="525"/>
      <c r="O88" s="525"/>
      <c r="P88" s="525"/>
      <c r="Q88" s="525"/>
      <c r="R88" s="525"/>
      <c r="S88" s="525"/>
      <c r="T88" s="525"/>
      <c r="U88" s="525"/>
    </row>
    <row r="89" spans="1:21">
      <c r="A89" s="461"/>
      <c r="D89" s="188" t="str">
        <f>nmEmp3&amp;" Capacity"</f>
        <v>Physical Therapy Capacity</v>
      </c>
      <c r="E89" s="604">
        <f>calcLOB1Emp3Capacity</f>
        <v>18476.313402061856</v>
      </c>
      <c r="F89" s="525" t="s">
        <v>4806</v>
      </c>
      <c r="G89" s="525"/>
      <c r="H89" s="332"/>
      <c r="I89" s="631"/>
      <c r="J89" s="188" t="str">
        <f>nmEmp3&amp;" Capacity"</f>
        <v>Physical Therapy Capacity</v>
      </c>
      <c r="K89" s="604">
        <f>calcR2LOB1Emp3Capacity</f>
        <v>16106.66762840437</v>
      </c>
      <c r="L89" s="525" t="s">
        <v>7733</v>
      </c>
      <c r="M89" s="525"/>
      <c r="N89" s="525"/>
      <c r="O89" s="525"/>
      <c r="P89" s="525"/>
      <c r="Q89" s="525"/>
      <c r="R89" s="525"/>
      <c r="S89" s="525"/>
      <c r="T89" s="525"/>
      <c r="U89" s="525"/>
    </row>
    <row r="90" spans="1:21">
      <c r="A90" s="461"/>
      <c r="D90" s="188" t="str">
        <f>nmEmp3&amp;" Demand"</f>
        <v>Physical Therapy Demand</v>
      </c>
      <c r="E90" s="604">
        <f>calcLOB1Emp3Visits</f>
        <v>21297.600000000002</v>
      </c>
      <c r="F90" s="525" t="s">
        <v>4807</v>
      </c>
      <c r="G90" s="525"/>
      <c r="H90" s="332"/>
      <c r="I90" s="631"/>
      <c r="J90" s="188" t="str">
        <f>nmEmp3&amp;" Demand"</f>
        <v>Physical Therapy Demand</v>
      </c>
      <c r="K90" s="604">
        <f>calcR2LOB1Emp3Visits</f>
        <v>21624</v>
      </c>
      <c r="L90" s="525" t="s">
        <v>7734</v>
      </c>
      <c r="M90" s="525"/>
      <c r="N90" s="525"/>
      <c r="O90" s="525"/>
      <c r="P90" s="525"/>
      <c r="Q90" s="525"/>
      <c r="R90" s="525"/>
      <c r="S90" s="525"/>
      <c r="T90" s="525"/>
      <c r="U90" s="525"/>
    </row>
    <row r="91" spans="1:21">
      <c r="A91" s="461"/>
      <c r="D91" s="188" t="s">
        <v>4808</v>
      </c>
      <c r="E91" s="605">
        <f>1-(E85+E87+E89)/(E86+E88+E90)</f>
        <v>0.1229668736474987</v>
      </c>
      <c r="F91" s="525" t="s">
        <v>4809</v>
      </c>
      <c r="G91" s="525"/>
      <c r="H91" s="332"/>
      <c r="I91" s="632"/>
      <c r="J91" s="188" t="s">
        <v>4808</v>
      </c>
      <c r="K91" s="605">
        <f t="shared" ref="K91" si="21">1-(K85+K87+K89)/(K86+K88+K90)</f>
        <v>0.24572643539873662</v>
      </c>
      <c r="L91" s="525" t="s">
        <v>7735</v>
      </c>
      <c r="M91" s="525"/>
      <c r="N91" s="525"/>
      <c r="O91" s="525"/>
      <c r="P91" s="525"/>
      <c r="Q91" s="525"/>
      <c r="R91" s="525"/>
      <c r="S91" s="525"/>
      <c r="T91" s="525"/>
      <c r="U91" s="525"/>
    </row>
    <row r="92" spans="1:21">
      <c r="A92" s="461"/>
      <c r="H92" s="332"/>
      <c r="I92" s="332"/>
    </row>
    <row r="93" spans="1:21">
      <c r="A93" s="461"/>
      <c r="H93" s="332"/>
      <c r="I93" s="332"/>
    </row>
    <row r="94" spans="1:21">
      <c r="A94" s="461"/>
      <c r="D94" s="8" t="s">
        <v>4814</v>
      </c>
      <c r="E94" s="603" t="str">
        <f t="shared" ref="E94" si="22">E$23</f>
        <v>0 (1)</v>
      </c>
      <c r="F94" s="281"/>
      <c r="G94" s="281"/>
      <c r="H94" s="332"/>
      <c r="I94" s="630"/>
      <c r="J94" s="8" t="s">
        <v>4814</v>
      </c>
      <c r="K94" s="603" t="str">
        <f t="shared" ref="K94" si="23">K$23</f>
        <v>0 (1)</v>
      </c>
      <c r="L94" s="281"/>
      <c r="M94" s="281"/>
      <c r="N94" s="281"/>
      <c r="O94" s="281"/>
      <c r="P94" s="281"/>
      <c r="Q94" s="281"/>
      <c r="R94" s="281"/>
      <c r="S94" s="281"/>
      <c r="T94" s="281"/>
      <c r="U94" s="281"/>
    </row>
    <row r="95" spans="1:21">
      <c r="A95" s="461"/>
      <c r="D95" s="188" t="s">
        <v>407</v>
      </c>
      <c r="E95" s="604">
        <f>finPNLLOB1ServiceCost</f>
        <v>3681123.1135499999</v>
      </c>
      <c r="F95" s="525" t="s">
        <v>4810</v>
      </c>
      <c r="G95" s="525"/>
      <c r="H95" s="332"/>
      <c r="I95" s="631"/>
      <c r="J95" s="188" t="s">
        <v>407</v>
      </c>
      <c r="K95" s="604">
        <f>finR2PNLLOB1ServiceCost</f>
        <v>3197474.164277419</v>
      </c>
      <c r="L95" s="525" t="s">
        <v>7736</v>
      </c>
      <c r="M95" s="525"/>
      <c r="N95" s="525"/>
      <c r="O95" s="525"/>
      <c r="P95" s="525"/>
      <c r="Q95" s="525"/>
      <c r="R95" s="525"/>
      <c r="S95" s="525"/>
      <c r="T95" s="525"/>
      <c r="U95" s="525"/>
    </row>
    <row r="96" spans="1:21">
      <c r="A96" s="461"/>
      <c r="D96" s="188" t="s">
        <v>4714</v>
      </c>
      <c r="E96" s="604">
        <f>finPNLLOB1EmpOverhead</f>
        <v>2516000</v>
      </c>
      <c r="F96" s="525" t="s">
        <v>4811</v>
      </c>
      <c r="G96" s="525"/>
      <c r="H96" s="332"/>
      <c r="I96" s="631"/>
      <c r="J96" s="188" t="s">
        <v>4714</v>
      </c>
      <c r="K96" s="604">
        <f>finR2PNLLOB1EmpOverhead</f>
        <v>2516000</v>
      </c>
      <c r="L96" s="525" t="s">
        <v>7737</v>
      </c>
      <c r="M96" s="525"/>
      <c r="N96" s="525"/>
      <c r="O96" s="525"/>
      <c r="P96" s="525"/>
      <c r="Q96" s="525"/>
      <c r="R96" s="525"/>
      <c r="S96" s="525"/>
      <c r="T96" s="525"/>
      <c r="U96" s="525"/>
    </row>
    <row r="97" spans="1:21">
      <c r="A97" s="461"/>
      <c r="D97" s="188" t="s">
        <v>487</v>
      </c>
      <c r="E97" s="604">
        <f>finPNLLOB1OpProfit</f>
        <v>1136322.8864500001</v>
      </c>
      <c r="F97" s="525" t="s">
        <v>4812</v>
      </c>
      <c r="G97" s="525"/>
      <c r="H97" s="332"/>
      <c r="I97" s="631"/>
      <c r="J97" s="188" t="s">
        <v>487</v>
      </c>
      <c r="K97" s="604">
        <f>finR2PNLLOB1OpProfit</f>
        <v>1737859.8357225806</v>
      </c>
      <c r="L97" s="525" t="s">
        <v>7738</v>
      </c>
      <c r="M97" s="525"/>
      <c r="N97" s="525"/>
      <c r="O97" s="525"/>
      <c r="P97" s="525"/>
      <c r="Q97" s="525"/>
      <c r="R97" s="525"/>
      <c r="S97" s="525"/>
      <c r="T97" s="525"/>
      <c r="U97" s="525"/>
    </row>
    <row r="98" spans="1:21">
      <c r="A98" s="461"/>
      <c r="D98" s="188" t="s">
        <v>4716</v>
      </c>
      <c r="E98" s="605">
        <f>finPNLLOB1OpMargin</f>
        <v>0.15495074027271763</v>
      </c>
      <c r="F98" s="525" t="s">
        <v>4813</v>
      </c>
      <c r="G98" s="525"/>
      <c r="H98" s="332"/>
      <c r="I98" s="632"/>
      <c r="J98" s="188" t="s">
        <v>4716</v>
      </c>
      <c r="K98" s="605">
        <f>finR2PNLLOB1OpMargin</f>
        <v>0.23322801470482743</v>
      </c>
      <c r="L98" s="525" t="s">
        <v>7739</v>
      </c>
      <c r="M98" s="525"/>
      <c r="N98" s="525"/>
      <c r="O98" s="525"/>
      <c r="P98" s="525"/>
      <c r="Q98" s="525"/>
      <c r="R98" s="525"/>
      <c r="S98" s="525"/>
      <c r="T98" s="525"/>
      <c r="U98" s="525"/>
    </row>
    <row r="99" spans="1:21">
      <c r="A99" s="461"/>
      <c r="D99" s="188"/>
      <c r="E99" s="605"/>
      <c r="F99" s="525"/>
      <c r="G99" s="525"/>
      <c r="H99" s="332"/>
      <c r="I99" s="632"/>
      <c r="J99" s="188"/>
      <c r="K99" s="605"/>
      <c r="L99" s="525"/>
      <c r="M99" s="525"/>
      <c r="N99" s="525"/>
      <c r="O99" s="525"/>
      <c r="P99" s="525"/>
      <c r="Q99" s="525"/>
      <c r="R99" s="525"/>
      <c r="S99" s="525"/>
      <c r="T99" s="525"/>
      <c r="U99" s="525"/>
    </row>
    <row r="100" spans="1:21">
      <c r="F100" s="281"/>
      <c r="G100" s="281"/>
      <c r="H100" s="332"/>
      <c r="I100" s="332"/>
      <c r="L100" s="281"/>
      <c r="M100" s="281"/>
      <c r="N100" s="281"/>
      <c r="O100" s="281"/>
      <c r="P100" s="281"/>
      <c r="Q100" s="281"/>
      <c r="R100" s="281"/>
      <c r="S100" s="281"/>
      <c r="T100" s="281"/>
      <c r="U100" s="281"/>
    </row>
    <row r="101" spans="1:21">
      <c r="A101" s="478"/>
      <c r="D101" s="8" t="s">
        <v>4727</v>
      </c>
      <c r="E101" s="603" t="str">
        <f t="shared" ref="E101" si="24">E$23</f>
        <v>0 (1)</v>
      </c>
      <c r="F101" s="281"/>
      <c r="G101" s="281"/>
      <c r="H101" s="332"/>
      <c r="I101" s="630"/>
      <c r="J101" s="8" t="s">
        <v>4727</v>
      </c>
      <c r="K101" s="603" t="str">
        <f t="shared" ref="K101" si="25">K$23</f>
        <v>0 (1)</v>
      </c>
      <c r="L101" s="281"/>
      <c r="M101" s="281"/>
      <c r="N101" s="281"/>
      <c r="O101" s="281"/>
      <c r="P101" s="281"/>
      <c r="Q101" s="281"/>
      <c r="R101" s="281"/>
      <c r="S101" s="281"/>
      <c r="T101" s="281"/>
      <c r="U101" s="281"/>
    </row>
    <row r="102" spans="1:21">
      <c r="A102" s="478"/>
      <c r="D102" s="188" t="str">
        <f>nmSeg1</f>
        <v>Medicare</v>
      </c>
      <c r="E102" s="604">
        <f>finPNLLOB2Seg1Rev</f>
        <v>5141908.8000000007</v>
      </c>
      <c r="F102" s="525" t="s">
        <v>4815</v>
      </c>
      <c r="G102" s="525"/>
      <c r="H102" s="332"/>
      <c r="I102" s="631"/>
      <c r="J102" s="188" t="str">
        <f>nmSeg1</f>
        <v>Medicare</v>
      </c>
      <c r="K102" s="604">
        <f>finR2PNLLOB2Seg1Rev</f>
        <v>5319216.0000000009</v>
      </c>
      <c r="L102" s="525" t="s">
        <v>7740</v>
      </c>
      <c r="M102" s="525"/>
      <c r="N102" s="525"/>
      <c r="O102" s="525"/>
      <c r="P102" s="525"/>
      <c r="Q102" s="525"/>
      <c r="R102" s="525"/>
      <c r="S102" s="525"/>
      <c r="T102" s="525"/>
      <c r="U102" s="525"/>
    </row>
    <row r="103" spans="1:21">
      <c r="A103" s="478"/>
      <c r="D103" s="188" t="str">
        <f>nmSeg2</f>
        <v>PPS</v>
      </c>
      <c r="E103" s="604">
        <f>finPNLLOB2Seg2Rev</f>
        <v>237319.2</v>
      </c>
      <c r="F103" s="525" t="s">
        <v>4816</v>
      </c>
      <c r="G103" s="525"/>
      <c r="H103" s="332"/>
      <c r="I103" s="631"/>
      <c r="J103" s="188" t="str">
        <f>nmSeg2</f>
        <v>PPS</v>
      </c>
      <c r="K103" s="604">
        <f>finR2PNLLOB2Seg2Rev</f>
        <v>263688</v>
      </c>
      <c r="L103" s="525" t="s">
        <v>7741</v>
      </c>
      <c r="M103" s="525"/>
      <c r="N103" s="525"/>
      <c r="O103" s="525"/>
      <c r="P103" s="525"/>
      <c r="Q103" s="525"/>
      <c r="R103" s="525"/>
      <c r="S103" s="525"/>
      <c r="T103" s="525"/>
      <c r="U103" s="525"/>
    </row>
    <row r="104" spans="1:21">
      <c r="A104" s="478"/>
      <c r="D104" s="188" t="str">
        <f>nmSeg3</f>
        <v>Other</v>
      </c>
      <c r="E104" s="604">
        <f>finPNLLOB2Seg3Rev</f>
        <v>82650</v>
      </c>
      <c r="F104" s="525" t="s">
        <v>4817</v>
      </c>
      <c r="G104" s="525"/>
      <c r="H104" s="332"/>
      <c r="I104" s="631"/>
      <c r="J104" s="188" t="str">
        <f>nmSeg3</f>
        <v>Other</v>
      </c>
      <c r="K104" s="604">
        <f>finR2PNLLOB2Seg3Rev</f>
        <v>99180</v>
      </c>
      <c r="L104" s="525" t="s">
        <v>7742</v>
      </c>
      <c r="M104" s="525"/>
      <c r="N104" s="525"/>
      <c r="O104" s="525"/>
      <c r="P104" s="525"/>
      <c r="Q104" s="525"/>
      <c r="R104" s="525"/>
      <c r="S104" s="525"/>
      <c r="T104" s="525"/>
      <c r="U104" s="525"/>
    </row>
    <row r="105" spans="1:21">
      <c r="A105" s="478"/>
      <c r="D105" s="188" t="s">
        <v>4730</v>
      </c>
      <c r="E105" s="605">
        <f>cbalLOB2RevGrowth</f>
        <v>2.4752971230853182E-2</v>
      </c>
      <c r="F105" s="525" t="s">
        <v>4818</v>
      </c>
      <c r="G105" s="525"/>
      <c r="H105" s="332"/>
      <c r="I105" s="632"/>
      <c r="J105" s="188" t="s">
        <v>4730</v>
      </c>
      <c r="K105" s="605">
        <f>cbalR2LOB2RevGrowth</f>
        <v>4.0316901988656673E-2</v>
      </c>
      <c r="L105" s="525" t="s">
        <v>7743</v>
      </c>
      <c r="M105" s="525"/>
      <c r="N105" s="525"/>
      <c r="O105" s="525"/>
      <c r="P105" s="525"/>
      <c r="Q105" s="525"/>
      <c r="R105" s="525"/>
      <c r="S105" s="525"/>
      <c r="T105" s="525"/>
      <c r="U105" s="525"/>
    </row>
    <row r="106" spans="1:21">
      <c r="A106" s="478"/>
      <c r="D106" s="188"/>
      <c r="E106" s="75"/>
      <c r="F106" s="281"/>
      <c r="G106" s="281"/>
      <c r="H106" s="332"/>
      <c r="I106" s="383"/>
      <c r="J106" s="188"/>
      <c r="K106" s="75"/>
      <c r="L106" s="281"/>
      <c r="M106" s="281"/>
      <c r="N106" s="281"/>
      <c r="O106" s="281"/>
      <c r="P106" s="281"/>
      <c r="Q106" s="281"/>
      <c r="R106" s="281"/>
      <c r="S106" s="281"/>
      <c r="T106" s="281"/>
      <c r="U106" s="281"/>
    </row>
    <row r="107" spans="1:21">
      <c r="A107" s="478"/>
      <c r="F107" s="281"/>
      <c r="G107" s="281"/>
      <c r="H107" s="332"/>
      <c r="I107" s="332"/>
      <c r="L107" s="281"/>
      <c r="M107" s="281"/>
      <c r="N107" s="281"/>
      <c r="O107" s="281"/>
      <c r="P107" s="281"/>
      <c r="Q107" s="281"/>
      <c r="R107" s="281"/>
      <c r="S107" s="281"/>
      <c r="T107" s="281"/>
      <c r="U107" s="281"/>
    </row>
    <row r="108" spans="1:21">
      <c r="A108" s="478"/>
      <c r="F108" s="281"/>
      <c r="G108" s="281"/>
      <c r="H108" s="332"/>
      <c r="I108" s="332"/>
      <c r="L108" s="281"/>
      <c r="M108" s="281"/>
      <c r="N108" s="281"/>
      <c r="O108" s="281"/>
      <c r="P108" s="281"/>
      <c r="Q108" s="281"/>
      <c r="R108" s="281"/>
      <c r="S108" s="281"/>
      <c r="T108" s="281"/>
      <c r="U108" s="281"/>
    </row>
    <row r="109" spans="1:21">
      <c r="A109" s="478"/>
      <c r="D109" s="8" t="s">
        <v>4728</v>
      </c>
      <c r="E109" s="603" t="str">
        <f t="shared" ref="E109" si="26">E$23</f>
        <v>0 (1)</v>
      </c>
      <c r="F109" s="281"/>
      <c r="G109" s="281"/>
      <c r="H109" s="332"/>
      <c r="I109" s="630"/>
      <c r="J109" s="8" t="s">
        <v>4728</v>
      </c>
      <c r="K109" s="603" t="str">
        <f t="shared" ref="K109" si="27">K$23</f>
        <v>0 (1)</v>
      </c>
      <c r="L109" s="281"/>
      <c r="M109" s="281"/>
      <c r="N109" s="281"/>
      <c r="O109" s="281"/>
      <c r="P109" s="281"/>
      <c r="Q109" s="281"/>
      <c r="R109" s="281"/>
      <c r="S109" s="281"/>
      <c r="T109" s="281"/>
      <c r="U109" s="281"/>
    </row>
    <row r="110" spans="1:21">
      <c r="A110" s="478"/>
      <c r="D110" s="188" t="str">
        <f>nmSeg1 &amp; " -  " &amp; nmProd1</f>
        <v>Medicare -  Admits</v>
      </c>
      <c r="E110" s="604">
        <f>calcLOB2Prod1Seg1Patients</f>
        <v>1608</v>
      </c>
      <c r="F110" s="525" t="s">
        <v>4819</v>
      </c>
      <c r="G110" s="525"/>
      <c r="H110" s="332"/>
      <c r="I110" s="631"/>
      <c r="J110" s="188" t="str">
        <f>nmSeg1 &amp; " -  " &amp; nmProd1</f>
        <v>Medicare -  Admits</v>
      </c>
      <c r="K110" s="604">
        <f>calcR2LOB2Prod1Seg1Patients</f>
        <v>1656</v>
      </c>
      <c r="L110" s="525" t="s">
        <v>7744</v>
      </c>
      <c r="M110" s="525"/>
      <c r="N110" s="525"/>
      <c r="O110" s="525"/>
      <c r="P110" s="525"/>
      <c r="Q110" s="525"/>
      <c r="R110" s="525"/>
      <c r="S110" s="525"/>
      <c r="T110" s="525"/>
      <c r="U110" s="525"/>
    </row>
    <row r="111" spans="1:21">
      <c r="A111" s="478"/>
      <c r="D111" s="188" t="str">
        <f>nmSeg1 &amp; " -  " &amp; nmProd2</f>
        <v>Medicare -  Recerts</v>
      </c>
      <c r="E111" s="604">
        <f>calcLOB2Prod2Seg1Patients</f>
        <v>480</v>
      </c>
      <c r="F111" s="525" t="s">
        <v>4820</v>
      </c>
      <c r="G111" s="525"/>
      <c r="H111" s="332"/>
      <c r="I111" s="631"/>
      <c r="J111" s="188" t="str">
        <f>nmSeg1 &amp; " -  " &amp; nmProd2</f>
        <v>Medicare -  Recerts</v>
      </c>
      <c r="K111" s="604">
        <f>calcR2LOB2Prod2Seg1Patients</f>
        <v>504</v>
      </c>
      <c r="L111" s="525" t="s">
        <v>7745</v>
      </c>
      <c r="M111" s="525"/>
      <c r="N111" s="525"/>
      <c r="O111" s="525"/>
      <c r="P111" s="525"/>
      <c r="Q111" s="525"/>
      <c r="R111" s="525"/>
      <c r="S111" s="525"/>
      <c r="T111" s="525"/>
      <c r="U111" s="525"/>
    </row>
    <row r="112" spans="1:21">
      <c r="A112" s="478"/>
      <c r="D112" s="188" t="str">
        <f>nmSeg2 &amp; " -  " &amp; nmProd1</f>
        <v>PPS -  Admits</v>
      </c>
      <c r="E112" s="604">
        <f>calcLOB2Prod1Seg2Patients</f>
        <v>84</v>
      </c>
      <c r="F112" s="525" t="s">
        <v>4821</v>
      </c>
      <c r="G112" s="525"/>
      <c r="H112" s="332"/>
      <c r="I112" s="631"/>
      <c r="J112" s="188" t="str">
        <f>nmSeg2 &amp; " -  " &amp; nmProd1</f>
        <v>PPS -  Admits</v>
      </c>
      <c r="K112" s="604">
        <f>calcR2LOB2Prod1Seg2Patients</f>
        <v>96</v>
      </c>
      <c r="L112" s="525" t="s">
        <v>7746</v>
      </c>
      <c r="M112" s="525"/>
      <c r="N112" s="525"/>
      <c r="O112" s="525"/>
      <c r="P112" s="525"/>
      <c r="Q112" s="525"/>
      <c r="R112" s="525"/>
      <c r="S112" s="525"/>
      <c r="T112" s="525"/>
      <c r="U112" s="525"/>
    </row>
    <row r="113" spans="1:21">
      <c r="A113" s="478"/>
      <c r="D113" s="188" t="str">
        <f>nmSeg2&amp; " -  " &amp; nmProd2</f>
        <v>PPS -  Recerts</v>
      </c>
      <c r="E113" s="604">
        <f>calcLOB2Prod2Seg2Patients</f>
        <v>24</v>
      </c>
      <c r="F113" s="525" t="s">
        <v>4822</v>
      </c>
      <c r="G113" s="525"/>
      <c r="H113" s="332"/>
      <c r="I113" s="631"/>
      <c r="J113" s="188" t="str">
        <f>nmSeg2&amp; " -  " &amp; nmProd2</f>
        <v>PPS -  Recerts</v>
      </c>
      <c r="K113" s="604">
        <f>calcR2LOB2Prod2Seg2Patients</f>
        <v>24</v>
      </c>
      <c r="L113" s="525" t="s">
        <v>7747</v>
      </c>
      <c r="M113" s="525"/>
      <c r="N113" s="525"/>
      <c r="O113" s="525"/>
      <c r="P113" s="525"/>
      <c r="Q113" s="525"/>
      <c r="R113" s="525"/>
      <c r="S113" s="525"/>
      <c r="T113" s="525"/>
      <c r="U113" s="525"/>
    </row>
    <row r="114" spans="1:21">
      <c r="A114" s="478"/>
      <c r="D114" s="188" t="str">
        <f>nmSeg3 &amp; " -  " &amp; nmProd1</f>
        <v>Other -  Admits</v>
      </c>
      <c r="E114" s="604">
        <f>calcLOB2Prod1Seg3Patients</f>
        <v>48</v>
      </c>
      <c r="F114" s="525" t="s">
        <v>4823</v>
      </c>
      <c r="G114" s="525"/>
      <c r="H114" s="332"/>
      <c r="I114" s="631"/>
      <c r="J114" s="188" t="str">
        <f>nmSeg3 &amp; " -  " &amp; nmProd1</f>
        <v>Other -  Admits</v>
      </c>
      <c r="K114" s="604">
        <f>calcR2LOB2Prod1Seg3Patients</f>
        <v>60</v>
      </c>
      <c r="L114" s="525" t="s">
        <v>7748</v>
      </c>
      <c r="M114" s="525"/>
      <c r="N114" s="525"/>
      <c r="O114" s="525"/>
      <c r="P114" s="525"/>
      <c r="Q114" s="525"/>
      <c r="R114" s="525"/>
      <c r="S114" s="525"/>
      <c r="T114" s="525"/>
      <c r="U114" s="525"/>
    </row>
    <row r="115" spans="1:21">
      <c r="A115" s="478"/>
      <c r="D115" s="188" t="str">
        <f>nmSeg3&amp; " -  " &amp; nmProd2</f>
        <v>Other -  Recerts</v>
      </c>
      <c r="E115" s="604">
        <f>calcLOB2Prod2Seg3Patients</f>
        <v>12</v>
      </c>
      <c r="F115" s="525" t="s">
        <v>4824</v>
      </c>
      <c r="G115" s="525"/>
      <c r="H115" s="332"/>
      <c r="I115" s="631"/>
      <c r="J115" s="188" t="str">
        <f>nmSeg3&amp; " -  " &amp; nmProd2</f>
        <v>Other -  Recerts</v>
      </c>
      <c r="K115" s="604">
        <f>calcR2LOB2Prod2Seg3Patients</f>
        <v>12</v>
      </c>
      <c r="L115" s="525" t="s">
        <v>7749</v>
      </c>
      <c r="M115" s="525"/>
      <c r="N115" s="525"/>
      <c r="O115" s="525"/>
      <c r="P115" s="525"/>
      <c r="Q115" s="525"/>
      <c r="R115" s="525"/>
      <c r="S115" s="525"/>
      <c r="T115" s="525"/>
      <c r="U115" s="525"/>
    </row>
    <row r="116" spans="1:21">
      <c r="A116" s="478"/>
      <c r="D116" s="188" t="s">
        <v>4741</v>
      </c>
      <c r="E116" s="605">
        <f>(E110+E112+E114)/SUM(E110:E115)</f>
        <v>0.77127659574468088</v>
      </c>
      <c r="F116" s="525" t="s">
        <v>4825</v>
      </c>
      <c r="G116" s="525"/>
      <c r="H116" s="332"/>
      <c r="I116" s="632"/>
      <c r="J116" s="188" t="s">
        <v>4741</v>
      </c>
      <c r="K116" s="605">
        <f t="shared" ref="K116" si="28">(K110+K112+K114)/SUM(K110:K115)</f>
        <v>0.77040816326530615</v>
      </c>
      <c r="L116" s="525" t="s">
        <v>7750</v>
      </c>
      <c r="M116" s="525"/>
      <c r="N116" s="525"/>
      <c r="O116" s="525"/>
      <c r="P116" s="525"/>
      <c r="Q116" s="525"/>
      <c r="R116" s="525"/>
      <c r="S116" s="525"/>
      <c r="T116" s="525"/>
      <c r="U116" s="525"/>
    </row>
    <row r="117" spans="1:21">
      <c r="A117" s="478"/>
      <c r="F117" s="281"/>
      <c r="G117" s="281"/>
      <c r="H117" s="332"/>
      <c r="I117" s="332"/>
      <c r="L117" s="281"/>
      <c r="M117" s="281"/>
      <c r="N117" s="281"/>
      <c r="O117" s="281"/>
      <c r="P117" s="281"/>
      <c r="Q117" s="281"/>
      <c r="R117" s="281"/>
      <c r="S117" s="281"/>
      <c r="T117" s="281"/>
      <c r="U117" s="281"/>
    </row>
    <row r="118" spans="1:21">
      <c r="A118" s="478"/>
      <c r="D118" s="8">
        <v>3</v>
      </c>
      <c r="E118" s="8">
        <v>4</v>
      </c>
      <c r="F118" s="281"/>
      <c r="G118" s="281"/>
      <c r="H118" s="332"/>
      <c r="I118" s="332"/>
      <c r="J118" s="8">
        <v>3</v>
      </c>
      <c r="K118" s="8">
        <v>5</v>
      </c>
      <c r="L118" s="281"/>
      <c r="M118" s="281"/>
      <c r="N118" s="281"/>
      <c r="O118" s="281"/>
      <c r="P118" s="281"/>
      <c r="Q118" s="281"/>
      <c r="R118" s="281"/>
      <c r="S118" s="281"/>
      <c r="T118" s="281"/>
      <c r="U118" s="281"/>
    </row>
    <row r="119" spans="1:21">
      <c r="A119" s="478"/>
      <c r="D119" s="8" t="s">
        <v>4729</v>
      </c>
      <c r="E119" s="603" t="str">
        <f t="shared" ref="E119" si="29">E$23</f>
        <v>0 (1)</v>
      </c>
      <c r="F119" s="281"/>
      <c r="G119" s="281"/>
      <c r="H119" s="332"/>
      <c r="I119" s="630"/>
      <c r="J119" s="8" t="s">
        <v>4729</v>
      </c>
      <c r="K119" s="603" t="str">
        <f t="shared" ref="K119" si="30">K$23</f>
        <v>0 (1)</v>
      </c>
      <c r="L119" s="281"/>
      <c r="M119" s="281"/>
      <c r="N119" s="281"/>
      <c r="O119" s="281"/>
      <c r="P119" s="281"/>
      <c r="Q119" s="281"/>
      <c r="R119" s="281"/>
      <c r="S119" s="281"/>
      <c r="T119" s="281"/>
      <c r="U119" s="281"/>
    </row>
    <row r="120" spans="1:21">
      <c r="A120" s="478"/>
      <c r="B120" s="8">
        <v>3</v>
      </c>
      <c r="D120" s="188" t="str">
        <f t="shared" ref="D120:E124" si="31">VLOOKUP($B120,calcTableLOB2CSAT,D$42,FALSE)</f>
        <v>DOO Actions</v>
      </c>
      <c r="E120" s="605">
        <f t="shared" si="31"/>
        <v>0</v>
      </c>
      <c r="F120" s="525" t="s">
        <v>4826</v>
      </c>
      <c r="G120" s="525"/>
      <c r="H120" s="332"/>
      <c r="I120" s="632"/>
      <c r="J120" s="188" t="str">
        <f t="shared" ref="J120:K124" si="32">VLOOKUP($B120,calcR2TableLOB2CSAT,J$42,FALSE)</f>
        <v>DOO Actions</v>
      </c>
      <c r="K120" s="605">
        <f t="shared" si="32"/>
        <v>0</v>
      </c>
      <c r="L120" s="525" t="s">
        <v>7751</v>
      </c>
      <c r="M120" s="525"/>
      <c r="N120" s="525"/>
      <c r="O120" s="525"/>
      <c r="P120" s="525"/>
      <c r="Q120" s="525"/>
      <c r="R120" s="525"/>
      <c r="S120" s="525"/>
      <c r="T120" s="525"/>
      <c r="U120" s="525"/>
    </row>
    <row r="121" spans="1:21">
      <c r="A121" s="478"/>
      <c r="B121" s="8">
        <v>4</v>
      </c>
      <c r="D121" s="188" t="str">
        <f t="shared" si="31"/>
        <v>Missed Visits</v>
      </c>
      <c r="E121" s="605">
        <f t="shared" si="31"/>
        <v>-5.7000000000000023E-2</v>
      </c>
      <c r="F121" s="525" t="s">
        <v>4827</v>
      </c>
      <c r="G121" s="525"/>
      <c r="H121" s="332"/>
      <c r="I121" s="632"/>
      <c r="J121" s="188" t="str">
        <f t="shared" si="32"/>
        <v>Missed Visits</v>
      </c>
      <c r="K121" s="605">
        <f t="shared" si="32"/>
        <v>0</v>
      </c>
      <c r="L121" s="525" t="s">
        <v>7752</v>
      </c>
      <c r="M121" s="525"/>
      <c r="N121" s="525"/>
      <c r="O121" s="525"/>
      <c r="P121" s="525"/>
      <c r="Q121" s="525"/>
      <c r="R121" s="525"/>
      <c r="S121" s="525"/>
      <c r="T121" s="525"/>
      <c r="U121" s="525"/>
    </row>
    <row r="122" spans="1:21">
      <c r="A122" s="478"/>
      <c r="B122" s="8">
        <v>5</v>
      </c>
      <c r="D122" s="188" t="str">
        <f t="shared" si="31"/>
        <v>Employee Engagement</v>
      </c>
      <c r="E122" s="605">
        <f t="shared" si="31"/>
        <v>0</v>
      </c>
      <c r="F122" s="525" t="s">
        <v>4828</v>
      </c>
      <c r="G122" s="525"/>
      <c r="H122" s="332"/>
      <c r="I122" s="632"/>
      <c r="J122" s="188" t="str">
        <f t="shared" si="32"/>
        <v>Employee Engagement</v>
      </c>
      <c r="K122" s="605">
        <f t="shared" si="32"/>
        <v>-1.3421937127231609E-3</v>
      </c>
      <c r="L122" s="525" t="s">
        <v>7753</v>
      </c>
      <c r="M122" s="525"/>
      <c r="N122" s="525"/>
      <c r="O122" s="525"/>
      <c r="P122" s="525"/>
      <c r="Q122" s="525"/>
      <c r="R122" s="525"/>
      <c r="S122" s="525"/>
      <c r="T122" s="525"/>
      <c r="U122" s="525"/>
    </row>
    <row r="123" spans="1:21">
      <c r="A123" s="478"/>
      <c r="B123" s="8">
        <v>6</v>
      </c>
      <c r="D123" s="188" t="str">
        <f t="shared" si="31"/>
        <v>Clincial Quality</v>
      </c>
      <c r="E123" s="605">
        <f t="shared" si="31"/>
        <v>-5.7000000000000054E-3</v>
      </c>
      <c r="F123" s="525" t="s">
        <v>4829</v>
      </c>
      <c r="G123" s="525"/>
      <c r="H123" s="332"/>
      <c r="I123" s="632"/>
      <c r="J123" s="188" t="str">
        <f t="shared" si="32"/>
        <v>Clincial Quality</v>
      </c>
      <c r="K123" s="605">
        <f t="shared" si="32"/>
        <v>-1.7895916169642369E-4</v>
      </c>
      <c r="L123" s="525" t="s">
        <v>7754</v>
      </c>
      <c r="M123" s="525"/>
      <c r="N123" s="525"/>
      <c r="O123" s="525"/>
      <c r="P123" s="525"/>
      <c r="Q123" s="525"/>
      <c r="R123" s="525"/>
      <c r="S123" s="525"/>
      <c r="T123" s="525"/>
      <c r="U123" s="525"/>
    </row>
    <row r="124" spans="1:21">
      <c r="A124" s="478"/>
      <c r="B124" s="8">
        <v>9</v>
      </c>
      <c r="D124" s="188" t="str">
        <f t="shared" si="31"/>
        <v>Referrals Satisfaction</v>
      </c>
      <c r="E124" s="605">
        <f t="shared" si="31"/>
        <v>0.63729999999999987</v>
      </c>
      <c r="F124" s="525" t="s">
        <v>4830</v>
      </c>
      <c r="G124" s="525"/>
      <c r="H124" s="332"/>
      <c r="I124" s="632"/>
      <c r="J124" s="188">
        <f t="shared" si="32"/>
        <v>1</v>
      </c>
      <c r="K124" s="605">
        <f t="shared" si="32"/>
        <v>0.6357788471255803</v>
      </c>
      <c r="L124" s="525" t="s">
        <v>7755</v>
      </c>
      <c r="M124" s="525"/>
      <c r="N124" s="525"/>
      <c r="O124" s="525"/>
      <c r="P124" s="525"/>
      <c r="Q124" s="525"/>
      <c r="R124" s="525"/>
      <c r="S124" s="525"/>
      <c r="T124" s="525"/>
      <c r="U124" s="525"/>
    </row>
    <row r="125" spans="1:21">
      <c r="A125" s="478"/>
      <c r="D125" s="188"/>
      <c r="E125" s="605"/>
      <c r="F125" s="525"/>
      <c r="G125" s="525"/>
      <c r="H125" s="332"/>
      <c r="I125" s="632"/>
      <c r="J125" s="188"/>
      <c r="K125" s="605"/>
      <c r="L125" s="525"/>
      <c r="M125" s="525"/>
      <c r="N125" s="525"/>
      <c r="O125" s="525"/>
      <c r="P125" s="525"/>
      <c r="Q125" s="525"/>
      <c r="R125" s="525"/>
      <c r="S125" s="525"/>
      <c r="T125" s="525"/>
      <c r="U125" s="525"/>
    </row>
    <row r="126" spans="1:21">
      <c r="A126" s="478"/>
      <c r="D126" s="188"/>
      <c r="E126" s="605"/>
      <c r="F126" s="525"/>
      <c r="G126" s="525"/>
      <c r="H126" s="332"/>
      <c r="I126" s="632"/>
      <c r="J126" s="188"/>
      <c r="K126" s="605"/>
      <c r="L126" s="525"/>
      <c r="M126" s="525"/>
      <c r="N126" s="525"/>
      <c r="O126" s="525"/>
      <c r="P126" s="525"/>
      <c r="Q126" s="525"/>
      <c r="R126" s="525"/>
      <c r="S126" s="525"/>
      <c r="T126" s="525"/>
      <c r="U126" s="525"/>
    </row>
    <row r="127" spans="1:21">
      <c r="A127" s="478"/>
      <c r="F127" s="281"/>
      <c r="G127" s="281"/>
      <c r="H127" s="332"/>
      <c r="I127" s="332"/>
      <c r="L127" s="281"/>
      <c r="M127" s="281"/>
      <c r="N127" s="281"/>
      <c r="O127" s="281"/>
      <c r="P127" s="281"/>
      <c r="Q127" s="281"/>
      <c r="R127" s="281"/>
      <c r="S127" s="281"/>
      <c r="T127" s="281"/>
      <c r="U127" s="281"/>
    </row>
    <row r="128" spans="1:21">
      <c r="A128" s="478"/>
      <c r="F128" s="281"/>
      <c r="G128" s="281"/>
      <c r="H128" s="332"/>
      <c r="I128" s="332"/>
      <c r="L128" s="281"/>
      <c r="M128" s="281"/>
      <c r="N128" s="281"/>
      <c r="O128" s="281"/>
      <c r="P128" s="281"/>
      <c r="Q128" s="281"/>
      <c r="R128" s="281"/>
      <c r="S128" s="281"/>
      <c r="T128" s="281"/>
      <c r="U128" s="281"/>
    </row>
    <row r="129" spans="1:21">
      <c r="A129" s="478"/>
      <c r="D129" s="8">
        <v>3</v>
      </c>
      <c r="E129" s="8">
        <v>4</v>
      </c>
      <c r="F129" s="281"/>
      <c r="G129" s="281"/>
      <c r="H129" s="332"/>
      <c r="I129" s="332"/>
      <c r="J129" s="8">
        <v>3</v>
      </c>
      <c r="K129" s="8">
        <v>4</v>
      </c>
      <c r="L129" s="281"/>
      <c r="M129" s="281"/>
      <c r="N129" s="281"/>
      <c r="O129" s="281"/>
      <c r="P129" s="281"/>
      <c r="Q129" s="281"/>
      <c r="R129" s="281"/>
      <c r="S129" s="281"/>
      <c r="T129" s="281"/>
      <c r="U129" s="281"/>
    </row>
    <row r="130" spans="1:21">
      <c r="A130" s="478"/>
      <c r="D130" s="8" t="s">
        <v>4352</v>
      </c>
      <c r="E130" s="603" t="str">
        <f t="shared" ref="E130" si="33">E$23</f>
        <v>0 (1)</v>
      </c>
      <c r="F130" s="281"/>
      <c r="G130" s="281"/>
      <c r="H130" s="332"/>
      <c r="I130" s="630"/>
      <c r="J130" s="8" t="s">
        <v>4352</v>
      </c>
      <c r="K130" s="603" t="str">
        <f t="shared" ref="K130" si="34">K$23</f>
        <v>0 (1)</v>
      </c>
      <c r="L130" s="281"/>
      <c r="M130" s="281"/>
      <c r="N130" s="281"/>
      <c r="O130" s="281"/>
      <c r="P130" s="281"/>
      <c r="Q130" s="281"/>
      <c r="R130" s="281"/>
      <c r="S130" s="281"/>
      <c r="T130" s="281"/>
      <c r="U130" s="281"/>
    </row>
    <row r="131" spans="1:21">
      <c r="A131" s="478"/>
      <c r="B131" s="8">
        <v>3</v>
      </c>
      <c r="D131" s="188" t="str">
        <f t="shared" ref="D131:E136" si="35">VLOOKUP($B131,calcTableLOB2Stars,D$42,FALSE)</f>
        <v>DOO Actions</v>
      </c>
      <c r="E131" s="605">
        <f t="shared" si="35"/>
        <v>0</v>
      </c>
      <c r="F131" s="525" t="s">
        <v>4831</v>
      </c>
      <c r="G131" s="525"/>
      <c r="H131" s="332"/>
      <c r="I131" s="632"/>
      <c r="J131" s="188" t="str">
        <f t="shared" ref="J131:K136" si="36">VLOOKUP($B131,calcR2TableLOB2Stars,J$42,FALSE)</f>
        <v>DOO Actions</v>
      </c>
      <c r="K131" s="605">
        <f t="shared" si="36"/>
        <v>0</v>
      </c>
      <c r="L131" s="525" t="s">
        <v>7756</v>
      </c>
      <c r="M131" s="525"/>
      <c r="N131" s="525"/>
      <c r="O131" s="525"/>
      <c r="P131" s="525"/>
      <c r="Q131" s="525"/>
      <c r="R131" s="525"/>
      <c r="S131" s="525"/>
      <c r="T131" s="525"/>
      <c r="U131" s="525"/>
    </row>
    <row r="132" spans="1:21">
      <c r="A132" s="478"/>
      <c r="B132" s="8">
        <v>4</v>
      </c>
      <c r="D132" s="188" t="str">
        <f t="shared" si="35"/>
        <v>DOO Utilzation</v>
      </c>
      <c r="E132" s="605">
        <f t="shared" si="35"/>
        <v>0</v>
      </c>
      <c r="F132" s="525" t="s">
        <v>4832</v>
      </c>
      <c r="G132" s="525"/>
      <c r="H132" s="332"/>
      <c r="I132" s="632"/>
      <c r="J132" s="188" t="str">
        <f t="shared" si="36"/>
        <v>DOO Utilzation</v>
      </c>
      <c r="K132" s="605">
        <f t="shared" si="36"/>
        <v>0</v>
      </c>
      <c r="L132" s="525" t="s">
        <v>7757</v>
      </c>
      <c r="M132" s="525"/>
      <c r="N132" s="525"/>
      <c r="O132" s="525"/>
      <c r="P132" s="525"/>
      <c r="Q132" s="525"/>
      <c r="R132" s="525"/>
      <c r="S132" s="525"/>
      <c r="T132" s="525"/>
      <c r="U132" s="525"/>
    </row>
    <row r="133" spans="1:21">
      <c r="A133" s="478"/>
      <c r="B133" s="8">
        <v>5</v>
      </c>
      <c r="D133" s="188" t="str">
        <f t="shared" si="35"/>
        <v>Missed Visits</v>
      </c>
      <c r="E133" s="605">
        <f t="shared" si="35"/>
        <v>-5.7000000000000023E-2</v>
      </c>
      <c r="F133" s="525" t="s">
        <v>4833</v>
      </c>
      <c r="G133" s="525"/>
      <c r="H133" s="332"/>
      <c r="I133" s="632"/>
      <c r="J133" s="188" t="str">
        <f t="shared" si="36"/>
        <v>Missed Visits</v>
      </c>
      <c r="K133" s="605">
        <f t="shared" si="36"/>
        <v>0</v>
      </c>
      <c r="L133" s="525" t="s">
        <v>7758</v>
      </c>
      <c r="M133" s="525"/>
      <c r="N133" s="525"/>
      <c r="O133" s="525"/>
      <c r="P133" s="525"/>
      <c r="Q133" s="525"/>
      <c r="R133" s="525"/>
      <c r="S133" s="525"/>
      <c r="T133" s="525"/>
      <c r="U133" s="525"/>
    </row>
    <row r="134" spans="1:21">
      <c r="A134" s="478"/>
      <c r="B134" s="8">
        <v>6</v>
      </c>
      <c r="D134" s="188">
        <f t="shared" si="35"/>
        <v>0</v>
      </c>
      <c r="E134" s="605">
        <f t="shared" si="35"/>
        <v>0</v>
      </c>
      <c r="F134" s="525" t="s">
        <v>4834</v>
      </c>
      <c r="G134" s="525"/>
      <c r="H134" s="332"/>
      <c r="I134" s="632"/>
      <c r="J134" s="188">
        <f t="shared" si="36"/>
        <v>0</v>
      </c>
      <c r="K134" s="605">
        <f>VLOOKUP($B134,calcR2TableLOB2Stars,K$42,FALSE)</f>
        <v>0</v>
      </c>
      <c r="L134" s="525" t="s">
        <v>7759</v>
      </c>
      <c r="M134" s="525"/>
      <c r="N134" s="525"/>
      <c r="O134" s="525"/>
      <c r="P134" s="525"/>
      <c r="Q134" s="525"/>
      <c r="R134" s="525"/>
      <c r="S134" s="525"/>
      <c r="T134" s="525"/>
      <c r="U134" s="525"/>
    </row>
    <row r="135" spans="1:21">
      <c r="A135" s="478"/>
      <c r="B135" s="8">
        <v>7</v>
      </c>
      <c r="D135" s="188" t="str">
        <f t="shared" si="35"/>
        <v>Employee Engagement</v>
      </c>
      <c r="E135" s="605">
        <f t="shared" si="35"/>
        <v>0</v>
      </c>
      <c r="F135" s="525" t="s">
        <v>4835</v>
      </c>
      <c r="G135" s="525"/>
      <c r="H135" s="332"/>
      <c r="I135" s="632"/>
      <c r="J135" s="188" t="str">
        <f t="shared" si="36"/>
        <v>Employee Engagement</v>
      </c>
      <c r="K135" s="605">
        <f t="shared" si="36"/>
        <v>-1.7895916169642146E-3</v>
      </c>
      <c r="L135" s="525" t="s">
        <v>7760</v>
      </c>
      <c r="M135" s="525"/>
      <c r="N135" s="525"/>
      <c r="O135" s="525"/>
      <c r="P135" s="525"/>
      <c r="Q135" s="525"/>
      <c r="R135" s="525"/>
      <c r="S135" s="525"/>
      <c r="T135" s="525"/>
      <c r="U135" s="525"/>
    </row>
    <row r="136" spans="1:21">
      <c r="A136" s="478"/>
      <c r="B136" s="8">
        <v>9</v>
      </c>
      <c r="D136" s="188" t="str">
        <f t="shared" si="35"/>
        <v>Clinical Quality</v>
      </c>
      <c r="E136" s="605">
        <f t="shared" si="35"/>
        <v>0.6429999999999999</v>
      </c>
      <c r="F136" s="525" t="s">
        <v>4836</v>
      </c>
      <c r="G136" s="525"/>
      <c r="H136" s="332"/>
      <c r="I136" s="632"/>
      <c r="J136" s="188" t="str">
        <f t="shared" si="36"/>
        <v>Clinical Quality</v>
      </c>
      <c r="K136" s="605">
        <f t="shared" si="36"/>
        <v>0.64121040838303567</v>
      </c>
      <c r="L136" s="525" t="s">
        <v>7761</v>
      </c>
      <c r="M136" s="525"/>
      <c r="N136" s="525"/>
      <c r="O136" s="525"/>
      <c r="P136" s="525"/>
      <c r="Q136" s="525"/>
      <c r="R136" s="525"/>
      <c r="S136" s="525"/>
      <c r="T136" s="525"/>
      <c r="U136" s="525"/>
    </row>
    <row r="137" spans="1:21">
      <c r="A137" s="478"/>
      <c r="D137" s="188"/>
      <c r="E137" s="605"/>
      <c r="F137" s="525"/>
      <c r="G137" s="525"/>
      <c r="H137" s="332"/>
      <c r="I137" s="632"/>
      <c r="J137" s="188"/>
      <c r="K137" s="605"/>
      <c r="L137" s="525"/>
      <c r="M137" s="525"/>
      <c r="N137" s="525"/>
      <c r="O137" s="525"/>
      <c r="P137" s="525"/>
      <c r="Q137" s="525"/>
      <c r="R137" s="525"/>
      <c r="S137" s="525"/>
      <c r="T137" s="525"/>
      <c r="U137" s="525"/>
    </row>
    <row r="138" spans="1:21">
      <c r="A138" s="478"/>
      <c r="F138" s="281"/>
      <c r="G138" s="281"/>
      <c r="H138" s="332"/>
      <c r="I138" s="332"/>
      <c r="L138" s="281"/>
      <c r="M138" s="281"/>
      <c r="N138" s="281"/>
      <c r="O138" s="281"/>
      <c r="P138" s="281"/>
      <c r="Q138" s="281"/>
      <c r="R138" s="281"/>
      <c r="S138" s="281"/>
      <c r="T138" s="281"/>
      <c r="U138" s="281"/>
    </row>
    <row r="139" spans="1:21">
      <c r="A139" s="478"/>
      <c r="F139" s="281"/>
      <c r="G139" s="281"/>
      <c r="H139" s="332"/>
      <c r="I139" s="332"/>
      <c r="L139" s="281"/>
      <c r="M139" s="281"/>
      <c r="N139" s="281"/>
      <c r="O139" s="281"/>
      <c r="P139" s="281"/>
      <c r="Q139" s="281"/>
      <c r="R139" s="281"/>
      <c r="S139" s="281"/>
      <c r="T139" s="281"/>
      <c r="U139" s="281"/>
    </row>
    <row r="140" spans="1:21">
      <c r="A140" s="478"/>
      <c r="D140" s="8">
        <v>3</v>
      </c>
      <c r="E140" s="8">
        <v>4</v>
      </c>
      <c r="F140" s="281"/>
      <c r="G140" s="281"/>
      <c r="H140" s="332"/>
      <c r="I140" s="332"/>
      <c r="J140" s="8">
        <v>3</v>
      </c>
      <c r="K140" s="8">
        <v>5</v>
      </c>
      <c r="L140" s="281"/>
      <c r="M140" s="281"/>
      <c r="N140" s="281"/>
      <c r="O140" s="281"/>
      <c r="P140" s="281"/>
      <c r="Q140" s="281"/>
      <c r="R140" s="281"/>
      <c r="S140" s="281"/>
      <c r="T140" s="281"/>
      <c r="U140" s="281"/>
    </row>
    <row r="141" spans="1:21">
      <c r="A141" s="478"/>
      <c r="D141" s="8" t="s">
        <v>489</v>
      </c>
      <c r="E141" s="603" t="str">
        <f t="shared" ref="E141" si="37">E$23</f>
        <v>0 (1)</v>
      </c>
      <c r="F141" s="281"/>
      <c r="G141" s="281"/>
      <c r="H141" s="332"/>
      <c r="I141" s="630"/>
      <c r="J141" s="8" t="s">
        <v>489</v>
      </c>
      <c r="K141" s="603" t="str">
        <f t="shared" ref="K141" si="38">K$23</f>
        <v>0 (1)</v>
      </c>
      <c r="L141" s="281"/>
      <c r="M141" s="281"/>
      <c r="N141" s="281"/>
      <c r="O141" s="281"/>
      <c r="P141" s="281"/>
      <c r="Q141" s="281"/>
      <c r="R141" s="281"/>
      <c r="S141" s="281"/>
      <c r="T141" s="281"/>
      <c r="U141" s="281"/>
    </row>
    <row r="142" spans="1:21">
      <c r="A142" s="478"/>
      <c r="B142" s="8">
        <v>3</v>
      </c>
      <c r="D142" s="188" t="str">
        <f t="shared" ref="D142:E146" si="39">VLOOKUP($B142,calcTableLOB2ESAT,D$42,FALSE)</f>
        <v>DOO Actions</v>
      </c>
      <c r="E142" s="605">
        <f t="shared" si="39"/>
        <v>0</v>
      </c>
      <c r="F142" s="525" t="s">
        <v>4837</v>
      </c>
      <c r="G142" s="525"/>
      <c r="H142" s="332"/>
      <c r="I142" s="632"/>
      <c r="J142" s="188" t="str">
        <f t="shared" ref="J142:K146" si="40">VLOOKUP($B142,calcR2TableLOB2ESAT,J$42,FALSE)</f>
        <v>DOO Actions</v>
      </c>
      <c r="K142" s="605">
        <f t="shared" si="40"/>
        <v>0</v>
      </c>
      <c r="L142" s="525" t="s">
        <v>7762</v>
      </c>
      <c r="M142" s="525"/>
      <c r="N142" s="525"/>
      <c r="O142" s="525"/>
      <c r="P142" s="525"/>
      <c r="Q142" s="525"/>
      <c r="R142" s="525"/>
      <c r="S142" s="525"/>
      <c r="T142" s="525"/>
      <c r="U142" s="525"/>
    </row>
    <row r="143" spans="1:21">
      <c r="A143" s="478"/>
      <c r="B143" s="8">
        <v>4</v>
      </c>
      <c r="D143" s="188" t="str">
        <f t="shared" si="39"/>
        <v>People Development Time</v>
      </c>
      <c r="E143" s="605">
        <f t="shared" si="39"/>
        <v>0</v>
      </c>
      <c r="F143" s="525" t="s">
        <v>4838</v>
      </c>
      <c r="G143" s="525"/>
      <c r="H143" s="332"/>
      <c r="I143" s="632"/>
      <c r="J143" s="188" t="str">
        <f t="shared" si="40"/>
        <v>People Development Time</v>
      </c>
      <c r="K143" s="605">
        <f t="shared" si="40"/>
        <v>0</v>
      </c>
      <c r="L143" s="525" t="s">
        <v>7763</v>
      </c>
      <c r="M143" s="525"/>
      <c r="N143" s="525"/>
      <c r="O143" s="525"/>
      <c r="P143" s="525"/>
      <c r="Q143" s="525"/>
      <c r="R143" s="525"/>
      <c r="S143" s="525"/>
      <c r="T143" s="525"/>
      <c r="U143" s="525"/>
    </row>
    <row r="144" spans="1:21">
      <c r="A144" s="478"/>
      <c r="B144" s="8">
        <v>5</v>
      </c>
      <c r="D144" s="188" t="str">
        <f t="shared" si="39"/>
        <v>DOO Utilzation</v>
      </c>
      <c r="E144" s="605">
        <f t="shared" si="39"/>
        <v>0</v>
      </c>
      <c r="F144" s="525" t="s">
        <v>4839</v>
      </c>
      <c r="G144" s="525"/>
      <c r="H144" s="332"/>
      <c r="I144" s="632"/>
      <c r="J144" s="188" t="str">
        <f t="shared" si="40"/>
        <v>DOO Utilzation</v>
      </c>
      <c r="K144" s="605">
        <f t="shared" si="40"/>
        <v>0</v>
      </c>
      <c r="L144" s="525" t="s">
        <v>7764</v>
      </c>
      <c r="M144" s="525"/>
      <c r="N144" s="525"/>
      <c r="O144" s="525"/>
      <c r="P144" s="525"/>
      <c r="Q144" s="525"/>
      <c r="R144" s="525"/>
      <c r="S144" s="525"/>
      <c r="T144" s="525"/>
      <c r="U144" s="525"/>
    </row>
    <row r="145" spans="1:21">
      <c r="A145" s="478"/>
      <c r="B145" s="8">
        <v>6</v>
      </c>
      <c r="D145" s="188" t="str">
        <f t="shared" si="39"/>
        <v>DOO Staff Modification</v>
      </c>
      <c r="E145" s="605">
        <f t="shared" si="39"/>
        <v>0</v>
      </c>
      <c r="F145" s="525" t="s">
        <v>8232</v>
      </c>
      <c r="G145" s="525"/>
      <c r="H145" s="332"/>
      <c r="I145" s="632"/>
      <c r="J145" s="188" t="str">
        <f t="shared" si="40"/>
        <v>DOO Staff Modification</v>
      </c>
      <c r="K145" s="605">
        <f t="shared" si="40"/>
        <v>0</v>
      </c>
      <c r="L145" s="525" t="s">
        <v>8233</v>
      </c>
      <c r="M145" s="525"/>
      <c r="N145" s="525"/>
      <c r="O145" s="525"/>
      <c r="P145" s="525"/>
      <c r="Q145" s="525"/>
      <c r="R145" s="525"/>
      <c r="S145" s="525"/>
      <c r="T145" s="525"/>
      <c r="U145" s="525"/>
    </row>
    <row r="146" spans="1:21">
      <c r="A146" s="478"/>
      <c r="B146" s="8">
        <v>7</v>
      </c>
      <c r="D146" s="188" t="str">
        <f t="shared" si="39"/>
        <v>Employee Engagement</v>
      </c>
      <c r="E146" s="605">
        <f t="shared" si="39"/>
        <v>0.65</v>
      </c>
      <c r="F146" s="525" t="s">
        <v>4840</v>
      </c>
      <c r="G146" s="525"/>
      <c r="H146" s="332"/>
      <c r="I146" s="632"/>
      <c r="J146" s="188">
        <f t="shared" si="40"/>
        <v>1</v>
      </c>
      <c r="K146" s="605">
        <f t="shared" si="40"/>
        <v>0.64552602095758949</v>
      </c>
      <c r="L146" s="525" t="s">
        <v>7765</v>
      </c>
      <c r="M146" s="525"/>
      <c r="N146" s="525"/>
      <c r="O146" s="525"/>
      <c r="P146" s="525"/>
      <c r="Q146" s="525"/>
      <c r="R146" s="525"/>
      <c r="S146" s="525"/>
      <c r="T146" s="525"/>
      <c r="U146" s="525"/>
    </row>
    <row r="147" spans="1:21">
      <c r="A147" s="478"/>
      <c r="D147" s="188"/>
      <c r="E147" s="605"/>
      <c r="F147" s="525"/>
      <c r="G147" s="525"/>
      <c r="H147" s="332"/>
      <c r="I147" s="632"/>
      <c r="J147" s="188"/>
      <c r="K147" s="605"/>
      <c r="L147" s="525"/>
      <c r="M147" s="525"/>
      <c r="N147" s="525"/>
      <c r="O147" s="525"/>
      <c r="P147" s="525"/>
      <c r="Q147" s="525"/>
      <c r="R147" s="525"/>
      <c r="S147" s="525"/>
      <c r="T147" s="525"/>
      <c r="U147" s="525"/>
    </row>
    <row r="148" spans="1:21">
      <c r="A148" s="478"/>
      <c r="D148" s="188"/>
      <c r="E148" s="605"/>
      <c r="F148" s="525"/>
      <c r="G148" s="525"/>
      <c r="H148" s="332"/>
      <c r="I148" s="632"/>
      <c r="J148" s="188"/>
      <c r="K148" s="605"/>
      <c r="L148" s="525"/>
      <c r="M148" s="525"/>
      <c r="N148" s="525"/>
      <c r="O148" s="525"/>
      <c r="P148" s="525"/>
      <c r="Q148" s="525"/>
      <c r="R148" s="525"/>
      <c r="S148" s="525"/>
      <c r="T148" s="525"/>
      <c r="U148" s="525"/>
    </row>
    <row r="149" spans="1:21">
      <c r="A149" s="478"/>
      <c r="D149" s="188"/>
      <c r="E149" s="605"/>
      <c r="F149" s="525"/>
      <c r="G149" s="525"/>
      <c r="H149" s="332"/>
      <c r="I149" s="632"/>
      <c r="J149" s="188"/>
      <c r="K149" s="605"/>
      <c r="L149" s="525"/>
      <c r="M149" s="525"/>
      <c r="N149" s="525"/>
      <c r="O149" s="525"/>
      <c r="P149" s="525"/>
      <c r="Q149" s="525"/>
      <c r="R149" s="525"/>
      <c r="S149" s="525"/>
      <c r="T149" s="525"/>
      <c r="U149" s="525"/>
    </row>
    <row r="150" spans="1:21">
      <c r="A150" s="478"/>
      <c r="F150" s="281"/>
      <c r="G150" s="281"/>
      <c r="H150" s="332"/>
      <c r="I150" s="332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</row>
    <row r="151" spans="1:21">
      <c r="A151" s="478"/>
      <c r="F151" s="281"/>
      <c r="G151" s="281"/>
      <c r="H151" s="332"/>
      <c r="I151" s="332"/>
      <c r="L151" s="281"/>
      <c r="M151" s="281"/>
      <c r="N151" s="281"/>
      <c r="O151" s="281"/>
      <c r="P151" s="281"/>
      <c r="Q151" s="281"/>
      <c r="R151" s="281"/>
      <c r="S151" s="281"/>
      <c r="T151" s="281"/>
      <c r="U151" s="281"/>
    </row>
    <row r="152" spans="1:21">
      <c r="A152" s="478"/>
      <c r="D152" s="8" t="s">
        <v>341</v>
      </c>
      <c r="E152" s="603" t="str">
        <f t="shared" ref="E152" si="41">E$23</f>
        <v>0 (1)</v>
      </c>
      <c r="F152" s="281"/>
      <c r="G152" s="281"/>
      <c r="H152" s="332"/>
      <c r="I152" s="630"/>
      <c r="J152" s="8" t="s">
        <v>341</v>
      </c>
      <c r="K152" s="603" t="str">
        <f t="shared" ref="K152" si="42">K$23</f>
        <v>0 (1)</v>
      </c>
      <c r="L152" s="281"/>
      <c r="M152" s="281"/>
      <c r="N152" s="281"/>
      <c r="O152" s="281"/>
      <c r="P152" s="281"/>
      <c r="Q152" s="281"/>
      <c r="R152" s="281"/>
      <c r="S152" s="281"/>
      <c r="T152" s="281"/>
      <c r="U152" s="281"/>
    </row>
    <row r="153" spans="1:21">
      <c r="A153" s="478"/>
      <c r="D153" s="188" t="str">
        <f>nmEmp1</f>
        <v>Skilled Nursing</v>
      </c>
      <c r="E153" s="604">
        <f>finPNLLOB2Emp1Cost</f>
        <v>1490172.7238723401</v>
      </c>
      <c r="F153" s="525" t="s">
        <v>4841</v>
      </c>
      <c r="G153" s="525"/>
      <c r="H153" s="332"/>
      <c r="I153" s="631"/>
      <c r="J153" s="188" t="str">
        <f>nmEmp1</f>
        <v>Skilled Nursing</v>
      </c>
      <c r="K153" s="604">
        <f>finR2PNLLOB2Emp1Cost</f>
        <v>1431643.7096738112</v>
      </c>
      <c r="L153" s="525" t="s">
        <v>7766</v>
      </c>
      <c r="M153" s="525"/>
      <c r="N153" s="525"/>
      <c r="O153" s="525"/>
      <c r="P153" s="525"/>
      <c r="Q153" s="525"/>
      <c r="R153" s="525"/>
      <c r="S153" s="525"/>
      <c r="T153" s="525"/>
      <c r="U153" s="525"/>
    </row>
    <row r="154" spans="1:21">
      <c r="A154" s="478"/>
      <c r="D154" s="188" t="str">
        <f>nmEmp2</f>
        <v>Occupational Therapy</v>
      </c>
      <c r="E154" s="604">
        <f>finPNLLOB2Emp2Cost</f>
        <v>232627.03670103091</v>
      </c>
      <c r="F154" s="525" t="s">
        <v>4842</v>
      </c>
      <c r="G154" s="525"/>
      <c r="H154" s="332"/>
      <c r="I154" s="631"/>
      <c r="J154" s="188" t="str">
        <f>nmEmp2</f>
        <v>Occupational Therapy</v>
      </c>
      <c r="K154" s="604">
        <f>finR2PNLLOB2Emp2Cost</f>
        <v>225240.00763833628</v>
      </c>
      <c r="L154" s="525" t="s">
        <v>7767</v>
      </c>
      <c r="M154" s="525"/>
      <c r="N154" s="525"/>
      <c r="O154" s="525"/>
      <c r="P154" s="525"/>
      <c r="Q154" s="525"/>
      <c r="R154" s="525"/>
      <c r="S154" s="525"/>
      <c r="T154" s="525"/>
      <c r="U154" s="525"/>
    </row>
    <row r="155" spans="1:21">
      <c r="A155" s="478"/>
      <c r="D155" s="188" t="str">
        <f>nmEmp3</f>
        <v>Physical Therapy</v>
      </c>
      <c r="E155" s="604">
        <f>finPNLLOB2Emp3Cost</f>
        <v>728891.07199999981</v>
      </c>
      <c r="F155" s="525" t="s">
        <v>4898</v>
      </c>
      <c r="G155" s="525"/>
      <c r="H155" s="332"/>
      <c r="I155" s="631"/>
      <c r="J155" s="188" t="str">
        <f>nmEmp3</f>
        <v>Physical Therapy</v>
      </c>
      <c r="K155" s="604">
        <f>finR2PNLLOB2Emp3Cost</f>
        <v>703898.29033788329</v>
      </c>
      <c r="L155" s="525" t="s">
        <v>7768</v>
      </c>
      <c r="M155" s="525"/>
      <c r="N155" s="525"/>
      <c r="O155" s="525"/>
      <c r="P155" s="525"/>
      <c r="Q155" s="525"/>
      <c r="R155" s="525"/>
      <c r="S155" s="525"/>
      <c r="T155" s="525"/>
      <c r="U155" s="525"/>
    </row>
    <row r="156" spans="1:21">
      <c r="A156" s="478"/>
      <c r="D156" s="188" t="s">
        <v>343</v>
      </c>
      <c r="E156" s="604">
        <f>finPNLLOB2GrossProfit</f>
        <v>3010187.1674266304</v>
      </c>
      <c r="F156" s="525" t="s">
        <v>4843</v>
      </c>
      <c r="G156" s="525"/>
      <c r="H156" s="332"/>
      <c r="I156" s="631"/>
      <c r="J156" s="188" t="s">
        <v>343</v>
      </c>
      <c r="K156" s="604">
        <f>finR2PNLLOB2GrossProfit</f>
        <v>3321301.9923499702</v>
      </c>
      <c r="L156" s="525" t="s">
        <v>7769</v>
      </c>
      <c r="M156" s="525"/>
      <c r="N156" s="525"/>
      <c r="O156" s="525"/>
      <c r="P156" s="525"/>
      <c r="Q156" s="525"/>
      <c r="R156" s="525"/>
      <c r="S156" s="525"/>
      <c r="T156" s="525"/>
      <c r="U156" s="525"/>
    </row>
    <row r="157" spans="1:21">
      <c r="A157" s="478"/>
      <c r="D157" s="188" t="s">
        <v>341</v>
      </c>
      <c r="E157" s="605">
        <f>finPNLLOB2GrossMargin</f>
        <v>0.55112676764779989</v>
      </c>
      <c r="F157" s="525" t="s">
        <v>4844</v>
      </c>
      <c r="G157" s="525"/>
      <c r="H157" s="332"/>
      <c r="I157" s="632"/>
      <c r="J157" s="188" t="s">
        <v>341</v>
      </c>
      <c r="K157" s="605">
        <f>finR2PNLLOB2GrossMargin</f>
        <v>0.58452180438549828</v>
      </c>
      <c r="L157" s="525" t="s">
        <v>7770</v>
      </c>
      <c r="M157" s="525"/>
      <c r="N157" s="525"/>
      <c r="O157" s="525"/>
      <c r="P157" s="525"/>
      <c r="Q157" s="525"/>
      <c r="R157" s="525"/>
      <c r="S157" s="525"/>
      <c r="T157" s="525"/>
      <c r="U157" s="525"/>
    </row>
    <row r="158" spans="1:21">
      <c r="A158" s="478"/>
      <c r="F158" s="281"/>
      <c r="G158" s="281"/>
      <c r="H158" s="332"/>
      <c r="I158" s="332"/>
      <c r="L158" s="281"/>
      <c r="M158" s="281"/>
      <c r="N158" s="281"/>
      <c r="O158" s="281"/>
      <c r="P158" s="281"/>
      <c r="Q158" s="281"/>
      <c r="R158" s="281"/>
      <c r="S158" s="281"/>
      <c r="T158" s="281"/>
      <c r="U158" s="281"/>
    </row>
    <row r="159" spans="1:21">
      <c r="A159" s="478"/>
      <c r="F159" s="281"/>
      <c r="G159" s="281"/>
      <c r="H159" s="332"/>
      <c r="I159" s="332"/>
      <c r="L159" s="281"/>
      <c r="M159" s="281"/>
      <c r="N159" s="281"/>
      <c r="O159" s="281"/>
      <c r="P159" s="281"/>
      <c r="Q159" s="281"/>
      <c r="R159" s="281"/>
      <c r="S159" s="281"/>
      <c r="T159" s="281"/>
      <c r="U159" s="281"/>
    </row>
    <row r="160" spans="1:21">
      <c r="A160" s="478"/>
      <c r="D160" s="8" t="s">
        <v>4801</v>
      </c>
      <c r="E160" s="603" t="str">
        <f t="shared" ref="E160" si="43">E$23</f>
        <v>0 (1)</v>
      </c>
      <c r="F160" s="281"/>
      <c r="G160" s="281"/>
      <c r="H160" s="332"/>
      <c r="I160" s="630"/>
      <c r="J160" s="8" t="s">
        <v>4801</v>
      </c>
      <c r="K160" s="603" t="str">
        <f t="shared" ref="K160" si="44">K$23</f>
        <v>0 (1)</v>
      </c>
      <c r="L160" s="281"/>
      <c r="M160" s="281"/>
      <c r="N160" s="281"/>
      <c r="O160" s="281"/>
      <c r="P160" s="281"/>
      <c r="Q160" s="281"/>
      <c r="R160" s="281"/>
      <c r="S160" s="281"/>
      <c r="T160" s="281"/>
      <c r="U160" s="281"/>
    </row>
    <row r="161" spans="1:21">
      <c r="A161" s="478"/>
      <c r="D161" s="188" t="str">
        <f>nmEmp1&amp;" Capacity"</f>
        <v>Skilled Nursing Capacity</v>
      </c>
      <c r="E161" s="604">
        <f>calcLOB2Emp1Capacity</f>
        <v>20874.621276595743</v>
      </c>
      <c r="F161" s="525" t="s">
        <v>4845</v>
      </c>
      <c r="G161" s="525"/>
      <c r="H161" s="332"/>
      <c r="I161" s="631"/>
      <c r="J161" s="188" t="str">
        <f>nmEmp1&amp;" Capacity"</f>
        <v>Skilled Nursing Capacity</v>
      </c>
      <c r="K161" s="604">
        <f>calcR2LOB2Emp1Capacity</f>
        <v>20117.634568327871</v>
      </c>
      <c r="L161" s="525" t="s">
        <v>7771</v>
      </c>
      <c r="M161" s="525"/>
      <c r="N161" s="525"/>
      <c r="O161" s="525"/>
      <c r="P161" s="525"/>
      <c r="Q161" s="525"/>
      <c r="R161" s="525"/>
      <c r="S161" s="525"/>
      <c r="T161" s="525"/>
      <c r="U161" s="525"/>
    </row>
    <row r="162" spans="1:21">
      <c r="A162" s="478"/>
      <c r="D162" s="188" t="str">
        <f>nmEmp1&amp;" Demand"</f>
        <v>Skilled Nursing Demand</v>
      </c>
      <c r="E162" s="604">
        <f>calcLOB2Emp1Visits</f>
        <v>20980.799999999999</v>
      </c>
      <c r="F162" s="525" t="s">
        <v>4846</v>
      </c>
      <c r="G162" s="525"/>
      <c r="H162" s="332"/>
      <c r="I162" s="631"/>
      <c r="J162" s="188" t="str">
        <f>nmEmp1&amp;" Demand"</f>
        <v>Skilled Nursing Demand</v>
      </c>
      <c r="K162" s="604">
        <f>calcR2LOB2Emp1Visits</f>
        <v>21873.599999999999</v>
      </c>
      <c r="L162" s="525" t="s">
        <v>7772</v>
      </c>
      <c r="M162" s="525"/>
      <c r="N162" s="525"/>
      <c r="O162" s="525"/>
      <c r="P162" s="525"/>
      <c r="Q162" s="525"/>
      <c r="R162" s="525"/>
      <c r="S162" s="525"/>
      <c r="T162" s="525"/>
      <c r="U162" s="525"/>
    </row>
    <row r="163" spans="1:21">
      <c r="A163" s="478"/>
      <c r="D163" s="188" t="str">
        <f>nmEmp2&amp;" Capacity"</f>
        <v>Occupational Therapy Capacity</v>
      </c>
      <c r="E163" s="604">
        <f>calcLOB2Emp2Capacity</f>
        <v>2684.6597938144332</v>
      </c>
      <c r="F163" s="525" t="s">
        <v>4847</v>
      </c>
      <c r="G163" s="525"/>
      <c r="H163" s="332"/>
      <c r="I163" s="631"/>
      <c r="J163" s="188" t="str">
        <f>nmEmp2&amp;" Capacity"</f>
        <v>Occupational Therapy Capacity</v>
      </c>
      <c r="K163" s="604">
        <f>calcR2LOB2Emp2Capacity</f>
        <v>2598.0763467903303</v>
      </c>
      <c r="L163" s="525" t="s">
        <v>7773</v>
      </c>
      <c r="M163" s="525"/>
      <c r="N163" s="525"/>
      <c r="O163" s="525"/>
      <c r="P163" s="525"/>
      <c r="Q163" s="525"/>
      <c r="R163" s="525"/>
      <c r="S163" s="525"/>
      <c r="T163" s="525"/>
      <c r="U163" s="525"/>
    </row>
    <row r="164" spans="1:21">
      <c r="A164" s="478"/>
      <c r="D164" s="188" t="str">
        <f>nmEmp2&amp;" Demand"</f>
        <v>Occupational Therapy Demand</v>
      </c>
      <c r="E164" s="604">
        <f>calcLOB2Emp2Visits</f>
        <v>2707.2000000000003</v>
      </c>
      <c r="F164" s="525" t="s">
        <v>4848</v>
      </c>
      <c r="G164" s="525"/>
      <c r="H164" s="332"/>
      <c r="I164" s="631"/>
      <c r="J164" s="188" t="str">
        <f>nmEmp2&amp;" Demand"</f>
        <v>Occupational Therapy Demand</v>
      </c>
      <c r="K164" s="604">
        <f>calcR2LOB2Emp2Visits</f>
        <v>2822.4</v>
      </c>
      <c r="L164" s="525" t="s">
        <v>7774</v>
      </c>
      <c r="M164" s="525"/>
      <c r="N164" s="525"/>
      <c r="O164" s="525"/>
      <c r="P164" s="525"/>
      <c r="Q164" s="525"/>
      <c r="R164" s="525"/>
      <c r="S164" s="525"/>
      <c r="T164" s="525"/>
      <c r="U164" s="525"/>
    </row>
    <row r="165" spans="1:21">
      <c r="A165" s="478"/>
      <c r="D165" s="188" t="str">
        <f>nmEmp3&amp;" Capacity"</f>
        <v>Physical Therapy Capacity</v>
      </c>
      <c r="E165" s="604">
        <f>calcLOB2Emp3Capacity</f>
        <v>8577.5999999999985</v>
      </c>
      <c r="F165" s="525" t="s">
        <v>4849</v>
      </c>
      <c r="G165" s="525"/>
      <c r="H165" s="332"/>
      <c r="I165" s="631"/>
      <c r="J165" s="188" t="str">
        <f>nmEmp3&amp;" Capacity"</f>
        <v>Physical Therapy Capacity</v>
      </c>
      <c r="K165" s="604">
        <f>calcR2LOB2Emp3Capacity</f>
        <v>8290.6377184344019</v>
      </c>
      <c r="L165" s="525" t="s">
        <v>7775</v>
      </c>
      <c r="M165" s="525"/>
      <c r="N165" s="525"/>
      <c r="O165" s="525"/>
      <c r="P165" s="525"/>
      <c r="Q165" s="525"/>
      <c r="R165" s="525"/>
      <c r="S165" s="525"/>
      <c r="T165" s="525"/>
      <c r="U165" s="525"/>
    </row>
    <row r="166" spans="1:21">
      <c r="A166" s="478"/>
      <c r="D166" s="188" t="str">
        <f>nmEmp3&amp;" Demand"</f>
        <v>Physical Therapy Demand</v>
      </c>
      <c r="E166" s="604">
        <f>calcLOB2Emp3Visits</f>
        <v>9024</v>
      </c>
      <c r="F166" s="525" t="s">
        <v>4850</v>
      </c>
      <c r="G166" s="525"/>
      <c r="H166" s="332"/>
      <c r="I166" s="631"/>
      <c r="J166" s="188" t="str">
        <f>nmEmp3&amp;" Demand"</f>
        <v>Physical Therapy Demand</v>
      </c>
      <c r="K166" s="604">
        <f>calcR2LOB2Emp3Visits</f>
        <v>9408</v>
      </c>
      <c r="L166" s="525" t="s">
        <v>7776</v>
      </c>
      <c r="M166" s="525"/>
      <c r="N166" s="525"/>
      <c r="O166" s="525"/>
      <c r="P166" s="525"/>
      <c r="Q166" s="525"/>
      <c r="R166" s="525"/>
      <c r="S166" s="525"/>
      <c r="T166" s="525"/>
      <c r="U166" s="525"/>
    </row>
    <row r="167" spans="1:21">
      <c r="A167" s="478"/>
      <c r="D167" s="188" t="s">
        <v>4808</v>
      </c>
      <c r="E167" s="605">
        <f>1-(E161+E163+E165)/(E162+E164+E166)</f>
        <v>1.7581283002868209E-2</v>
      </c>
      <c r="F167" s="525" t="s">
        <v>4851</v>
      </c>
      <c r="G167" s="525"/>
      <c r="H167" s="332"/>
      <c r="I167" s="632"/>
      <c r="J167" s="188" t="s">
        <v>4808</v>
      </c>
      <c r="K167" s="605">
        <f t="shared" ref="K167" si="45">1-(K161+K163+K165)/(K162+K164+K166)</f>
        <v>9.0829561530829106E-2</v>
      </c>
      <c r="L167" s="525" t="s">
        <v>7777</v>
      </c>
      <c r="M167" s="525"/>
      <c r="N167" s="525"/>
      <c r="O167" s="525"/>
      <c r="P167" s="525"/>
      <c r="Q167" s="525"/>
      <c r="R167" s="525"/>
      <c r="S167" s="525"/>
      <c r="T167" s="525"/>
      <c r="U167" s="525"/>
    </row>
    <row r="168" spans="1:21">
      <c r="A168" s="478"/>
      <c r="H168" s="332"/>
      <c r="I168" s="332"/>
    </row>
    <row r="169" spans="1:21">
      <c r="A169" s="478"/>
      <c r="H169" s="332"/>
      <c r="I169" s="332"/>
    </row>
    <row r="170" spans="1:21">
      <c r="A170" s="478"/>
      <c r="D170" s="8" t="s">
        <v>4814</v>
      </c>
      <c r="E170" s="603" t="str">
        <f t="shared" ref="E170" si="46">E$23</f>
        <v>0 (1)</v>
      </c>
      <c r="F170" s="281"/>
      <c r="G170" s="281"/>
      <c r="H170" s="332"/>
      <c r="I170" s="630"/>
      <c r="J170" s="8" t="s">
        <v>4814</v>
      </c>
      <c r="K170" s="603" t="str">
        <f t="shared" ref="K170" si="47">K$23</f>
        <v>0 (1)</v>
      </c>
      <c r="L170" s="281"/>
      <c r="M170" s="281"/>
      <c r="N170" s="281"/>
      <c r="O170" s="281"/>
      <c r="P170" s="281"/>
      <c r="Q170" s="281"/>
      <c r="R170" s="281"/>
      <c r="S170" s="281"/>
      <c r="T170" s="281"/>
      <c r="U170" s="281"/>
    </row>
    <row r="171" spans="1:21">
      <c r="A171" s="478"/>
      <c r="D171" s="188" t="s">
        <v>407</v>
      </c>
      <c r="E171" s="604">
        <f>finPNLLOB2ServiceCost</f>
        <v>2451690.8325733705</v>
      </c>
      <c r="F171" s="525" t="s">
        <v>4852</v>
      </c>
      <c r="G171" s="525"/>
      <c r="H171" s="332"/>
      <c r="I171" s="631"/>
      <c r="J171" s="188" t="s">
        <v>407</v>
      </c>
      <c r="K171" s="604">
        <f>finR2PNLLOB2ServiceCost</f>
        <v>2360782.0076500308</v>
      </c>
      <c r="L171" s="525" t="s">
        <v>7778</v>
      </c>
      <c r="M171" s="525"/>
      <c r="N171" s="525"/>
      <c r="O171" s="525"/>
      <c r="P171" s="525"/>
      <c r="Q171" s="525"/>
      <c r="R171" s="525"/>
      <c r="S171" s="525"/>
      <c r="T171" s="525"/>
      <c r="U171" s="525"/>
    </row>
    <row r="172" spans="1:21">
      <c r="A172" s="478"/>
      <c r="D172" s="188" t="s">
        <v>4714</v>
      </c>
      <c r="E172" s="604">
        <f>finPNLLOB2EmpOverhead</f>
        <v>2107875</v>
      </c>
      <c r="F172" s="525" t="s">
        <v>4853</v>
      </c>
      <c r="G172" s="525"/>
      <c r="H172" s="332"/>
      <c r="I172" s="631"/>
      <c r="J172" s="188" t="s">
        <v>4714</v>
      </c>
      <c r="K172" s="604">
        <f>finR2PNLLOB2EmpOverhead</f>
        <v>2634843.75</v>
      </c>
      <c r="L172" s="525" t="s">
        <v>7779</v>
      </c>
      <c r="M172" s="525"/>
      <c r="N172" s="525"/>
      <c r="O172" s="525"/>
      <c r="P172" s="525"/>
      <c r="Q172" s="525"/>
      <c r="R172" s="525"/>
      <c r="S172" s="525"/>
      <c r="T172" s="525"/>
      <c r="U172" s="525"/>
    </row>
    <row r="173" spans="1:21">
      <c r="A173" s="478"/>
      <c r="D173" s="188" t="s">
        <v>487</v>
      </c>
      <c r="E173" s="604">
        <f>finPNLLOB2OpProfit</f>
        <v>902312.16742663039</v>
      </c>
      <c r="F173" s="525" t="s">
        <v>4854</v>
      </c>
      <c r="G173" s="525"/>
      <c r="H173" s="332"/>
      <c r="I173" s="631"/>
      <c r="J173" s="188" t="s">
        <v>487</v>
      </c>
      <c r="K173" s="604">
        <f>finR2PNLLOB2OpProfit</f>
        <v>686458.24234997015</v>
      </c>
      <c r="L173" s="525" t="s">
        <v>7780</v>
      </c>
      <c r="M173" s="525"/>
      <c r="N173" s="525"/>
      <c r="O173" s="525"/>
      <c r="P173" s="525"/>
      <c r="Q173" s="525"/>
      <c r="R173" s="525"/>
      <c r="S173" s="525"/>
      <c r="T173" s="525"/>
      <c r="U173" s="525"/>
    </row>
    <row r="174" spans="1:21">
      <c r="A174" s="478"/>
      <c r="D174" s="188" t="s">
        <v>4716</v>
      </c>
      <c r="E174" s="605">
        <f>finPNLLOB2OpMargin</f>
        <v>0.16520181655954788</v>
      </c>
      <c r="F174" s="525" t="s">
        <v>4855</v>
      </c>
      <c r="G174" s="525"/>
      <c r="H174" s="332"/>
      <c r="I174" s="632"/>
      <c r="J174" s="188" t="s">
        <v>4716</v>
      </c>
      <c r="K174" s="605">
        <f>finR2PNLLOB2OpMargin</f>
        <v>0.12081099863183474</v>
      </c>
      <c r="L174" s="525" t="s">
        <v>7781</v>
      </c>
      <c r="M174" s="525"/>
      <c r="N174" s="525"/>
      <c r="O174" s="525"/>
      <c r="P174" s="525"/>
      <c r="Q174" s="525"/>
      <c r="R174" s="525"/>
      <c r="S174" s="525"/>
      <c r="T174" s="525"/>
      <c r="U174" s="525"/>
    </row>
    <row r="175" spans="1:21">
      <c r="A175" s="478"/>
      <c r="D175" s="188"/>
      <c r="E175" s="605"/>
      <c r="F175" s="525"/>
      <c r="G175" s="525"/>
      <c r="H175" s="332"/>
      <c r="I175" s="632"/>
      <c r="J175" s="188"/>
      <c r="K175" s="605"/>
      <c r="L175" s="525"/>
      <c r="M175" s="525"/>
      <c r="N175" s="525"/>
      <c r="O175" s="525"/>
      <c r="P175" s="525"/>
      <c r="Q175" s="525"/>
      <c r="R175" s="525"/>
      <c r="S175" s="525"/>
      <c r="T175" s="525"/>
      <c r="U175" s="525"/>
    </row>
    <row r="176" spans="1:21">
      <c r="F176" s="281"/>
      <c r="G176" s="281"/>
      <c r="H176" s="332"/>
      <c r="I176" s="332"/>
      <c r="L176" s="281"/>
      <c r="M176" s="281"/>
      <c r="N176" s="281"/>
      <c r="O176" s="281"/>
      <c r="P176" s="281"/>
      <c r="Q176" s="281"/>
      <c r="R176" s="281"/>
      <c r="S176" s="281"/>
      <c r="T176" s="281"/>
      <c r="U176" s="281"/>
    </row>
    <row r="177" spans="1:21">
      <c r="A177" s="633" t="s">
        <v>4924</v>
      </c>
      <c r="B177" s="633"/>
      <c r="D177" s="8" t="s">
        <v>4727</v>
      </c>
      <c r="E177" s="603" t="str">
        <f t="shared" ref="E177" si="48">E$23</f>
        <v>0 (1)</v>
      </c>
      <c r="F177" s="281"/>
      <c r="G177" s="281"/>
      <c r="H177" s="332"/>
      <c r="I177" s="630"/>
      <c r="J177" s="8" t="s">
        <v>4727</v>
      </c>
      <c r="K177" s="603" t="str">
        <f t="shared" ref="K177" si="49">K$23</f>
        <v>0 (1)</v>
      </c>
      <c r="L177" s="281"/>
      <c r="M177" s="281"/>
      <c r="N177" s="281"/>
      <c r="O177" s="281"/>
      <c r="P177" s="281"/>
      <c r="Q177" s="281"/>
      <c r="R177" s="281"/>
      <c r="S177" s="281"/>
      <c r="T177" s="281"/>
      <c r="U177" s="281"/>
    </row>
    <row r="178" spans="1:21">
      <c r="A178" s="633" t="s">
        <v>4924</v>
      </c>
      <c r="B178" s="633"/>
      <c r="D178" s="188" t="str">
        <f>nmSeg1</f>
        <v>Medicare</v>
      </c>
      <c r="E178" s="604">
        <f>finPNLSeg1Rev</f>
        <v>10148464.800000001</v>
      </c>
      <c r="F178" s="525" t="s">
        <v>4856</v>
      </c>
      <c r="G178" s="525"/>
      <c r="H178" s="332"/>
      <c r="I178" s="631"/>
      <c r="J178" s="188" t="str">
        <f>nmSeg1</f>
        <v>Medicare</v>
      </c>
      <c r="K178" s="604">
        <f>finR2PNLSeg1Rev</f>
        <v>10425240</v>
      </c>
      <c r="L178" s="525" t="s">
        <v>7782</v>
      </c>
      <c r="M178" s="525"/>
      <c r="N178" s="525"/>
      <c r="O178" s="525"/>
      <c r="P178" s="525"/>
      <c r="Q178" s="525"/>
      <c r="R178" s="525"/>
      <c r="S178" s="525"/>
      <c r="T178" s="525"/>
      <c r="U178" s="525"/>
    </row>
    <row r="179" spans="1:21">
      <c r="A179" s="633" t="s">
        <v>4924</v>
      </c>
      <c r="B179" s="633"/>
      <c r="D179" s="188" t="str">
        <f>nmSeg2</f>
        <v>PPS</v>
      </c>
      <c r="E179" s="604">
        <f>finPNLSeg2Rev</f>
        <v>1016929.2</v>
      </c>
      <c r="F179" s="525" t="s">
        <v>4857</v>
      </c>
      <c r="G179" s="525"/>
      <c r="H179" s="332"/>
      <c r="I179" s="631"/>
      <c r="J179" s="188" t="str">
        <f>nmSeg2</f>
        <v>PPS</v>
      </c>
      <c r="K179" s="604">
        <f>finR2PNLSeg2Rev</f>
        <v>1043298</v>
      </c>
      <c r="L179" s="525" t="s">
        <v>7783</v>
      </c>
      <c r="M179" s="525"/>
      <c r="N179" s="525"/>
      <c r="O179" s="525"/>
      <c r="P179" s="525"/>
      <c r="Q179" s="525"/>
      <c r="R179" s="525"/>
      <c r="S179" s="525"/>
      <c r="T179" s="525"/>
      <c r="U179" s="525"/>
    </row>
    <row r="180" spans="1:21">
      <c r="A180" s="633" t="s">
        <v>4924</v>
      </c>
      <c r="B180" s="633"/>
      <c r="D180" s="188" t="str">
        <f>nmSeg3</f>
        <v>Other</v>
      </c>
      <c r="E180" s="604">
        <f>finPNLSeg3Rev</f>
        <v>1629930</v>
      </c>
      <c r="F180" s="525" t="s">
        <v>4858</v>
      </c>
      <c r="G180" s="525"/>
      <c r="H180" s="332"/>
      <c r="I180" s="631"/>
      <c r="J180" s="188" t="str">
        <f>nmSeg3</f>
        <v>Other</v>
      </c>
      <c r="K180" s="604">
        <f>finR2PNLSeg3Rev</f>
        <v>1664880</v>
      </c>
      <c r="L180" s="525" t="s">
        <v>7784</v>
      </c>
      <c r="M180" s="525"/>
      <c r="N180" s="525"/>
      <c r="O180" s="525"/>
      <c r="P180" s="525"/>
      <c r="Q180" s="525"/>
      <c r="R180" s="525"/>
      <c r="S180" s="525"/>
      <c r="T180" s="525"/>
      <c r="U180" s="525"/>
    </row>
    <row r="181" spans="1:21">
      <c r="A181" s="633" t="s">
        <v>4924</v>
      </c>
      <c r="B181" s="633"/>
      <c r="D181" s="188" t="s">
        <v>4730</v>
      </c>
      <c r="E181" s="605">
        <f>cbalRevGrowth</f>
        <v>8.7486130057792266E-3</v>
      </c>
      <c r="F181" s="525" t="s">
        <v>4859</v>
      </c>
      <c r="G181" s="525"/>
      <c r="H181" s="332"/>
      <c r="I181" s="632"/>
      <c r="J181" s="188" t="s">
        <v>4730</v>
      </c>
      <c r="K181" s="605">
        <f>cbalR2RevGrowth</f>
        <v>2.6423246492234265E-2</v>
      </c>
      <c r="L181" s="525" t="s">
        <v>7785</v>
      </c>
      <c r="M181" s="525"/>
      <c r="N181" s="525"/>
      <c r="O181" s="525"/>
      <c r="P181" s="525"/>
      <c r="Q181" s="525"/>
      <c r="R181" s="525"/>
      <c r="S181" s="525"/>
      <c r="T181" s="525"/>
      <c r="U181" s="525"/>
    </row>
    <row r="182" spans="1:21">
      <c r="A182" s="633" t="s">
        <v>4924</v>
      </c>
      <c r="B182" s="633"/>
      <c r="D182" s="188"/>
      <c r="E182" s="75"/>
      <c r="F182" s="281"/>
      <c r="G182" s="281"/>
      <c r="H182" s="332"/>
      <c r="I182" s="383"/>
      <c r="J182" s="188"/>
      <c r="K182" s="75"/>
      <c r="L182" s="281"/>
      <c r="M182" s="281"/>
      <c r="N182" s="281"/>
      <c r="O182" s="281"/>
      <c r="P182" s="281"/>
      <c r="Q182" s="281"/>
      <c r="R182" s="281"/>
      <c r="S182" s="281"/>
      <c r="T182" s="281"/>
      <c r="U182" s="281"/>
    </row>
    <row r="183" spans="1:21">
      <c r="A183" s="633" t="s">
        <v>4924</v>
      </c>
      <c r="B183" s="633"/>
      <c r="F183" s="281"/>
      <c r="G183" s="281"/>
      <c r="H183" s="332"/>
      <c r="I183" s="332"/>
      <c r="L183" s="281"/>
      <c r="M183" s="281"/>
      <c r="N183" s="281"/>
      <c r="O183" s="281"/>
      <c r="P183" s="281"/>
      <c r="Q183" s="281"/>
      <c r="R183" s="281"/>
      <c r="S183" s="281"/>
      <c r="T183" s="281"/>
      <c r="U183" s="281"/>
    </row>
    <row r="184" spans="1:21">
      <c r="A184" s="633" t="s">
        <v>4924</v>
      </c>
      <c r="B184" s="633"/>
      <c r="F184" s="281"/>
      <c r="G184" s="281"/>
      <c r="H184" s="332"/>
      <c r="I184" s="332"/>
      <c r="L184" s="281"/>
      <c r="M184" s="281"/>
      <c r="N184" s="281"/>
      <c r="O184" s="281"/>
      <c r="P184" s="281"/>
      <c r="Q184" s="281"/>
      <c r="R184" s="281"/>
      <c r="S184" s="281"/>
      <c r="T184" s="281"/>
      <c r="U184" s="281"/>
    </row>
    <row r="185" spans="1:21">
      <c r="A185" s="633" t="s">
        <v>4924</v>
      </c>
      <c r="B185" s="633"/>
      <c r="D185" s="8" t="s">
        <v>4728</v>
      </c>
      <c r="E185" s="603" t="str">
        <f t="shared" ref="E185" si="50">E$23</f>
        <v>0 (1)</v>
      </c>
      <c r="F185" s="281"/>
      <c r="G185" s="281"/>
      <c r="H185" s="332"/>
      <c r="I185" s="630"/>
      <c r="J185" s="8" t="s">
        <v>4728</v>
      </c>
      <c r="K185" s="603" t="str">
        <f t="shared" ref="K185" si="51">K$23</f>
        <v>0 (1)</v>
      </c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</row>
    <row r="186" spans="1:21">
      <c r="A186" s="633" t="s">
        <v>4924</v>
      </c>
      <c r="B186" s="633"/>
      <c r="D186" s="188" t="str">
        <f>nmSeg1 &amp; " -  " &amp; nmProd1</f>
        <v>Medicare -  Admits</v>
      </c>
      <c r="E186" s="604">
        <f>calcLOB1Prod1Seg1Patients+calcLOB2Prod1Seg1Patients</f>
        <v>3060</v>
      </c>
      <c r="F186" s="525" t="s">
        <v>4860</v>
      </c>
      <c r="G186" s="525"/>
      <c r="H186" s="332"/>
      <c r="I186" s="631"/>
      <c r="J186" s="188" t="str">
        <f>nmSeg1 &amp; " -  " &amp; nmProd1</f>
        <v>Medicare -  Admits</v>
      </c>
      <c r="K186" s="604">
        <f>calcR2LOB1Prod1Seg1Patients+calcR2LOB2Prod1Seg1Patients</f>
        <v>3132</v>
      </c>
      <c r="L186" s="525" t="s">
        <v>7786</v>
      </c>
      <c r="M186" s="525"/>
      <c r="N186" s="525"/>
      <c r="O186" s="525"/>
      <c r="P186" s="525"/>
      <c r="Q186" s="525"/>
      <c r="R186" s="525"/>
      <c r="S186" s="525"/>
      <c r="T186" s="525"/>
      <c r="U186" s="525"/>
    </row>
    <row r="187" spans="1:21">
      <c r="A187" s="633" t="s">
        <v>4924</v>
      </c>
      <c r="B187" s="633"/>
      <c r="D187" s="188" t="str">
        <f>nmSeg1 &amp; " -  " &amp; nmProd2</f>
        <v>Medicare -  Recerts</v>
      </c>
      <c r="E187" s="604">
        <f>calcLOB1Prod2Seg1Patients+calcLOB2Prod2Seg1Patients</f>
        <v>840</v>
      </c>
      <c r="F187" s="525" t="s">
        <v>4861</v>
      </c>
      <c r="G187" s="525"/>
      <c r="H187" s="332"/>
      <c r="I187" s="631"/>
      <c r="J187" s="188" t="str">
        <f>nmSeg1 &amp; " -  " &amp; nmProd2</f>
        <v>Medicare -  Recerts</v>
      </c>
      <c r="K187" s="604">
        <f>calcR2LOB1Prod2Seg1Patients+calcR2LOB2Prod2Seg1Patients</f>
        <v>876</v>
      </c>
      <c r="L187" s="525" t="s">
        <v>7787</v>
      </c>
      <c r="M187" s="525"/>
      <c r="N187" s="525"/>
      <c r="O187" s="525"/>
      <c r="P187" s="525"/>
      <c r="Q187" s="525"/>
      <c r="R187" s="525"/>
      <c r="S187" s="525"/>
      <c r="T187" s="525"/>
      <c r="U187" s="525"/>
    </row>
    <row r="188" spans="1:21">
      <c r="A188" s="633" t="s">
        <v>4924</v>
      </c>
      <c r="B188" s="633"/>
      <c r="D188" s="188" t="str">
        <f>nmSeg2 &amp; " -  " &amp; nmProd1</f>
        <v>PPS -  Admits</v>
      </c>
      <c r="E188" s="604">
        <f>calcLOB1Prod1Seg2Patients+calcLOB2Prod1Seg2Patients</f>
        <v>336</v>
      </c>
      <c r="F188" s="525" t="s">
        <v>4862</v>
      </c>
      <c r="G188" s="525"/>
      <c r="H188" s="332"/>
      <c r="I188" s="631"/>
      <c r="J188" s="188" t="str">
        <f>nmSeg2 &amp; " -  " &amp; nmProd1</f>
        <v>PPS -  Admits</v>
      </c>
      <c r="K188" s="604">
        <f>calcR2LOB1Prod1Seg2Patients+calcR2LOB2Prod1Seg2Patients</f>
        <v>348</v>
      </c>
      <c r="L188" s="525" t="s">
        <v>7788</v>
      </c>
      <c r="M188" s="525"/>
      <c r="N188" s="525"/>
      <c r="O188" s="525"/>
      <c r="P188" s="525"/>
      <c r="Q188" s="525"/>
      <c r="R188" s="525"/>
      <c r="S188" s="525"/>
      <c r="T188" s="525"/>
      <c r="U188" s="525"/>
    </row>
    <row r="189" spans="1:21">
      <c r="A189" s="633" t="s">
        <v>4924</v>
      </c>
      <c r="B189" s="633"/>
      <c r="D189" s="188" t="str">
        <f>nmSeg2&amp; " -  " &amp; nmProd2</f>
        <v>PPS -  Recerts</v>
      </c>
      <c r="E189" s="604">
        <f>calcLOB1Prod2Seg2Patients+calcLOB2Prod2Seg2Patients</f>
        <v>84</v>
      </c>
      <c r="F189" s="525" t="s">
        <v>4863</v>
      </c>
      <c r="G189" s="525"/>
      <c r="H189" s="332"/>
      <c r="I189" s="631"/>
      <c r="J189" s="188" t="str">
        <f>nmSeg2&amp; " -  " &amp; nmProd2</f>
        <v>PPS -  Recerts</v>
      </c>
      <c r="K189" s="604">
        <f>calcR2LOB1Prod2Seg2Patients+calcR2LOB2Prod2Seg2Patients</f>
        <v>84</v>
      </c>
      <c r="L189" s="525" t="s">
        <v>7789</v>
      </c>
      <c r="M189" s="525"/>
      <c r="N189" s="525"/>
      <c r="O189" s="525"/>
      <c r="P189" s="525"/>
      <c r="Q189" s="525"/>
      <c r="R189" s="525"/>
      <c r="S189" s="525"/>
      <c r="T189" s="525"/>
      <c r="U189" s="525"/>
    </row>
    <row r="190" spans="1:21">
      <c r="A190" s="633" t="s">
        <v>4924</v>
      </c>
      <c r="B190" s="633"/>
      <c r="D190" s="188" t="str">
        <f>nmSeg3 &amp; " -  " &amp; nmProd1</f>
        <v>Other -  Admits</v>
      </c>
      <c r="E190" s="604">
        <f>calcLOB1Prod1Seg3Patients+calcLOB2Prod1Seg3Patients</f>
        <v>852</v>
      </c>
      <c r="F190" s="525" t="s">
        <v>4864</v>
      </c>
      <c r="G190" s="525"/>
      <c r="H190" s="332"/>
      <c r="I190" s="631"/>
      <c r="J190" s="188" t="str">
        <f>nmSeg3 &amp; " -  " &amp; nmProd1</f>
        <v>Other -  Admits</v>
      </c>
      <c r="K190" s="604">
        <f>calcR2LOB1Prod1Seg3Patients+calcR2LOB2Prod1Seg3Patients</f>
        <v>876</v>
      </c>
      <c r="L190" s="525" t="s">
        <v>7790</v>
      </c>
      <c r="M190" s="525"/>
      <c r="N190" s="525"/>
      <c r="O190" s="525"/>
      <c r="P190" s="525"/>
      <c r="Q190" s="525"/>
      <c r="R190" s="525"/>
      <c r="S190" s="525"/>
      <c r="T190" s="525"/>
      <c r="U190" s="525"/>
    </row>
    <row r="191" spans="1:21">
      <c r="A191" s="633" t="s">
        <v>4924</v>
      </c>
      <c r="B191" s="633"/>
      <c r="D191" s="188" t="str">
        <f>nmSeg3&amp; " -  " &amp; nmProd2</f>
        <v>Other -  Recerts</v>
      </c>
      <c r="E191" s="604">
        <f>calcLOB1Prod2Seg3Patients+calcLOB2Prod2Seg3Patients</f>
        <v>216</v>
      </c>
      <c r="F191" s="525" t="s">
        <v>4865</v>
      </c>
      <c r="G191" s="525"/>
      <c r="H191" s="332"/>
      <c r="I191" s="631"/>
      <c r="J191" s="188" t="str">
        <f>nmSeg3&amp; " -  " &amp; nmProd2</f>
        <v>Other -  Recerts</v>
      </c>
      <c r="K191" s="604">
        <f>calcR2LOB1Prod2Seg3Patients+calcR2LOB2Prod2Seg3Patients</f>
        <v>216</v>
      </c>
      <c r="L191" s="525" t="s">
        <v>7791</v>
      </c>
      <c r="M191" s="525"/>
      <c r="N191" s="525"/>
      <c r="O191" s="525"/>
      <c r="P191" s="525"/>
      <c r="Q191" s="525"/>
      <c r="R191" s="525"/>
      <c r="S191" s="525"/>
      <c r="T191" s="525"/>
      <c r="U191" s="525"/>
    </row>
    <row r="192" spans="1:21">
      <c r="A192" s="633" t="s">
        <v>4924</v>
      </c>
      <c r="B192" s="633"/>
      <c r="D192" s="188" t="s">
        <v>4741</v>
      </c>
      <c r="E192" s="605">
        <f>(E186+E188+E190)/SUM(E186:E191)</f>
        <v>0.7884187082405345</v>
      </c>
      <c r="F192" s="525" t="s">
        <v>4866</v>
      </c>
      <c r="G192" s="525"/>
      <c r="H192" s="332"/>
      <c r="I192" s="632"/>
      <c r="J192" s="188" t="s">
        <v>4741</v>
      </c>
      <c r="K192" s="605">
        <f t="shared" ref="K192" si="52">(K186+K188+K190)/SUM(K186:K191)</f>
        <v>0.78741865509761388</v>
      </c>
      <c r="L192" s="525" t="s">
        <v>7792</v>
      </c>
      <c r="M192" s="525"/>
      <c r="N192" s="525"/>
      <c r="O192" s="525"/>
      <c r="P192" s="525"/>
      <c r="Q192" s="525"/>
      <c r="R192" s="525"/>
      <c r="S192" s="525"/>
      <c r="T192" s="525"/>
      <c r="U192" s="525"/>
    </row>
    <row r="193" spans="1:21">
      <c r="A193" s="633" t="s">
        <v>4924</v>
      </c>
      <c r="B193" s="633"/>
      <c r="F193" s="281"/>
      <c r="G193" s="281"/>
      <c r="H193" s="332"/>
      <c r="I193" s="332"/>
      <c r="L193" s="281"/>
      <c r="M193" s="281"/>
      <c r="N193" s="281"/>
      <c r="O193" s="281"/>
      <c r="P193" s="281"/>
      <c r="Q193" s="281"/>
      <c r="R193" s="281"/>
      <c r="S193" s="281"/>
      <c r="T193" s="281"/>
      <c r="U193" s="281"/>
    </row>
    <row r="194" spans="1:21">
      <c r="A194" s="633" t="s">
        <v>4924</v>
      </c>
      <c r="B194" s="633"/>
      <c r="D194" s="8">
        <v>3</v>
      </c>
      <c r="E194" s="8">
        <v>4</v>
      </c>
      <c r="F194" s="281"/>
      <c r="G194" s="281"/>
      <c r="H194" s="332"/>
      <c r="I194" s="332"/>
      <c r="J194" s="8">
        <v>3</v>
      </c>
      <c r="K194" s="8">
        <v>4</v>
      </c>
      <c r="L194" s="281"/>
      <c r="M194" s="281"/>
      <c r="N194" s="281"/>
      <c r="O194" s="281"/>
      <c r="P194" s="281"/>
      <c r="Q194" s="281"/>
      <c r="R194" s="281"/>
      <c r="S194" s="281"/>
      <c r="T194" s="281"/>
      <c r="U194" s="281"/>
    </row>
    <row r="195" spans="1:21">
      <c r="A195" s="633" t="s">
        <v>4924</v>
      </c>
      <c r="B195" s="633"/>
      <c r="D195" s="8" t="s">
        <v>4729</v>
      </c>
      <c r="E195" s="603" t="str">
        <f t="shared" ref="E195" si="53">E$23</f>
        <v>0 (1)</v>
      </c>
      <c r="F195" s="281"/>
      <c r="G195" s="281"/>
      <c r="H195" s="332"/>
      <c r="I195" s="630"/>
      <c r="J195" s="8" t="s">
        <v>4729</v>
      </c>
      <c r="K195" s="603" t="str">
        <f t="shared" ref="K195" si="54">K$23</f>
        <v>0 (1)</v>
      </c>
      <c r="L195" s="281"/>
      <c r="M195" s="281"/>
      <c r="N195" s="281"/>
      <c r="O195" s="281"/>
      <c r="P195" s="281"/>
      <c r="Q195" s="281"/>
      <c r="R195" s="281"/>
      <c r="S195" s="281"/>
      <c r="T195" s="281"/>
      <c r="U195" s="281"/>
    </row>
    <row r="196" spans="1:21">
      <c r="A196" s="633" t="s">
        <v>4924</v>
      </c>
      <c r="B196" s="633"/>
      <c r="D196" s="188" t="s">
        <v>2980</v>
      </c>
      <c r="E196" s="605">
        <f>(tlOutputFBLOB1CSATImpact1_R1*calcLOB1Patients+tlOutputFBLOB2CSATImpact1_R1*calcLOB2Patients)/(calcLOB1Patients+calcLOB2Patients)</f>
        <v>0</v>
      </c>
      <c r="F196" s="525" t="s">
        <v>4867</v>
      </c>
      <c r="G196" s="525"/>
      <c r="H196" s="332"/>
      <c r="I196" s="632"/>
      <c r="J196" s="188" t="s">
        <v>2980</v>
      </c>
      <c r="K196" s="605">
        <f>(tlOutputFBLOB1CSATImpact1_R2*calcR2LOB1Patients+tlOutputFBLOB2CSATImpact1_R2*calcR2LOB2Patients)/(calcR2LOB1Patients+calcR2LOB2Patients)</f>
        <v>0</v>
      </c>
      <c r="L196" s="525" t="s">
        <v>7793</v>
      </c>
      <c r="M196" s="525"/>
      <c r="N196" s="525"/>
      <c r="O196" s="525"/>
      <c r="P196" s="525"/>
      <c r="Q196" s="525"/>
      <c r="R196" s="525"/>
      <c r="S196" s="525"/>
      <c r="T196" s="525"/>
      <c r="U196" s="525"/>
    </row>
    <row r="197" spans="1:21">
      <c r="A197" s="633" t="s">
        <v>4924</v>
      </c>
      <c r="B197" s="633"/>
      <c r="D197" s="188" t="s">
        <v>1615</v>
      </c>
      <c r="E197" s="605">
        <f>(tlOutputFBLOB1CSATImpact2_R1*calcLOB1Patients+tlOutputFBLOB2CSATImpact2_R1*calcLOB2Patients)/(calcLOB1Patients+calcLOB2Patients)</f>
        <v>-1.8634743875278418E-2</v>
      </c>
      <c r="F197" s="525" t="s">
        <v>4868</v>
      </c>
      <c r="G197" s="525"/>
      <c r="H197" s="332"/>
      <c r="I197" s="632"/>
      <c r="J197" s="188" t="s">
        <v>1615</v>
      </c>
      <c r="K197" s="605">
        <f>(tlOutputFBLOB1CSATImpact2_R2*calcR2LOB1Patients+tlOutputFBLOB2CSATImpact2_R2*calcR2LOB2Patients)/(calcR2LOB1Patients+calcR2LOB2Patients)</f>
        <v>0</v>
      </c>
      <c r="L197" s="525" t="s">
        <v>7794</v>
      </c>
      <c r="M197" s="525"/>
      <c r="N197" s="525"/>
      <c r="O197" s="525"/>
      <c r="P197" s="525"/>
      <c r="Q197" s="525"/>
      <c r="R197" s="525"/>
      <c r="S197" s="525"/>
      <c r="T197" s="525"/>
      <c r="U197" s="525"/>
    </row>
    <row r="198" spans="1:21">
      <c r="A198" s="633" t="s">
        <v>4924</v>
      </c>
      <c r="B198" s="633"/>
      <c r="D198" s="188" t="s">
        <v>489</v>
      </c>
      <c r="E198" s="605">
        <f>(tlOutputFBLOB1CSATImpact3_R1*calcLOB1Patients+tlOutputFBLOB2CSATImpact3_R1*calcLOB2Patients)/(calcLOB1Patients+calcLOB2Patients)</f>
        <v>0</v>
      </c>
      <c r="F198" s="525" t="s">
        <v>4869</v>
      </c>
      <c r="G198" s="525"/>
      <c r="H198" s="332"/>
      <c r="I198" s="632"/>
      <c r="J198" s="188" t="s">
        <v>489</v>
      </c>
      <c r="K198" s="605">
        <f>(tlOutputFBLOB1CSATImpact3_R2*calcR2LOB1Patients+tlOutputFBLOB2CSATImpact3_R2*calcR2LOB2Patients)/(calcR2LOB1Patients+calcR2LOB2Patients)</f>
        <v>-6.6154007191040224E-3</v>
      </c>
      <c r="L198" s="525" t="s">
        <v>7795</v>
      </c>
      <c r="M198" s="525"/>
      <c r="N198" s="525"/>
      <c r="O198" s="525"/>
      <c r="P198" s="525"/>
      <c r="Q198" s="525"/>
      <c r="R198" s="525"/>
      <c r="S198" s="525"/>
      <c r="T198" s="525"/>
      <c r="U198" s="525"/>
    </row>
    <row r="199" spans="1:21">
      <c r="A199" s="633" t="s">
        <v>4924</v>
      </c>
      <c r="B199" s="633"/>
      <c r="D199" s="188" t="s">
        <v>4351</v>
      </c>
      <c r="E199" s="605">
        <f>(tlOutputFBLOB1CSATImpact4_R1*calcLOB1Patients+tlOutputFBLOB2CSATImpact4_R1*calcLOB2Patients)/(calcLOB1Patients+calcLOB2Patients)</f>
        <v>-1.8634743875278414E-3</v>
      </c>
      <c r="F199" s="525" t="s">
        <v>4870</v>
      </c>
      <c r="G199" s="525"/>
      <c r="H199" s="332"/>
      <c r="I199" s="632"/>
      <c r="J199" s="188" t="s">
        <v>4351</v>
      </c>
      <c r="K199" s="605">
        <f>(tlOutputFBLOB1CSATImpact4_R2*calcR2LOB1Patients+tlOutputFBLOB2CSATImpact4_R2*calcR2LOB2Patients)/(calcR2LOB1Patients+calcR2LOB2Patients)</f>
        <v>-8.8205342921386795E-4</v>
      </c>
      <c r="L199" s="525" t="s">
        <v>7796</v>
      </c>
      <c r="M199" s="525"/>
      <c r="N199" s="525"/>
      <c r="O199" s="525"/>
      <c r="P199" s="525"/>
      <c r="Q199" s="525"/>
      <c r="R199" s="525"/>
      <c r="S199" s="525"/>
      <c r="T199" s="525"/>
      <c r="U199" s="525"/>
    </row>
    <row r="200" spans="1:21">
      <c r="A200" s="633" t="s">
        <v>4924</v>
      </c>
      <c r="B200" s="633"/>
      <c r="D200" s="188" t="s">
        <v>2981</v>
      </c>
      <c r="E200" s="605">
        <f>cbalCSAT</f>
        <v>0.76669554565701548</v>
      </c>
      <c r="F200" s="525" t="s">
        <v>4871</v>
      </c>
      <c r="G200" s="525"/>
      <c r="H200" s="332"/>
      <c r="I200" s="632"/>
      <c r="J200" s="188" t="s">
        <v>2981</v>
      </c>
      <c r="K200" s="605">
        <f>cbalR2CSAT</f>
        <v>0.75776133110113975</v>
      </c>
      <c r="L200" s="525" t="s">
        <v>7797</v>
      </c>
      <c r="M200" s="525"/>
      <c r="N200" s="525"/>
      <c r="O200" s="525"/>
      <c r="P200" s="525"/>
      <c r="Q200" s="525"/>
      <c r="R200" s="525"/>
      <c r="S200" s="525"/>
      <c r="T200" s="525"/>
      <c r="U200" s="525"/>
    </row>
    <row r="201" spans="1:21">
      <c r="A201" s="633" t="s">
        <v>4924</v>
      </c>
      <c r="B201" s="633"/>
      <c r="D201" s="188"/>
      <c r="E201" s="605"/>
      <c r="F201" s="525"/>
      <c r="G201" s="525"/>
      <c r="H201" s="332"/>
      <c r="I201" s="632"/>
      <c r="J201" s="188"/>
      <c r="K201" s="605"/>
      <c r="L201" s="525"/>
      <c r="M201" s="525"/>
      <c r="N201" s="525"/>
      <c r="O201" s="525"/>
      <c r="P201" s="525"/>
      <c r="Q201" s="525"/>
      <c r="R201" s="525"/>
      <c r="S201" s="525"/>
      <c r="T201" s="525"/>
      <c r="U201" s="525"/>
    </row>
    <row r="202" spans="1:21">
      <c r="A202" s="633" t="s">
        <v>4924</v>
      </c>
      <c r="B202" s="633"/>
      <c r="D202" s="188"/>
      <c r="E202" s="605"/>
      <c r="F202" s="525"/>
      <c r="G202" s="525"/>
      <c r="H202" s="332"/>
      <c r="I202" s="632"/>
      <c r="J202" s="188"/>
      <c r="K202" s="605"/>
      <c r="L202" s="525"/>
      <c r="M202" s="525"/>
      <c r="N202" s="525"/>
      <c r="O202" s="525"/>
      <c r="P202" s="525"/>
      <c r="Q202" s="525"/>
      <c r="R202" s="525"/>
      <c r="S202" s="525"/>
      <c r="T202" s="525"/>
      <c r="U202" s="525"/>
    </row>
    <row r="203" spans="1:21">
      <c r="A203" s="633" t="s">
        <v>4924</v>
      </c>
      <c r="B203" s="633"/>
      <c r="F203" s="281"/>
      <c r="G203" s="281"/>
      <c r="H203" s="332"/>
      <c r="I203" s="332"/>
      <c r="L203" s="281"/>
      <c r="M203" s="281"/>
      <c r="N203" s="281"/>
      <c r="O203" s="281"/>
      <c r="P203" s="281"/>
      <c r="Q203" s="281"/>
      <c r="R203" s="281"/>
      <c r="S203" s="281"/>
      <c r="T203" s="281"/>
      <c r="U203" s="281"/>
    </row>
    <row r="204" spans="1:21">
      <c r="A204" s="633" t="s">
        <v>4924</v>
      </c>
      <c r="B204" s="633"/>
      <c r="F204" s="281"/>
      <c r="G204" s="281"/>
      <c r="H204" s="332"/>
      <c r="I204" s="332"/>
      <c r="L204" s="281"/>
      <c r="M204" s="281"/>
      <c r="N204" s="281"/>
      <c r="O204" s="281"/>
      <c r="P204" s="281"/>
      <c r="Q204" s="281"/>
      <c r="R204" s="281"/>
      <c r="S204" s="281"/>
      <c r="T204" s="281"/>
      <c r="U204" s="281"/>
    </row>
    <row r="205" spans="1:21">
      <c r="A205" s="633" t="s">
        <v>4924</v>
      </c>
      <c r="B205" s="633"/>
      <c r="D205" s="8">
        <v>3</v>
      </c>
      <c r="E205" s="8">
        <v>4</v>
      </c>
      <c r="F205" s="281"/>
      <c r="G205" s="281"/>
      <c r="H205" s="332"/>
      <c r="I205" s="332"/>
      <c r="J205" s="8">
        <v>3</v>
      </c>
      <c r="K205" s="8">
        <v>4</v>
      </c>
      <c r="L205" s="281"/>
      <c r="M205" s="281"/>
      <c r="N205" s="281"/>
      <c r="O205" s="281"/>
      <c r="P205" s="281"/>
      <c r="Q205" s="281"/>
      <c r="R205" s="281"/>
      <c r="S205" s="281"/>
      <c r="T205" s="281"/>
      <c r="U205" s="281"/>
    </row>
    <row r="206" spans="1:21">
      <c r="A206" s="633" t="s">
        <v>4924</v>
      </c>
      <c r="B206" s="633"/>
      <c r="D206" s="8" t="s">
        <v>4352</v>
      </c>
      <c r="E206" s="603" t="str">
        <f t="shared" ref="E206" si="55">E$23</f>
        <v>0 (1)</v>
      </c>
      <c r="F206" s="281"/>
      <c r="G206" s="281"/>
      <c r="H206" s="332"/>
      <c r="I206" s="630"/>
      <c r="J206" s="8" t="s">
        <v>4352</v>
      </c>
      <c r="K206" s="603" t="str">
        <f t="shared" ref="K206" si="56">K$23</f>
        <v>0 (1)</v>
      </c>
      <c r="L206" s="281"/>
      <c r="M206" s="281"/>
      <c r="N206" s="281"/>
      <c r="O206" s="281"/>
      <c r="P206" s="281"/>
      <c r="Q206" s="281"/>
      <c r="R206" s="281"/>
      <c r="S206" s="281"/>
      <c r="T206" s="281"/>
      <c r="U206" s="281"/>
    </row>
    <row r="207" spans="1:21">
      <c r="A207" s="633" t="s">
        <v>4924</v>
      </c>
      <c r="B207" s="633"/>
      <c r="D207" s="188" t="s">
        <v>2980</v>
      </c>
      <c r="E207" s="605">
        <f>(tlOutputFBLOB1StarsImpact1_R1*calcLOB1Patients+tlOutputFBLOB2StarsImpact1_R1*calcLOB2Patients)/(calcLOB1Patients+calcLOB2Patients)</f>
        <v>0</v>
      </c>
      <c r="F207" s="525" t="s">
        <v>4872</v>
      </c>
      <c r="G207" s="525"/>
      <c r="H207" s="332"/>
      <c r="I207" s="632"/>
      <c r="J207" s="188" t="s">
        <v>2980</v>
      </c>
      <c r="K207" s="605">
        <f>(tlOutputFBLOB1StarsImpact1_R2*calcR2LOB1Patients+tlOutputFBLOB2StarsImpact1_R2*calcR2LOB2Patients)/(calcR2LOB1Patients+calcR2LOB2Patients)</f>
        <v>0</v>
      </c>
      <c r="L207" s="525" t="s">
        <v>7798</v>
      </c>
      <c r="M207" s="525"/>
      <c r="N207" s="525"/>
      <c r="O207" s="525"/>
      <c r="P207" s="525"/>
      <c r="Q207" s="525"/>
      <c r="R207" s="525"/>
      <c r="S207" s="525"/>
      <c r="T207" s="525"/>
      <c r="U207" s="525"/>
    </row>
    <row r="208" spans="1:21">
      <c r="A208" s="633" t="s">
        <v>4924</v>
      </c>
      <c r="B208" s="633"/>
      <c r="D208" s="188" t="s">
        <v>491</v>
      </c>
      <c r="E208" s="605">
        <f>(tlOutputFBLOB1StarsImpact2_R1*calcLOB1Patients+tlOutputFBLOB2StarsImpact2_R1*calcLOB2Patients)/(calcLOB1Patients+calcLOB2Patients)</f>
        <v>0</v>
      </c>
      <c r="F208" s="525" t="s">
        <v>4873</v>
      </c>
      <c r="G208" s="525"/>
      <c r="H208" s="332"/>
      <c r="I208" s="632"/>
      <c r="J208" s="188" t="s">
        <v>491</v>
      </c>
      <c r="K208" s="605">
        <f>(tlOutputFBLOB1StarsImpact2_R2*calcR2LOB1Patients+tlOutputFBLOB2StarsImpact2_R2*calcR2LOB2Patients)/(calcR2LOB1Patients+calcR2LOB2Patients)</f>
        <v>0</v>
      </c>
      <c r="L208" s="525" t="s">
        <v>7799</v>
      </c>
      <c r="M208" s="525"/>
      <c r="N208" s="525"/>
      <c r="O208" s="525"/>
      <c r="P208" s="525"/>
      <c r="Q208" s="525"/>
      <c r="R208" s="525"/>
      <c r="S208" s="525"/>
      <c r="T208" s="525"/>
      <c r="U208" s="525"/>
    </row>
    <row r="209" spans="1:21">
      <c r="A209" s="633" t="s">
        <v>4924</v>
      </c>
      <c r="B209" s="633"/>
      <c r="D209" s="188" t="s">
        <v>1615</v>
      </c>
      <c r="E209" s="605">
        <f>(tlOutputFBLOB1StarsImpact3_R1*calcLOB1Patients+tlOutputFBLOB2StarsImpact3_R1*calcLOB2Patients)/(calcLOB1Patients+calcLOB2Patients)</f>
        <v>-1.8634743875278418E-2</v>
      </c>
      <c r="F209" s="525" t="s">
        <v>4874</v>
      </c>
      <c r="G209" s="525"/>
      <c r="H209" s="332"/>
      <c r="I209" s="632"/>
      <c r="J209" s="188" t="s">
        <v>1615</v>
      </c>
      <c r="K209" s="605">
        <f>(tlOutputFBLOB1StarsImpact3_R2*calcR2LOB1Patients+tlOutputFBLOB2StarsImpact3_R2*calcR2LOB2Patients)/(calcR2LOB1Patients+calcR2LOB2Patients)</f>
        <v>0</v>
      </c>
      <c r="L209" s="525" t="s">
        <v>7800</v>
      </c>
      <c r="M209" s="525"/>
      <c r="N209" s="525"/>
      <c r="O209" s="525"/>
      <c r="P209" s="525"/>
      <c r="Q209" s="525"/>
      <c r="R209" s="525"/>
      <c r="S209" s="525"/>
      <c r="T209" s="525"/>
      <c r="U209" s="525"/>
    </row>
    <row r="210" spans="1:21">
      <c r="A210" s="633" t="s">
        <v>4924</v>
      </c>
      <c r="B210" s="633"/>
      <c r="D210" s="188" t="s">
        <v>3351</v>
      </c>
      <c r="E210" s="605">
        <f>(tlOutputFBLOB1StarsImpact4_R1*calcLOB1Patients+tlOutputFBLOB2StarsImpact4_R1*calcLOB2Patients)/(calcLOB1Patients+calcLOB2Patients)</f>
        <v>0</v>
      </c>
      <c r="F210" s="525" t="s">
        <v>4875</v>
      </c>
      <c r="G210" s="525"/>
      <c r="H210" s="332"/>
      <c r="I210" s="632"/>
      <c r="J210" s="188" t="s">
        <v>3351</v>
      </c>
      <c r="K210" s="605">
        <f>(tlOutputFBLOB1StarsImpact4_R2*calcR2LOB1Patients+tlOutputFBLOB2StarsImpact4_R2*calcR2LOB2Patients)/(calcR2LOB1Patients+calcR2LOB2Patients)</f>
        <v>0</v>
      </c>
      <c r="L210" s="525" t="s">
        <v>7801</v>
      </c>
      <c r="M210" s="525"/>
      <c r="N210" s="525"/>
      <c r="O210" s="525"/>
      <c r="P210" s="525"/>
      <c r="Q210" s="525"/>
      <c r="R210" s="525"/>
      <c r="S210" s="525"/>
      <c r="T210" s="525"/>
      <c r="U210" s="525"/>
    </row>
    <row r="211" spans="1:21">
      <c r="A211" s="633" t="s">
        <v>4924</v>
      </c>
      <c r="B211" s="633"/>
      <c r="D211" s="188" t="s">
        <v>489</v>
      </c>
      <c r="E211" s="605">
        <f>(tlOutputFBLOB1StarsImpact5_R1*calcLOB1Patients+tlOutputFBLOB2StarsImpact5_R1*calcLOB2Patients)/(calcLOB1Patients+calcLOB2Patients)</f>
        <v>0</v>
      </c>
      <c r="F211" s="525" t="s">
        <v>4876</v>
      </c>
      <c r="G211" s="525"/>
      <c r="H211" s="332"/>
      <c r="I211" s="632"/>
      <c r="J211" s="188" t="s">
        <v>489</v>
      </c>
      <c r="K211" s="605">
        <f>(tlOutputFBLOB1StarsImpact5_R2*calcR2LOB1Patients+tlOutputFBLOB2StarsImpact5_R2*calcR2LOB2Patients)/(calcR2LOB1Patients+calcR2LOB2Patients)</f>
        <v>-8.8205342921386966E-3</v>
      </c>
      <c r="L211" s="525" t="s">
        <v>7802</v>
      </c>
      <c r="M211" s="525"/>
      <c r="N211" s="525"/>
      <c r="O211" s="525"/>
      <c r="P211" s="525"/>
      <c r="Q211" s="525"/>
      <c r="R211" s="525"/>
      <c r="S211" s="525"/>
      <c r="T211" s="525"/>
      <c r="U211" s="525"/>
    </row>
    <row r="212" spans="1:21">
      <c r="A212" s="633" t="s">
        <v>4924</v>
      </c>
      <c r="B212" s="633"/>
      <c r="D212" s="188" t="s">
        <v>2981</v>
      </c>
      <c r="E212" s="605">
        <f>cbalStars</f>
        <v>0.72786859688195993</v>
      </c>
      <c r="F212" s="525" t="s">
        <v>4877</v>
      </c>
      <c r="G212" s="525"/>
      <c r="H212" s="332"/>
      <c r="I212" s="632"/>
      <c r="J212" s="188" t="s">
        <v>2981</v>
      </c>
      <c r="K212" s="605">
        <f>cbalR2Stars</f>
        <v>0.7181057129963645</v>
      </c>
      <c r="L212" s="525" t="s">
        <v>7803</v>
      </c>
      <c r="M212" s="525"/>
      <c r="N212" s="525"/>
      <c r="O212" s="525"/>
      <c r="P212" s="525"/>
      <c r="Q212" s="525"/>
      <c r="R212" s="525"/>
      <c r="S212" s="525"/>
      <c r="T212" s="525"/>
      <c r="U212" s="525"/>
    </row>
    <row r="213" spans="1:21">
      <c r="A213" s="633" t="s">
        <v>4924</v>
      </c>
      <c r="B213" s="633"/>
      <c r="D213" s="188"/>
      <c r="E213" s="605"/>
      <c r="F213" s="525"/>
      <c r="G213" s="525"/>
      <c r="H213" s="332"/>
      <c r="I213" s="632"/>
      <c r="J213" s="188"/>
      <c r="K213" s="605"/>
      <c r="L213" s="525"/>
      <c r="M213" s="525"/>
      <c r="N213" s="525"/>
      <c r="O213" s="525"/>
      <c r="P213" s="525"/>
      <c r="Q213" s="525"/>
      <c r="R213" s="525"/>
      <c r="S213" s="525"/>
      <c r="T213" s="525"/>
      <c r="U213" s="525"/>
    </row>
    <row r="214" spans="1:21">
      <c r="A214" s="633" t="s">
        <v>4924</v>
      </c>
      <c r="B214" s="633"/>
      <c r="F214" s="281"/>
      <c r="G214" s="281"/>
      <c r="H214" s="332"/>
      <c r="I214" s="332"/>
      <c r="L214" s="281"/>
      <c r="M214" s="281"/>
      <c r="N214" s="281"/>
      <c r="O214" s="281"/>
      <c r="P214" s="281"/>
      <c r="Q214" s="281"/>
      <c r="R214" s="281"/>
      <c r="S214" s="281"/>
      <c r="T214" s="281"/>
      <c r="U214" s="281"/>
    </row>
    <row r="215" spans="1:21">
      <c r="A215" s="633" t="s">
        <v>4924</v>
      </c>
      <c r="B215" s="633"/>
      <c r="F215" s="281"/>
      <c r="G215" s="281"/>
      <c r="H215" s="332"/>
      <c r="I215" s="332"/>
      <c r="L215" s="281"/>
      <c r="M215" s="281"/>
      <c r="N215" s="281"/>
      <c r="O215" s="281"/>
      <c r="P215" s="281"/>
      <c r="Q215" s="281"/>
      <c r="R215" s="281"/>
      <c r="S215" s="281"/>
      <c r="T215" s="281"/>
      <c r="U215" s="281"/>
    </row>
    <row r="216" spans="1:21">
      <c r="A216" s="633" t="s">
        <v>4924</v>
      </c>
      <c r="B216" s="633"/>
      <c r="D216" s="8">
        <v>3</v>
      </c>
      <c r="E216" s="8">
        <v>4</v>
      </c>
      <c r="F216" s="281"/>
      <c r="G216" s="281"/>
      <c r="H216" s="332"/>
      <c r="I216" s="332"/>
      <c r="J216" s="8">
        <v>3</v>
      </c>
      <c r="K216" s="8">
        <v>4</v>
      </c>
      <c r="L216" s="281"/>
      <c r="M216" s="281"/>
      <c r="N216" s="281"/>
      <c r="O216" s="281"/>
      <c r="P216" s="281"/>
      <c r="Q216" s="281"/>
      <c r="R216" s="281"/>
      <c r="S216" s="281"/>
      <c r="T216" s="281"/>
      <c r="U216" s="281"/>
    </row>
    <row r="217" spans="1:21">
      <c r="A217" s="633" t="s">
        <v>4924</v>
      </c>
      <c r="B217" s="633"/>
      <c r="D217" s="8" t="s">
        <v>489</v>
      </c>
      <c r="E217" s="603" t="str">
        <f t="shared" ref="E217" si="57">E$23</f>
        <v>0 (1)</v>
      </c>
      <c r="F217" s="281"/>
      <c r="G217" s="281"/>
      <c r="H217" s="332"/>
      <c r="I217" s="630"/>
      <c r="J217" s="8" t="s">
        <v>489</v>
      </c>
      <c r="K217" s="603" t="str">
        <f t="shared" ref="K217" si="58">K$23</f>
        <v>0 (1)</v>
      </c>
      <c r="L217" s="281"/>
      <c r="M217" s="281"/>
      <c r="N217" s="281"/>
      <c r="O217" s="281"/>
      <c r="P217" s="281"/>
      <c r="Q217" s="281"/>
      <c r="R217" s="281"/>
      <c r="S217" s="281"/>
      <c r="T217" s="281"/>
      <c r="U217" s="281"/>
    </row>
    <row r="218" spans="1:21">
      <c r="A218" s="633" t="s">
        <v>4924</v>
      </c>
      <c r="B218" s="633"/>
      <c r="D218" s="188" t="s">
        <v>2980</v>
      </c>
      <c r="E218" s="605">
        <f>(tlOutputFBLOB1ESATImpact1_R1*calcLOB1Patients+tlOutputFBLOB2ESATImpact1_R1*calcLOB2Patients)/(calcLOB1Patients+calcLOB2Patients)</f>
        <v>0</v>
      </c>
      <c r="F218" s="525" t="s">
        <v>4878</v>
      </c>
      <c r="G218" s="525"/>
      <c r="H218" s="332"/>
      <c r="I218" s="632"/>
      <c r="J218" s="188" t="s">
        <v>2980</v>
      </c>
      <c r="K218" s="605">
        <f>(tlOutputFBLOB1ESATImpact1_R2*calcR2LOB1Patients+tlOutputFBLOB2ESATImpact1_R2*calcR2LOB2Patients)/(calcR2LOB1Patients+calcR2LOB2Patients)</f>
        <v>0</v>
      </c>
      <c r="L218" s="525" t="s">
        <v>7804</v>
      </c>
      <c r="M218" s="525"/>
      <c r="N218" s="525"/>
      <c r="O218" s="525"/>
      <c r="P218" s="525"/>
      <c r="Q218" s="525"/>
      <c r="R218" s="525"/>
      <c r="S218" s="525"/>
      <c r="T218" s="525"/>
      <c r="U218" s="525"/>
    </row>
    <row r="219" spans="1:21">
      <c r="A219" s="633" t="s">
        <v>4924</v>
      </c>
      <c r="B219" s="633"/>
      <c r="D219" s="188" t="s">
        <v>4639</v>
      </c>
      <c r="E219" s="605">
        <f>(tlOutputFBLOB1ESATImpact2_R1*calcLOB1Patients+tlOutputFBLOB2ESATImpact2_R1*calcLOB2Patients)/(calcLOB1Patients+calcLOB2Patients)</f>
        <v>0</v>
      </c>
      <c r="F219" s="525" t="s">
        <v>4879</v>
      </c>
      <c r="G219" s="525"/>
      <c r="H219" s="332"/>
      <c r="I219" s="632"/>
      <c r="J219" s="188" t="s">
        <v>4639</v>
      </c>
      <c r="K219" s="605">
        <f>(tlOutputFBLOB1ESATImpact2_R2*calcR2LOB1Patients+tlOutputFBLOB2ESATImpact2_R2*calcR2LOB2Patients)/(calcR2LOB1Patients+calcR2LOB2Patients)</f>
        <v>0</v>
      </c>
      <c r="L219" s="525" t="s">
        <v>7805</v>
      </c>
      <c r="M219" s="525"/>
      <c r="N219" s="525"/>
      <c r="O219" s="525"/>
      <c r="P219" s="525"/>
      <c r="Q219" s="525"/>
      <c r="R219" s="525"/>
      <c r="S219" s="525"/>
      <c r="T219" s="525"/>
      <c r="U219" s="525"/>
    </row>
    <row r="220" spans="1:21">
      <c r="A220" s="633" t="s">
        <v>4924</v>
      </c>
      <c r="B220" s="633"/>
      <c r="D220" s="188" t="s">
        <v>491</v>
      </c>
      <c r="E220" s="605">
        <f>(tlOutputFBLOB1ESATImpact3_R1*calcLOB1Patients+tlOutputFBLOB2ESATImpact3_R1*calcLOB2Patients)/(calcLOB1Patients+calcLOB2Patients)</f>
        <v>0</v>
      </c>
      <c r="F220" s="525" t="s">
        <v>4880</v>
      </c>
      <c r="G220" s="525"/>
      <c r="H220" s="332"/>
      <c r="I220" s="632"/>
      <c r="J220" s="188" t="s">
        <v>491</v>
      </c>
      <c r="K220" s="605">
        <f>(tlOutputFBLOB1ESATImpact3_R2*calcR2LOB1Patients+tlOutputFBLOB2ESATImpact3_R2*calcR2LOB2Patients)/(calcR2LOB1Patients+calcR2LOB2Patients)</f>
        <v>0</v>
      </c>
      <c r="L220" s="525" t="s">
        <v>7806</v>
      </c>
      <c r="M220" s="525"/>
      <c r="N220" s="525"/>
      <c r="O220" s="525"/>
      <c r="P220" s="525"/>
      <c r="Q220" s="525"/>
      <c r="R220" s="525"/>
      <c r="S220" s="525"/>
      <c r="T220" s="525"/>
      <c r="U220" s="525"/>
    </row>
    <row r="221" spans="1:21">
      <c r="A221" s="633" t="s">
        <v>4924</v>
      </c>
      <c r="B221" s="633"/>
      <c r="D221" s="188" t="s">
        <v>491</v>
      </c>
      <c r="E221" s="605">
        <f>(tlOutputFBLOB1ESATImpact4_R1*calcLOB1Patients+tlOutputFBLOB2ESATImpact4_R1*calcLOB2Patients)/(calcLOB1Patients+calcLOB2Patients)</f>
        <v>0</v>
      </c>
      <c r="F221" s="525" t="s">
        <v>8234</v>
      </c>
      <c r="G221" s="525"/>
      <c r="H221" s="332"/>
      <c r="I221" s="632"/>
      <c r="J221" s="188" t="s">
        <v>491</v>
      </c>
      <c r="K221" s="605">
        <f>(tlOutputFBLOB1ESATImpact4_R2*calcR2LOB1Patients+tlOutputFBLOB2ESATImpact4_R2*calcR2LOB2Patients)/(calcR2LOB1Patients+calcR2LOB2Patients)</f>
        <v>0</v>
      </c>
      <c r="L221" s="525" t="s">
        <v>8235</v>
      </c>
      <c r="M221" s="525"/>
      <c r="N221" s="525"/>
      <c r="O221" s="525"/>
      <c r="P221" s="525"/>
      <c r="Q221" s="525"/>
      <c r="R221" s="525"/>
      <c r="S221" s="525"/>
      <c r="T221" s="525"/>
      <c r="U221" s="525"/>
    </row>
    <row r="222" spans="1:21">
      <c r="A222" s="633" t="s">
        <v>4924</v>
      </c>
      <c r="B222" s="633"/>
      <c r="D222" s="188" t="s">
        <v>2981</v>
      </c>
      <c r="E222" s="605">
        <f>cbalESAT</f>
        <v>0.7</v>
      </c>
      <c r="F222" s="525" t="s">
        <v>4881</v>
      </c>
      <c r="G222" s="525"/>
      <c r="H222" s="332"/>
      <c r="I222" s="632"/>
      <c r="J222" s="188" t="s">
        <v>2981</v>
      </c>
      <c r="K222" s="605">
        <f>cbalR2ESAT</f>
        <v>0.68023703712147898</v>
      </c>
      <c r="L222" s="525" t="s">
        <v>7807</v>
      </c>
      <c r="M222" s="525"/>
      <c r="N222" s="525"/>
      <c r="O222" s="525"/>
      <c r="P222" s="525"/>
      <c r="Q222" s="525"/>
      <c r="R222" s="525"/>
      <c r="S222" s="525"/>
      <c r="T222" s="525"/>
      <c r="U222" s="525"/>
    </row>
    <row r="223" spans="1:21">
      <c r="A223" s="633" t="s">
        <v>4924</v>
      </c>
      <c r="B223" s="633"/>
      <c r="D223" s="188"/>
      <c r="E223" s="605"/>
      <c r="F223" s="525"/>
      <c r="G223" s="525"/>
      <c r="H223" s="332"/>
      <c r="I223" s="632"/>
      <c r="J223" s="188"/>
      <c r="K223" s="605"/>
      <c r="L223" s="525"/>
      <c r="M223" s="525"/>
      <c r="N223" s="525"/>
      <c r="O223" s="525"/>
      <c r="P223" s="525"/>
      <c r="Q223" s="525"/>
      <c r="R223" s="525"/>
      <c r="S223" s="525"/>
      <c r="T223" s="525"/>
      <c r="U223" s="525"/>
    </row>
    <row r="224" spans="1:21">
      <c r="A224" s="633" t="s">
        <v>4924</v>
      </c>
      <c r="B224" s="633"/>
      <c r="D224" s="188"/>
      <c r="E224" s="605"/>
      <c r="F224" s="525"/>
      <c r="G224" s="525"/>
      <c r="H224" s="332"/>
      <c r="I224" s="632"/>
      <c r="J224" s="188"/>
      <c r="K224" s="605"/>
      <c r="L224" s="525"/>
      <c r="M224" s="525"/>
      <c r="N224" s="525"/>
      <c r="O224" s="525"/>
      <c r="P224" s="525"/>
      <c r="Q224" s="525"/>
      <c r="R224" s="525"/>
      <c r="S224" s="525"/>
      <c r="T224" s="525"/>
      <c r="U224" s="525"/>
    </row>
    <row r="225" spans="1:21">
      <c r="A225" s="633" t="s">
        <v>4924</v>
      </c>
      <c r="B225" s="633"/>
      <c r="D225" s="188"/>
      <c r="E225" s="605"/>
      <c r="F225" s="525"/>
      <c r="G225" s="525"/>
      <c r="H225" s="332"/>
      <c r="I225" s="632"/>
      <c r="J225" s="188"/>
      <c r="K225" s="605"/>
      <c r="L225" s="525"/>
      <c r="M225" s="525"/>
      <c r="N225" s="525"/>
      <c r="O225" s="525"/>
      <c r="P225" s="525"/>
      <c r="Q225" s="525"/>
      <c r="R225" s="525"/>
      <c r="S225" s="525"/>
      <c r="T225" s="525"/>
      <c r="U225" s="525"/>
    </row>
    <row r="226" spans="1:21">
      <c r="A226" s="633" t="s">
        <v>4924</v>
      </c>
      <c r="B226" s="633"/>
      <c r="F226" s="281"/>
      <c r="G226" s="281"/>
      <c r="H226" s="332"/>
      <c r="I226" s="332"/>
      <c r="L226" s="281"/>
      <c r="M226" s="281"/>
      <c r="N226" s="281"/>
      <c r="O226" s="281"/>
      <c r="P226" s="281"/>
      <c r="Q226" s="281"/>
      <c r="R226" s="281"/>
      <c r="S226" s="281"/>
      <c r="T226" s="281"/>
      <c r="U226" s="281"/>
    </row>
    <row r="227" spans="1:21">
      <c r="A227" s="633" t="s">
        <v>4924</v>
      </c>
      <c r="B227" s="633"/>
      <c r="F227" s="281"/>
      <c r="G227" s="281"/>
      <c r="H227" s="332"/>
      <c r="I227" s="332"/>
      <c r="L227" s="281"/>
      <c r="M227" s="281"/>
      <c r="N227" s="281"/>
      <c r="O227" s="281"/>
      <c r="P227" s="281"/>
      <c r="Q227" s="281"/>
      <c r="R227" s="281"/>
      <c r="S227" s="281"/>
      <c r="T227" s="281"/>
      <c r="U227" s="281"/>
    </row>
    <row r="228" spans="1:21">
      <c r="A228" s="633" t="s">
        <v>4924</v>
      </c>
      <c r="B228" s="633"/>
      <c r="D228" s="8" t="s">
        <v>341</v>
      </c>
      <c r="E228" s="603" t="str">
        <f t="shared" ref="E228" si="59">E$23</f>
        <v>0 (1)</v>
      </c>
      <c r="F228" s="281"/>
      <c r="G228" s="281"/>
      <c r="H228" s="332"/>
      <c r="I228" s="630"/>
      <c r="J228" s="8" t="s">
        <v>341</v>
      </c>
      <c r="K228" s="603" t="str">
        <f t="shared" ref="K228" si="60">K$23</f>
        <v>0 (1)</v>
      </c>
      <c r="L228" s="281"/>
      <c r="M228" s="281"/>
      <c r="N228" s="281"/>
      <c r="O228" s="281"/>
      <c r="P228" s="281"/>
      <c r="Q228" s="281"/>
      <c r="R228" s="281"/>
      <c r="S228" s="281"/>
      <c r="T228" s="281"/>
      <c r="U228" s="281"/>
    </row>
    <row r="229" spans="1:21">
      <c r="A229" s="633" t="s">
        <v>4924</v>
      </c>
      <c r="B229" s="633"/>
      <c r="D229" s="188" t="str">
        <f>nmEmp1</f>
        <v>Skilled Nursing</v>
      </c>
      <c r="E229" s="604">
        <f>finPNLEmp1Cost</f>
        <v>2968749.6646223394</v>
      </c>
      <c r="F229" s="525" t="s">
        <v>4882</v>
      </c>
      <c r="G229" s="525"/>
      <c r="H229" s="332"/>
      <c r="I229" s="631"/>
      <c r="J229" s="188" t="str">
        <f>nmEmp1</f>
        <v>Skilled Nursing</v>
      </c>
      <c r="K229" s="604">
        <f>finR2PNLEmp1Cost</f>
        <v>2715790.3085554922</v>
      </c>
      <c r="L229" s="525" t="s">
        <v>7808</v>
      </c>
      <c r="M229" s="525"/>
      <c r="N229" s="525"/>
      <c r="O229" s="525"/>
      <c r="P229" s="525"/>
      <c r="Q229" s="525"/>
      <c r="R229" s="525"/>
      <c r="S229" s="525"/>
      <c r="T229" s="525"/>
      <c r="U229" s="525"/>
    </row>
    <row r="230" spans="1:21">
      <c r="A230" s="633" t="s">
        <v>4924</v>
      </c>
      <c r="B230" s="633"/>
      <c r="D230" s="188" t="str">
        <f>nmEmp2</f>
        <v>Occupational Therapy</v>
      </c>
      <c r="E230" s="604">
        <f>finPNLEmp2Cost</f>
        <v>672066.9695010311</v>
      </c>
      <c r="F230" s="525" t="s">
        <v>4883</v>
      </c>
      <c r="G230" s="525"/>
      <c r="H230" s="332"/>
      <c r="I230" s="631"/>
      <c r="J230" s="188" t="str">
        <f>nmEmp2</f>
        <v>Occupational Therapy</v>
      </c>
      <c r="K230" s="604">
        <f>finR2PNLEmp2Cost</f>
        <v>607686.61885250837</v>
      </c>
      <c r="L230" s="525" t="s">
        <v>7809</v>
      </c>
      <c r="M230" s="525"/>
      <c r="N230" s="525"/>
      <c r="O230" s="525"/>
      <c r="P230" s="525"/>
      <c r="Q230" s="525"/>
      <c r="R230" s="525"/>
      <c r="S230" s="525"/>
      <c r="T230" s="525"/>
      <c r="U230" s="525"/>
    </row>
    <row r="231" spans="1:21">
      <c r="A231" s="633" t="s">
        <v>4924</v>
      </c>
      <c r="B231" s="633"/>
      <c r="D231" s="188" t="str">
        <f>nmEmp3</f>
        <v>Physical Therapy</v>
      </c>
      <c r="E231" s="604">
        <f>finPNLEmp3Cost</f>
        <v>2491997.3120000004</v>
      </c>
      <c r="F231" s="525" t="s">
        <v>4899</v>
      </c>
      <c r="G231" s="525"/>
      <c r="H231" s="332"/>
      <c r="I231" s="631"/>
      <c r="J231" s="188" t="str">
        <f>nmEmp3</f>
        <v>Physical Therapy</v>
      </c>
      <c r="K231" s="604">
        <f>finR2PNLEmp3Cost</f>
        <v>2234779.2445194493</v>
      </c>
      <c r="L231" s="525" t="s">
        <v>7810</v>
      </c>
      <c r="M231" s="525"/>
      <c r="N231" s="525"/>
      <c r="O231" s="525"/>
      <c r="P231" s="525"/>
      <c r="Q231" s="525"/>
      <c r="R231" s="525"/>
      <c r="S231" s="525"/>
      <c r="T231" s="525"/>
      <c r="U231" s="525"/>
    </row>
    <row r="232" spans="1:21">
      <c r="A232" s="633" t="s">
        <v>4924</v>
      </c>
      <c r="B232" s="633"/>
      <c r="D232" s="188" t="s">
        <v>343</v>
      </c>
      <c r="E232" s="604">
        <f>finPNLGrossProfit</f>
        <v>6662510.0538766291</v>
      </c>
      <c r="F232" s="525" t="s">
        <v>4884</v>
      </c>
      <c r="G232" s="525"/>
      <c r="H232" s="332"/>
      <c r="I232" s="631"/>
      <c r="J232" s="188" t="s">
        <v>343</v>
      </c>
      <c r="K232" s="604">
        <f>finR2PNLGrossProfit</f>
        <v>7575161.8280725498</v>
      </c>
      <c r="L232" s="525" t="s">
        <v>7811</v>
      </c>
      <c r="M232" s="525"/>
      <c r="N232" s="525"/>
      <c r="O232" s="525"/>
      <c r="P232" s="525"/>
      <c r="Q232" s="525"/>
      <c r="R232" s="525"/>
      <c r="S232" s="525"/>
      <c r="T232" s="525"/>
      <c r="U232" s="525"/>
    </row>
    <row r="233" spans="1:21">
      <c r="A233" s="633" t="s">
        <v>4924</v>
      </c>
      <c r="B233" s="633"/>
      <c r="D233" s="188" t="s">
        <v>341</v>
      </c>
      <c r="E233" s="605">
        <f>finPNLGrossMargin</f>
        <v>0.52069881574523857</v>
      </c>
      <c r="F233" s="525" t="s">
        <v>4885</v>
      </c>
      <c r="G233" s="525"/>
      <c r="H233" s="332"/>
      <c r="I233" s="632"/>
      <c r="J233" s="188" t="s">
        <v>341</v>
      </c>
      <c r="K233" s="605">
        <f>finR2PNLGrossMargin</f>
        <v>0.57678525331886565</v>
      </c>
      <c r="L233" s="525" t="s">
        <v>7812</v>
      </c>
      <c r="M233" s="525"/>
      <c r="N233" s="525"/>
      <c r="O233" s="525"/>
      <c r="P233" s="525"/>
      <c r="Q233" s="525"/>
      <c r="R233" s="525"/>
      <c r="S233" s="525"/>
      <c r="T233" s="525"/>
      <c r="U233" s="525"/>
    </row>
    <row r="234" spans="1:21">
      <c r="A234" s="633" t="s">
        <v>4924</v>
      </c>
      <c r="B234" s="633"/>
      <c r="F234" s="281"/>
      <c r="G234" s="281"/>
      <c r="H234" s="332"/>
      <c r="I234" s="332"/>
      <c r="L234" s="281"/>
      <c r="M234" s="281"/>
      <c r="N234" s="281"/>
      <c r="O234" s="281"/>
      <c r="P234" s="281"/>
      <c r="Q234" s="281"/>
      <c r="R234" s="281"/>
      <c r="S234" s="281"/>
      <c r="T234" s="281"/>
      <c r="U234" s="281"/>
    </row>
    <row r="235" spans="1:21">
      <c r="A235" s="633" t="s">
        <v>4924</v>
      </c>
      <c r="B235" s="633"/>
      <c r="F235" s="281"/>
      <c r="G235" s="281"/>
      <c r="H235" s="332"/>
      <c r="I235" s="332"/>
      <c r="L235" s="281"/>
      <c r="M235" s="281"/>
      <c r="N235" s="281"/>
      <c r="O235" s="281"/>
      <c r="P235" s="281"/>
      <c r="Q235" s="281"/>
      <c r="R235" s="281"/>
      <c r="S235" s="281"/>
      <c r="T235" s="281"/>
      <c r="U235" s="281"/>
    </row>
    <row r="236" spans="1:21">
      <c r="A236" s="633" t="s">
        <v>4924</v>
      </c>
      <c r="B236" s="633"/>
      <c r="D236" s="8" t="s">
        <v>4801</v>
      </c>
      <c r="E236" s="603" t="str">
        <f t="shared" ref="E236" si="61">E$23</f>
        <v>0 (1)</v>
      </c>
      <c r="F236" s="281"/>
      <c r="G236" s="281"/>
      <c r="H236" s="332"/>
      <c r="I236" s="630"/>
      <c r="J236" s="8" t="s">
        <v>4801</v>
      </c>
      <c r="K236" s="603" t="str">
        <f t="shared" ref="K236" si="62">K$23</f>
        <v>0 (1)</v>
      </c>
      <c r="L236" s="281"/>
      <c r="M236" s="281"/>
      <c r="N236" s="281"/>
      <c r="O236" s="281"/>
      <c r="P236" s="281"/>
      <c r="Q236" s="281"/>
      <c r="R236" s="281"/>
      <c r="S236" s="281"/>
      <c r="T236" s="281"/>
      <c r="U236" s="281"/>
    </row>
    <row r="237" spans="1:21">
      <c r="A237" s="633" t="s">
        <v>4924</v>
      </c>
      <c r="B237" s="633"/>
      <c r="D237" s="188" t="str">
        <f>nmEmp1&amp;" Capacity"</f>
        <v>Skilled Nursing Capacity</v>
      </c>
      <c r="E237" s="604">
        <f>calcLOB1Emp1Capacity+calcLOB2Emp1Capacity</f>
        <v>39789.721547892543</v>
      </c>
      <c r="F237" s="525" t="s">
        <v>4886</v>
      </c>
      <c r="G237" s="525"/>
      <c r="H237" s="332"/>
      <c r="I237" s="631"/>
      <c r="J237" s="188" t="str">
        <f>nmEmp1&amp;" Capacity"</f>
        <v>Skilled Nursing Capacity</v>
      </c>
      <c r="K237" s="604">
        <f>calcR2LOB1Emp1Capacity+calcR2LOB2Emp1Capacity</f>
        <v>36681.040927888826</v>
      </c>
      <c r="L237" s="525" t="s">
        <v>7813</v>
      </c>
      <c r="M237" s="525"/>
      <c r="N237" s="525"/>
      <c r="O237" s="525"/>
      <c r="P237" s="525"/>
      <c r="Q237" s="525"/>
      <c r="R237" s="525"/>
      <c r="S237" s="525"/>
      <c r="T237" s="525"/>
      <c r="U237" s="525"/>
    </row>
    <row r="238" spans="1:21">
      <c r="A238" s="633" t="s">
        <v>4924</v>
      </c>
      <c r="B238" s="633"/>
      <c r="D238" s="188" t="str">
        <f>nmEmp1&amp;" Demand"</f>
        <v>Skilled Nursing Demand</v>
      </c>
      <c r="E238" s="604">
        <f>calcLOB1Emp1Visits+calcLOB2Emp1Visits</f>
        <v>42278.400000000001</v>
      </c>
      <c r="F238" s="525" t="s">
        <v>4887</v>
      </c>
      <c r="G238" s="525"/>
      <c r="H238" s="332"/>
      <c r="I238" s="631"/>
      <c r="J238" s="188" t="str">
        <f>nmEmp1&amp;" Demand"</f>
        <v>Skilled Nursing Demand</v>
      </c>
      <c r="K238" s="604">
        <f>calcR2LOB1Emp1Visits+calcR2LOB2Emp1Visits</f>
        <v>43497.599999999999</v>
      </c>
      <c r="L238" s="525" t="s">
        <v>7814</v>
      </c>
      <c r="M238" s="525"/>
      <c r="N238" s="525"/>
      <c r="O238" s="525"/>
      <c r="P238" s="525"/>
      <c r="Q238" s="525"/>
      <c r="R238" s="525"/>
      <c r="S238" s="525"/>
      <c r="T238" s="525"/>
      <c r="U238" s="525"/>
    </row>
    <row r="239" spans="1:21">
      <c r="A239" s="633" t="s">
        <v>4924</v>
      </c>
      <c r="B239" s="633"/>
      <c r="D239" s="188" t="str">
        <f>nmEmp2&amp;" Capacity"</f>
        <v>Occupational Therapy Capacity</v>
      </c>
      <c r="E239" s="604">
        <f>calcLOB1Emp2Capacity+calcLOB2Emp2Capacity</f>
        <v>7457.666109603907</v>
      </c>
      <c r="F239" s="525" t="s">
        <v>4888</v>
      </c>
      <c r="G239" s="525"/>
      <c r="H239" s="332"/>
      <c r="I239" s="631"/>
      <c r="J239" s="188" t="str">
        <f>nmEmp2&amp;" Capacity"</f>
        <v>Occupational Therapy Capacity</v>
      </c>
      <c r="K239" s="604">
        <f>calcR2LOB1Emp2Capacity+calcR2LOB2Emp2Capacity</f>
        <v>6746.357867706467</v>
      </c>
      <c r="L239" s="525" t="s">
        <v>7815</v>
      </c>
      <c r="M239" s="525"/>
      <c r="N239" s="525"/>
      <c r="O239" s="525"/>
      <c r="P239" s="525"/>
      <c r="Q239" s="525"/>
      <c r="R239" s="525"/>
      <c r="S239" s="525"/>
      <c r="T239" s="525"/>
      <c r="U239" s="525"/>
    </row>
    <row r="240" spans="1:21">
      <c r="A240" s="633" t="s">
        <v>4924</v>
      </c>
      <c r="B240" s="633"/>
      <c r="D240" s="188" t="str">
        <f>nmEmp2&amp;" Demand"</f>
        <v>Occupational Therapy Demand</v>
      </c>
      <c r="E240" s="604">
        <f>calcLOB1Emp2Visits+calcLOB2Emp2Visits</f>
        <v>8188.2000000000007</v>
      </c>
      <c r="F240" s="525" t="s">
        <v>4889</v>
      </c>
      <c r="G240" s="525"/>
      <c r="H240" s="332"/>
      <c r="I240" s="631"/>
      <c r="J240" s="188" t="str">
        <f>nmEmp2&amp;" Demand"</f>
        <v>Occupational Therapy Demand</v>
      </c>
      <c r="K240" s="604">
        <f>calcR2LOB1Emp2Visits+calcR2LOB2Emp2Visits</f>
        <v>8387.4</v>
      </c>
      <c r="L240" s="525" t="s">
        <v>7816</v>
      </c>
      <c r="M240" s="525"/>
      <c r="N240" s="525"/>
      <c r="O240" s="525"/>
      <c r="P240" s="525"/>
      <c r="Q240" s="525"/>
      <c r="R240" s="525"/>
      <c r="S240" s="525"/>
      <c r="T240" s="525"/>
      <c r="U240" s="525"/>
    </row>
    <row r="241" spans="1:21">
      <c r="A241" s="633" t="s">
        <v>4924</v>
      </c>
      <c r="B241" s="633"/>
      <c r="D241" s="188" t="str">
        <f>nmEmp3&amp;" Capacity"</f>
        <v>Physical Therapy Capacity</v>
      </c>
      <c r="E241" s="604">
        <f>calcLOB1Emp3Capacity+calcLOB2Emp3Capacity</f>
        <v>27053.913402061855</v>
      </c>
      <c r="F241" s="525" t="s">
        <v>4890</v>
      </c>
      <c r="G241" s="525"/>
      <c r="H241" s="332"/>
      <c r="I241" s="631"/>
      <c r="J241" s="188" t="str">
        <f>nmEmp3&amp;" Capacity"</f>
        <v>Physical Therapy Capacity</v>
      </c>
      <c r="K241" s="604">
        <f>calcR2LOB1Emp3Capacity+calcR2LOB2Emp3Capacity</f>
        <v>24397.305346838773</v>
      </c>
      <c r="L241" s="525" t="s">
        <v>7817</v>
      </c>
      <c r="M241" s="525"/>
      <c r="N241" s="525"/>
      <c r="O241" s="525"/>
      <c r="P241" s="525"/>
      <c r="Q241" s="525"/>
      <c r="R241" s="525"/>
      <c r="S241" s="525"/>
      <c r="T241" s="525"/>
      <c r="U241" s="525"/>
    </row>
    <row r="242" spans="1:21">
      <c r="A242" s="633" t="s">
        <v>4924</v>
      </c>
      <c r="B242" s="633"/>
      <c r="D242" s="188" t="str">
        <f>nmEmp3&amp;" Demand"</f>
        <v>Physical Therapy Demand</v>
      </c>
      <c r="E242" s="604">
        <f>calcLOB1Emp3Visits+calcLOB2Emp3Visits</f>
        <v>30321.600000000002</v>
      </c>
      <c r="F242" s="525" t="s">
        <v>4891</v>
      </c>
      <c r="G242" s="525"/>
      <c r="H242" s="332"/>
      <c r="I242" s="631"/>
      <c r="J242" s="188" t="str">
        <f>nmEmp3&amp;" Demand"</f>
        <v>Physical Therapy Demand</v>
      </c>
      <c r="K242" s="604">
        <f>calcR2LOB1Emp3Visits+calcR2LOB2Emp3Visits</f>
        <v>31032</v>
      </c>
      <c r="L242" s="525" t="s">
        <v>7818</v>
      </c>
      <c r="M242" s="525"/>
      <c r="N242" s="525"/>
      <c r="O242" s="525"/>
      <c r="P242" s="525"/>
      <c r="Q242" s="525"/>
      <c r="R242" s="525"/>
      <c r="S242" s="525"/>
      <c r="T242" s="525"/>
      <c r="U242" s="525"/>
    </row>
    <row r="243" spans="1:21">
      <c r="A243" s="633" t="s">
        <v>4924</v>
      </c>
      <c r="B243" s="633"/>
      <c r="D243" s="188" t="s">
        <v>4808</v>
      </c>
      <c r="E243" s="605">
        <f>1-(E237+E239+E241)/(E238+E240+E242)</f>
        <v>8.0295128997077581E-2</v>
      </c>
      <c r="F243" s="525" t="s">
        <v>4892</v>
      </c>
      <c r="G243" s="525"/>
      <c r="H243" s="332"/>
      <c r="I243" s="632"/>
      <c r="J243" s="188" t="s">
        <v>4808</v>
      </c>
      <c r="K243" s="605">
        <f t="shared" ref="K243" si="63">1-(K237+K239+K241)/(K238+K240+K242)</f>
        <v>0.18201690675694904</v>
      </c>
      <c r="L243" s="525" t="s">
        <v>7819</v>
      </c>
      <c r="M243" s="525"/>
      <c r="N243" s="525"/>
      <c r="O243" s="525"/>
      <c r="P243" s="525"/>
      <c r="Q243" s="525"/>
      <c r="R243" s="525"/>
      <c r="S243" s="525"/>
      <c r="T243" s="525"/>
      <c r="U243" s="525"/>
    </row>
    <row r="244" spans="1:21">
      <c r="A244" s="633" t="s">
        <v>4924</v>
      </c>
      <c r="B244" s="633"/>
      <c r="H244" s="332"/>
      <c r="I244" s="332"/>
    </row>
    <row r="245" spans="1:21">
      <c r="A245" s="633" t="s">
        <v>4924</v>
      </c>
      <c r="B245" s="633"/>
      <c r="H245" s="332"/>
      <c r="I245" s="332"/>
    </row>
    <row r="246" spans="1:21">
      <c r="A246" s="633" t="s">
        <v>4924</v>
      </c>
      <c r="B246" s="633"/>
      <c r="D246" s="8" t="s">
        <v>4814</v>
      </c>
      <c r="E246" s="603" t="str">
        <f t="shared" ref="E246" si="64">E$23</f>
        <v>0 (1)</v>
      </c>
      <c r="F246" s="281"/>
      <c r="G246" s="281"/>
      <c r="H246" s="332"/>
      <c r="I246" s="630"/>
      <c r="J246" s="8" t="s">
        <v>4814</v>
      </c>
      <c r="K246" s="603" t="str">
        <f t="shared" ref="K246" si="65">K$23</f>
        <v>0 (1)</v>
      </c>
      <c r="L246" s="281"/>
      <c r="M246" s="281"/>
      <c r="N246" s="281"/>
      <c r="O246" s="281"/>
      <c r="P246" s="281"/>
      <c r="Q246" s="281"/>
      <c r="R246" s="281"/>
      <c r="S246" s="281"/>
      <c r="T246" s="281"/>
      <c r="U246" s="281"/>
    </row>
    <row r="247" spans="1:21">
      <c r="A247" s="633" t="s">
        <v>4924</v>
      </c>
      <c r="B247" s="633"/>
      <c r="D247" s="188" t="s">
        <v>407</v>
      </c>
      <c r="E247" s="604">
        <f>finPNLServiceCost</f>
        <v>6132813.9461233709</v>
      </c>
      <c r="F247" s="525" t="s">
        <v>4893</v>
      </c>
      <c r="G247" s="525"/>
      <c r="H247" s="332"/>
      <c r="I247" s="631"/>
      <c r="J247" s="188" t="s">
        <v>407</v>
      </c>
      <c r="K247" s="604">
        <f>finR2PNLServiceCost</f>
        <v>5558256.1719274502</v>
      </c>
      <c r="L247" s="525" t="s">
        <v>7820</v>
      </c>
      <c r="M247" s="525"/>
      <c r="N247" s="525"/>
      <c r="O247" s="525"/>
      <c r="P247" s="525"/>
      <c r="Q247" s="525"/>
      <c r="R247" s="525"/>
      <c r="S247" s="525"/>
      <c r="T247" s="525"/>
      <c r="U247" s="525"/>
    </row>
    <row r="248" spans="1:21">
      <c r="A248" s="633" t="s">
        <v>4924</v>
      </c>
      <c r="B248" s="633"/>
      <c r="D248" s="188" t="s">
        <v>4714</v>
      </c>
      <c r="E248" s="604">
        <f>finPNLEmpOverhead</f>
        <v>4623875</v>
      </c>
      <c r="F248" s="525" t="s">
        <v>4894</v>
      </c>
      <c r="G248" s="525"/>
      <c r="H248" s="332"/>
      <c r="I248" s="631"/>
      <c r="J248" s="188" t="s">
        <v>4714</v>
      </c>
      <c r="K248" s="604">
        <f>finR2PNLEmpOverhead</f>
        <v>5150843.75</v>
      </c>
      <c r="L248" s="525" t="s">
        <v>7821</v>
      </c>
      <c r="M248" s="525"/>
      <c r="N248" s="525"/>
      <c r="O248" s="525"/>
      <c r="P248" s="525"/>
      <c r="Q248" s="525"/>
      <c r="R248" s="525"/>
      <c r="S248" s="525"/>
      <c r="T248" s="525"/>
      <c r="U248" s="525"/>
    </row>
    <row r="249" spans="1:21">
      <c r="A249" s="633" t="s">
        <v>4924</v>
      </c>
      <c r="B249" s="633"/>
      <c r="D249" s="188" t="s">
        <v>487</v>
      </c>
      <c r="E249" s="604">
        <f>finPNLOpProfit</f>
        <v>2038635.0538766291</v>
      </c>
      <c r="F249" s="525" t="s">
        <v>4895</v>
      </c>
      <c r="G249" s="525"/>
      <c r="H249" s="332"/>
      <c r="I249" s="631"/>
      <c r="J249" s="188" t="s">
        <v>487</v>
      </c>
      <c r="K249" s="604">
        <f>finR2PNLOpProfit</f>
        <v>2424318.0780725498</v>
      </c>
      <c r="L249" s="525" t="s">
        <v>7822</v>
      </c>
      <c r="M249" s="525"/>
      <c r="N249" s="525"/>
      <c r="O249" s="525"/>
      <c r="P249" s="525"/>
      <c r="Q249" s="525"/>
      <c r="R249" s="525"/>
      <c r="S249" s="525"/>
      <c r="T249" s="525"/>
      <c r="U249" s="525"/>
    </row>
    <row r="250" spans="1:21">
      <c r="A250" s="633" t="s">
        <v>4924</v>
      </c>
      <c r="B250" s="633"/>
      <c r="D250" s="188" t="s">
        <v>4716</v>
      </c>
      <c r="E250" s="605">
        <f>finPNLOpMargin</f>
        <v>0.15932656757082736</v>
      </c>
      <c r="F250" s="525" t="s">
        <v>4896</v>
      </c>
      <c r="G250" s="525"/>
      <c r="H250" s="332"/>
      <c r="I250" s="632"/>
      <c r="J250" s="188" t="s">
        <v>4716</v>
      </c>
      <c r="K250" s="605">
        <f>finR2PNLOpMargin</f>
        <v>0.18459155705487709</v>
      </c>
      <c r="L250" s="525" t="s">
        <v>7823</v>
      </c>
      <c r="M250" s="525"/>
      <c r="N250" s="525"/>
      <c r="O250" s="525"/>
      <c r="P250" s="525"/>
      <c r="Q250" s="525"/>
      <c r="R250" s="525"/>
      <c r="S250" s="525"/>
      <c r="T250" s="525"/>
      <c r="U250" s="525"/>
    </row>
    <row r="251" spans="1:21">
      <c r="A251" s="633" t="s">
        <v>4924</v>
      </c>
      <c r="B251" s="633"/>
      <c r="D251" s="188"/>
      <c r="E251" s="605"/>
      <c r="G251" s="525"/>
      <c r="H251" s="332"/>
      <c r="I251" s="632"/>
      <c r="J251" s="188"/>
      <c r="K251" s="605"/>
      <c r="L251" s="525"/>
      <c r="M251" s="525"/>
      <c r="N251" s="525"/>
      <c r="O251" s="525"/>
      <c r="P251" s="525"/>
      <c r="Q251" s="525"/>
      <c r="R251" s="525"/>
      <c r="S251" s="525"/>
      <c r="T251" s="525"/>
      <c r="U251" s="525"/>
    </row>
    <row r="252" spans="1:21">
      <c r="G252" s="281"/>
      <c r="H252" s="281"/>
      <c r="I252" s="281"/>
      <c r="J252" s="281"/>
      <c r="K252" s="281"/>
      <c r="L252" s="281"/>
      <c r="M252" s="281"/>
      <c r="N252" s="281"/>
      <c r="O252" s="281"/>
      <c r="P252" s="281"/>
      <c r="Q252" s="281"/>
      <c r="R252" s="281"/>
      <c r="S252" s="281"/>
      <c r="T252" s="281"/>
      <c r="U252" s="281"/>
    </row>
    <row r="253" spans="1:21">
      <c r="A253" s="70" t="s">
        <v>7971</v>
      </c>
      <c r="B253" s="731"/>
      <c r="C253" s="731"/>
      <c r="D253" s="731"/>
      <c r="E253" s="731"/>
      <c r="F253" s="731"/>
      <c r="G253" s="732"/>
      <c r="H253" s="732"/>
      <c r="I253" s="732"/>
      <c r="J253" s="733" t="s">
        <v>7970</v>
      </c>
      <c r="K253" s="732"/>
      <c r="L253" s="732"/>
      <c r="M253" s="281"/>
      <c r="N253" s="281"/>
      <c r="O253" s="281"/>
      <c r="P253" s="281"/>
      <c r="Q253" s="281"/>
      <c r="R253" s="281"/>
      <c r="S253" s="281"/>
      <c r="T253" s="281"/>
      <c r="U253" s="281"/>
    </row>
    <row r="254" spans="1:21">
      <c r="A254" s="188" t="s">
        <v>4924</v>
      </c>
      <c r="B254" s="188"/>
      <c r="D254" s="8" t="s">
        <v>4727</v>
      </c>
      <c r="E254" s="603" t="str">
        <f>INDEX(decTeamName,2)</f>
        <v>CHL Group</v>
      </c>
      <c r="F254" s="525" t="s">
        <v>8044</v>
      </c>
      <c r="G254" s="281"/>
      <c r="H254" s="332"/>
      <c r="I254" s="630"/>
      <c r="J254" s="8" t="s">
        <v>4727</v>
      </c>
      <c r="K254" s="603" t="str">
        <f>INDEX(decTeamName,2)</f>
        <v>CHL Group</v>
      </c>
      <c r="L254" s="525" t="s">
        <v>8045</v>
      </c>
      <c r="M254" s="281"/>
      <c r="N254" s="281"/>
      <c r="O254" s="281"/>
      <c r="P254" s="281"/>
      <c r="Q254" s="281"/>
      <c r="R254" s="281"/>
      <c r="S254" s="281"/>
      <c r="T254" s="281"/>
      <c r="U254" s="281"/>
    </row>
    <row r="255" spans="1:21">
      <c r="A255" s="188" t="s">
        <v>4924</v>
      </c>
      <c r="B255" s="188"/>
      <c r="D255" s="188" t="str">
        <f>nmSeg1</f>
        <v>Medicare</v>
      </c>
      <c r="E255" s="604">
        <f>INDEX(finPNLSeg1Rev,2)</f>
        <v>10704948</v>
      </c>
      <c r="F255" s="525" t="s">
        <v>7928</v>
      </c>
      <c r="G255" s="525"/>
      <c r="H255" s="332"/>
      <c r="I255" s="631"/>
      <c r="J255" s="188" t="str">
        <f>nmSeg1</f>
        <v>Medicare</v>
      </c>
      <c r="K255" s="604">
        <f>INDEX(finR2PNLSeg1Rev,2)</f>
        <v>10704948</v>
      </c>
      <c r="L255" s="525" t="s">
        <v>7972</v>
      </c>
      <c r="M255" s="525"/>
      <c r="N255" s="525"/>
      <c r="O255" s="525"/>
      <c r="P255" s="525"/>
      <c r="Q255" s="525"/>
      <c r="R255" s="525"/>
      <c r="S255" s="525"/>
      <c r="T255" s="525"/>
      <c r="U255" s="525"/>
    </row>
    <row r="256" spans="1:21">
      <c r="A256" s="188" t="s">
        <v>4924</v>
      </c>
      <c r="B256" s="188"/>
      <c r="D256" s="188" t="str">
        <f>nmSeg2</f>
        <v>PPS</v>
      </c>
      <c r="E256" s="604">
        <f>INDEX(finPNLSeg2Rev,2)</f>
        <v>1313163</v>
      </c>
      <c r="F256" s="525" t="s">
        <v>7929</v>
      </c>
      <c r="G256" s="525"/>
      <c r="H256" s="332"/>
      <c r="I256" s="631"/>
      <c r="J256" s="188" t="str">
        <f>nmSeg2</f>
        <v>PPS</v>
      </c>
      <c r="K256" s="604">
        <f>INDEX(finR2PNLSeg2Rev,2)</f>
        <v>1313163</v>
      </c>
      <c r="L256" s="525" t="s">
        <v>7973</v>
      </c>
      <c r="M256" s="525"/>
      <c r="N256" s="525"/>
      <c r="O256" s="525"/>
      <c r="P256" s="525"/>
      <c r="Q256" s="525"/>
      <c r="R256" s="525"/>
      <c r="S256" s="525"/>
      <c r="T256" s="525"/>
      <c r="U256" s="525"/>
    </row>
    <row r="257" spans="1:21">
      <c r="A257" s="188" t="s">
        <v>4924</v>
      </c>
      <c r="B257" s="188"/>
      <c r="D257" s="188" t="str">
        <f>nmSeg3</f>
        <v>Other</v>
      </c>
      <c r="E257" s="604">
        <f>INDEX(finPNLSeg3Rev,2)</f>
        <v>2184420</v>
      </c>
      <c r="F257" s="525" t="s">
        <v>7930</v>
      </c>
      <c r="G257" s="525"/>
      <c r="H257" s="332"/>
      <c r="I257" s="631"/>
      <c r="J257" s="188" t="str">
        <f>nmSeg3</f>
        <v>Other</v>
      </c>
      <c r="K257" s="604">
        <f>INDEX(finR2PNLSeg3Rev,2)</f>
        <v>2184420</v>
      </c>
      <c r="L257" s="525" t="s">
        <v>7974</v>
      </c>
      <c r="M257" s="525"/>
      <c r="N257" s="525"/>
      <c r="O257" s="525"/>
      <c r="P257" s="525"/>
      <c r="Q257" s="525"/>
      <c r="R257" s="525"/>
      <c r="S257" s="525"/>
      <c r="T257" s="525"/>
      <c r="U257" s="525"/>
    </row>
    <row r="258" spans="1:21">
      <c r="A258" s="188" t="s">
        <v>4924</v>
      </c>
      <c r="B258" s="188"/>
      <c r="D258" s="188" t="s">
        <v>4730</v>
      </c>
      <c r="E258" s="605">
        <f>INDEX(cbalRevGrowth,2)</f>
        <v>0</v>
      </c>
      <c r="F258" s="525" t="s">
        <v>7931</v>
      </c>
      <c r="G258" s="525"/>
      <c r="H258" s="332"/>
      <c r="I258" s="632"/>
      <c r="J258" s="188" t="s">
        <v>4730</v>
      </c>
      <c r="K258" s="605">
        <f>INDEX(cbalR2RevGrowth,2)</f>
        <v>0</v>
      </c>
      <c r="L258" s="525" t="s">
        <v>7975</v>
      </c>
      <c r="M258" s="525"/>
      <c r="N258" s="525"/>
      <c r="O258" s="525"/>
      <c r="P258" s="525"/>
      <c r="Q258" s="525"/>
      <c r="R258" s="525"/>
      <c r="S258" s="525"/>
      <c r="T258" s="525"/>
      <c r="U258" s="525"/>
    </row>
    <row r="259" spans="1:21">
      <c r="A259" s="188" t="s">
        <v>4924</v>
      </c>
      <c r="B259" s="188"/>
      <c r="D259" s="188"/>
      <c r="E259" s="75"/>
      <c r="F259" s="281"/>
      <c r="G259" s="281"/>
      <c r="H259" s="332"/>
      <c r="I259" s="383"/>
      <c r="J259" s="188"/>
      <c r="K259" s="75"/>
      <c r="L259" s="281"/>
      <c r="M259" s="281"/>
      <c r="N259" s="281"/>
      <c r="O259" s="281"/>
      <c r="P259" s="281"/>
      <c r="Q259" s="281"/>
      <c r="R259" s="281"/>
      <c r="S259" s="281"/>
      <c r="T259" s="281"/>
      <c r="U259" s="281"/>
    </row>
    <row r="260" spans="1:21">
      <c r="A260" s="188" t="s">
        <v>4924</v>
      </c>
      <c r="B260" s="188"/>
      <c r="F260" s="281"/>
      <c r="G260" s="281"/>
      <c r="H260" s="332"/>
      <c r="I260" s="332"/>
      <c r="L260" s="281"/>
      <c r="M260" s="281"/>
      <c r="N260" s="281"/>
      <c r="O260" s="281"/>
      <c r="P260" s="281"/>
      <c r="Q260" s="281"/>
      <c r="R260" s="281"/>
      <c r="S260" s="281"/>
      <c r="T260" s="281"/>
      <c r="U260" s="281"/>
    </row>
    <row r="261" spans="1:21">
      <c r="A261" s="188" t="s">
        <v>4924</v>
      </c>
      <c r="B261" s="188"/>
      <c r="F261" s="281"/>
      <c r="G261" s="281"/>
      <c r="H261" s="332"/>
      <c r="I261" s="332"/>
      <c r="L261" s="281"/>
      <c r="M261" s="281"/>
      <c r="N261" s="281"/>
      <c r="O261" s="281"/>
      <c r="P261" s="281"/>
      <c r="Q261" s="281"/>
      <c r="R261" s="281"/>
      <c r="S261" s="281"/>
      <c r="T261" s="281"/>
      <c r="U261" s="281"/>
    </row>
    <row r="262" spans="1:21">
      <c r="A262" s="188" t="s">
        <v>4924</v>
      </c>
      <c r="B262" s="188"/>
      <c r="D262" s="8" t="s">
        <v>4728</v>
      </c>
      <c r="E262" s="603"/>
      <c r="F262" s="281"/>
      <c r="G262" s="281"/>
      <c r="H262" s="332"/>
      <c r="I262" s="630"/>
      <c r="J262" s="8" t="s">
        <v>4728</v>
      </c>
      <c r="K262" s="603"/>
      <c r="L262" s="281"/>
      <c r="M262" s="281"/>
      <c r="N262" s="281"/>
      <c r="O262" s="281"/>
      <c r="P262" s="281"/>
      <c r="Q262" s="281"/>
      <c r="R262" s="281"/>
      <c r="S262" s="281"/>
      <c r="T262" s="281"/>
      <c r="U262" s="281"/>
    </row>
    <row r="263" spans="1:21">
      <c r="A263" s="188" t="s">
        <v>4924</v>
      </c>
      <c r="B263" s="188"/>
      <c r="D263" s="188" t="str">
        <f>nmSeg1 &amp; " -  " &amp; nmProd1</f>
        <v>Medicare -  Admits</v>
      </c>
      <c r="E263" s="604">
        <f>INDEX(calcLOB1Prod1Seg1Patients,2)+INDEX(calcLOB2Prod1Seg1Patients,2)</f>
        <v>3192</v>
      </c>
      <c r="F263" s="525" t="s">
        <v>7932</v>
      </c>
      <c r="G263" s="525"/>
      <c r="H263" s="332"/>
      <c r="I263" s="631"/>
      <c r="J263" s="188" t="str">
        <f>nmSeg1 &amp; " -  " &amp; nmProd1</f>
        <v>Medicare -  Admits</v>
      </c>
      <c r="K263" s="604">
        <f>INDEX(calcR2LOB1Prod1Seg1Patients,2)+INDEX(calcR2LOB2Prod1Seg1Patients,2)</f>
        <v>3192</v>
      </c>
      <c r="L263" s="525" t="s">
        <v>7976</v>
      </c>
      <c r="M263" s="525"/>
      <c r="N263" s="525"/>
      <c r="O263" s="525"/>
      <c r="P263" s="525"/>
      <c r="Q263" s="525"/>
      <c r="R263" s="525"/>
      <c r="S263" s="525"/>
      <c r="T263" s="525"/>
      <c r="U263" s="525"/>
    </row>
    <row r="264" spans="1:21">
      <c r="A264" s="188" t="s">
        <v>4924</v>
      </c>
      <c r="B264" s="188"/>
      <c r="D264" s="188" t="str">
        <f>nmSeg1 &amp; " -  " &amp; nmProd2</f>
        <v>Medicare -  Recerts</v>
      </c>
      <c r="E264" s="604">
        <f>INDEX(calcLOB1Prod2Seg1Patients,2)+INDEX(calcLOB2Prod2Seg1Patients,2)</f>
        <v>852</v>
      </c>
      <c r="F264" s="525" t="s">
        <v>7933</v>
      </c>
      <c r="G264" s="525"/>
      <c r="H264" s="332"/>
      <c r="I264" s="631"/>
      <c r="J264" s="188" t="str">
        <f>nmSeg1 &amp; " -  " &amp; nmProd2</f>
        <v>Medicare -  Recerts</v>
      </c>
      <c r="K264" s="604">
        <f>INDEX(calcR2LOB1Prod2Seg1Patients,2)+INDEX(calcR2LOB2Prod2Seg1Patients,2)</f>
        <v>852</v>
      </c>
      <c r="L264" s="525" t="s">
        <v>7977</v>
      </c>
      <c r="M264" s="525"/>
      <c r="N264" s="525"/>
      <c r="O264" s="525"/>
      <c r="P264" s="525"/>
      <c r="Q264" s="525"/>
      <c r="R264" s="525"/>
      <c r="S264" s="525"/>
      <c r="T264" s="525"/>
      <c r="U264" s="525"/>
    </row>
    <row r="265" spans="1:21">
      <c r="A265" s="188" t="s">
        <v>4924</v>
      </c>
      <c r="B265" s="188"/>
      <c r="D265" s="188" t="str">
        <f>nmSeg2 &amp; " -  " &amp; nmProd1</f>
        <v>PPS -  Admits</v>
      </c>
      <c r="E265" s="604">
        <f>INDEX(calcLOB1Prod1Seg2Patients,2)+INDEX(calcLOB2Prod1Seg2Patients,2)</f>
        <v>432</v>
      </c>
      <c r="F265" s="525" t="s">
        <v>7934</v>
      </c>
      <c r="G265" s="525"/>
      <c r="H265" s="332"/>
      <c r="I265" s="631"/>
      <c r="J265" s="188" t="str">
        <f>nmSeg2 &amp; " -  " &amp; nmProd1</f>
        <v>PPS -  Admits</v>
      </c>
      <c r="K265" s="604">
        <f>INDEX(calcR2LOB1Prod1Seg2Patients,2)+INDEX(calcR2LOB2Prod1Seg2Patients,2)</f>
        <v>432</v>
      </c>
      <c r="L265" s="525" t="s">
        <v>7978</v>
      </c>
      <c r="M265" s="525"/>
      <c r="N265" s="525"/>
      <c r="O265" s="525"/>
      <c r="P265" s="525"/>
      <c r="Q265" s="525"/>
      <c r="R265" s="525"/>
      <c r="S265" s="525"/>
      <c r="T265" s="525"/>
      <c r="U265" s="525"/>
    </row>
    <row r="266" spans="1:21">
      <c r="A266" s="188" t="s">
        <v>4924</v>
      </c>
      <c r="B266" s="188"/>
      <c r="D266" s="188" t="str">
        <f>nmSeg2&amp; " -  " &amp; nmProd2</f>
        <v>PPS -  Recerts</v>
      </c>
      <c r="E266" s="604">
        <f>INDEX(calcLOB1Prod2Seg2Patients,2)+INDEX(calcLOB2Prod2Seg2Patients,2)</f>
        <v>108</v>
      </c>
      <c r="F266" s="525" t="s">
        <v>7935</v>
      </c>
      <c r="G266" s="525"/>
      <c r="H266" s="332"/>
      <c r="I266" s="631"/>
      <c r="J266" s="188" t="str">
        <f>nmSeg2&amp; " -  " &amp; nmProd2</f>
        <v>PPS -  Recerts</v>
      </c>
      <c r="K266" s="604">
        <f>INDEX(calcR2LOB1Prod2Seg2Patients,2)+INDEX(calcR2LOB2Prod2Seg2Patients,2)</f>
        <v>108</v>
      </c>
      <c r="L266" s="525" t="s">
        <v>7979</v>
      </c>
      <c r="M266" s="525"/>
      <c r="N266" s="525"/>
      <c r="O266" s="525"/>
      <c r="P266" s="525"/>
      <c r="Q266" s="525"/>
      <c r="R266" s="525"/>
      <c r="S266" s="525"/>
      <c r="T266" s="525"/>
      <c r="U266" s="525"/>
    </row>
    <row r="267" spans="1:21">
      <c r="A267" s="188" t="s">
        <v>4924</v>
      </c>
      <c r="B267" s="188"/>
      <c r="D267" s="188" t="str">
        <f>nmSeg3 &amp; " -  " &amp; nmProd1</f>
        <v>Other -  Admits</v>
      </c>
      <c r="E267" s="604">
        <f>INDEX(calcLOB1Prod1Seg3Patients,2)+INDEX(calcLOB2Prod1Seg3Patients,2)</f>
        <v>1140</v>
      </c>
      <c r="F267" s="525" t="s">
        <v>7936</v>
      </c>
      <c r="G267" s="525"/>
      <c r="H267" s="332"/>
      <c r="I267" s="631"/>
      <c r="J267" s="188" t="str">
        <f>nmSeg3 &amp; " -  " &amp; nmProd1</f>
        <v>Other -  Admits</v>
      </c>
      <c r="K267" s="604">
        <f>INDEX(calcR2LOB1Prod1Seg3Patients,2)+INDEX(calcR2LOB2Prod1Seg3Patients,2)</f>
        <v>1140</v>
      </c>
      <c r="L267" s="525" t="s">
        <v>7980</v>
      </c>
      <c r="M267" s="525"/>
      <c r="N267" s="525"/>
      <c r="O267" s="525"/>
      <c r="P267" s="525"/>
      <c r="Q267" s="525"/>
      <c r="R267" s="525"/>
      <c r="S267" s="525"/>
      <c r="T267" s="525"/>
      <c r="U267" s="525"/>
    </row>
    <row r="268" spans="1:21">
      <c r="A268" s="188" t="s">
        <v>4924</v>
      </c>
      <c r="B268" s="188"/>
      <c r="D268" s="188" t="str">
        <f>nmSeg3&amp; " -  " &amp; nmProd2</f>
        <v>Other -  Recerts</v>
      </c>
      <c r="E268" s="604">
        <f>INDEX(calcLOB1Prod2Seg3Patients,2)+INDEX(calcLOB2Prod2Seg3Patients,2)</f>
        <v>288</v>
      </c>
      <c r="F268" s="525" t="s">
        <v>7937</v>
      </c>
      <c r="G268" s="525"/>
      <c r="H268" s="332"/>
      <c r="I268" s="631"/>
      <c r="J268" s="188" t="str">
        <f>nmSeg3&amp; " -  " &amp; nmProd2</f>
        <v>Other -  Recerts</v>
      </c>
      <c r="K268" s="604">
        <f>INDEX(calcR2LOB1Prod2Seg3Patients,2)+INDEX(calcR2LOB2Prod2Seg3Patients,2)</f>
        <v>288</v>
      </c>
      <c r="L268" s="525" t="s">
        <v>7981</v>
      </c>
      <c r="M268" s="525"/>
      <c r="N268" s="525"/>
      <c r="O268" s="525"/>
      <c r="P268" s="525"/>
      <c r="Q268" s="525"/>
      <c r="R268" s="525"/>
      <c r="S268" s="525"/>
      <c r="T268" s="525"/>
      <c r="U268" s="525"/>
    </row>
    <row r="269" spans="1:21">
      <c r="A269" s="188" t="s">
        <v>4924</v>
      </c>
      <c r="B269" s="188"/>
      <c r="D269" s="188" t="s">
        <v>4741</v>
      </c>
      <c r="E269" s="605">
        <f>(E263+E265+E267)/SUM(E263:E268)</f>
        <v>0.7924151696606786</v>
      </c>
      <c r="F269" s="525" t="s">
        <v>7938</v>
      </c>
      <c r="G269" s="525"/>
      <c r="H269" s="332"/>
      <c r="I269" s="632"/>
      <c r="J269" s="188" t="s">
        <v>4741</v>
      </c>
      <c r="K269" s="605">
        <f>(K263+K265+K267)/SUM(K263:K268)</f>
        <v>0.7924151696606786</v>
      </c>
      <c r="L269" s="525" t="s">
        <v>7982</v>
      </c>
      <c r="M269" s="525"/>
      <c r="N269" s="525"/>
      <c r="O269" s="525"/>
      <c r="P269" s="525"/>
      <c r="Q269" s="525"/>
      <c r="R269" s="525"/>
      <c r="S269" s="525"/>
      <c r="T269" s="525"/>
      <c r="U269" s="525"/>
    </row>
    <row r="270" spans="1:21">
      <c r="A270" s="188" t="s">
        <v>4924</v>
      </c>
      <c r="B270" s="188"/>
      <c r="F270" s="281"/>
      <c r="G270" s="281"/>
      <c r="H270" s="332"/>
      <c r="I270" s="332"/>
      <c r="L270" s="281"/>
      <c r="M270" s="281"/>
      <c r="N270" s="281"/>
      <c r="O270" s="281"/>
      <c r="P270" s="281"/>
      <c r="Q270" s="281"/>
      <c r="R270" s="281"/>
      <c r="S270" s="281"/>
      <c r="T270" s="281"/>
      <c r="U270" s="281"/>
    </row>
    <row r="271" spans="1:21">
      <c r="A271" s="188"/>
      <c r="B271" s="188"/>
      <c r="D271" s="8" t="str">
        <f>nmLOB1 &amp; " Patients"</f>
        <v>Riverside Patients</v>
      </c>
      <c r="E271" s="8">
        <f>INDEX(calcLOB1Patients,2)</f>
        <v>4284</v>
      </c>
      <c r="F271" s="281"/>
      <c r="G271" s="281"/>
      <c r="H271" s="332"/>
      <c r="I271" s="332"/>
      <c r="K271" s="8">
        <f>INDEX(calcR2LOB1Patients,2)</f>
        <v>4284</v>
      </c>
      <c r="L271" s="281"/>
      <c r="M271" s="281"/>
      <c r="N271" s="281"/>
      <c r="O271" s="281"/>
      <c r="P271" s="281"/>
      <c r="Q271" s="281"/>
      <c r="R271" s="281"/>
      <c r="S271" s="281"/>
      <c r="T271" s="281"/>
      <c r="U271" s="281"/>
    </row>
    <row r="272" spans="1:21">
      <c r="A272" s="188"/>
      <c r="B272" s="188"/>
      <c r="D272" s="8" t="str">
        <f>nmLOB2 &amp; " Patients"</f>
        <v>Pleasentville Patients</v>
      </c>
      <c r="E272" s="8">
        <f>INDEX(calcLOB2Patients,2)</f>
        <v>1728</v>
      </c>
      <c r="F272" s="281"/>
      <c r="G272" s="281"/>
      <c r="H272" s="332"/>
      <c r="I272" s="332"/>
      <c r="K272" s="8">
        <f>INDEX(calcR2LOB2Patients,2)</f>
        <v>1728</v>
      </c>
      <c r="L272" s="281"/>
      <c r="M272" s="281"/>
      <c r="N272" s="281"/>
      <c r="O272" s="281"/>
      <c r="P272" s="281"/>
      <c r="Q272" s="281"/>
      <c r="R272" s="281"/>
      <c r="S272" s="281"/>
      <c r="T272" s="281"/>
      <c r="U272" s="281"/>
    </row>
    <row r="273" spans="1:21">
      <c r="A273" s="188"/>
      <c r="B273" s="188"/>
      <c r="E273" s="8">
        <v>5</v>
      </c>
      <c r="F273" s="281"/>
      <c r="G273" s="281"/>
      <c r="H273" s="332"/>
      <c r="I273" s="332"/>
      <c r="K273" s="8">
        <v>5</v>
      </c>
      <c r="L273" s="281"/>
      <c r="M273" s="281"/>
      <c r="N273" s="281"/>
      <c r="O273" s="281"/>
      <c r="P273" s="281"/>
      <c r="Q273" s="281"/>
      <c r="R273" s="281"/>
      <c r="S273" s="281"/>
      <c r="T273" s="281"/>
      <c r="U273" s="281"/>
    </row>
    <row r="274" spans="1:21">
      <c r="A274" s="461"/>
      <c r="D274" s="8" t="s">
        <v>4729</v>
      </c>
      <c r="E274" s="603"/>
      <c r="F274" s="281"/>
      <c r="G274" s="281"/>
      <c r="H274" s="332"/>
      <c r="I274" s="630"/>
      <c r="J274" s="8" t="s">
        <v>4729</v>
      </c>
      <c r="K274" s="603"/>
      <c r="L274" s="281"/>
      <c r="M274" s="281"/>
      <c r="N274" s="281"/>
      <c r="O274" s="281"/>
      <c r="P274" s="281"/>
      <c r="Q274" s="281"/>
      <c r="R274" s="281"/>
      <c r="S274" s="281"/>
      <c r="T274" s="281"/>
      <c r="U274" s="281"/>
    </row>
    <row r="275" spans="1:21">
      <c r="A275" s="461"/>
      <c r="B275" s="8">
        <v>3</v>
      </c>
      <c r="D275" s="188" t="str">
        <f t="shared" ref="D275:D279" si="66">VLOOKUP($B275,calcTableLOB1CSAT,D$42,FALSE)</f>
        <v>DOO Actions</v>
      </c>
      <c r="E275" s="605">
        <f>VLOOKUP($B275,calcTableLOB1CSAT,$E$273,FALSE)</f>
        <v>2.5000000000000022E-2</v>
      </c>
      <c r="F275" s="525"/>
      <c r="G275" s="525"/>
      <c r="H275" s="332"/>
      <c r="I275" s="632"/>
      <c r="J275" s="188" t="str">
        <f t="shared" ref="J275:J279" si="67">VLOOKUP($B275,calcR2TableLOB1CSAT,J$42,FALSE)</f>
        <v>DOO Actions</v>
      </c>
      <c r="K275" s="605">
        <f>VLOOKUP($B275,calcR2TableLOB1CSAT,$E$273,FALSE)</f>
        <v>5.0000000000000044E-2</v>
      </c>
      <c r="L275" s="525" t="s">
        <v>7983</v>
      </c>
      <c r="M275" s="525"/>
      <c r="N275" s="525"/>
      <c r="O275" s="525"/>
      <c r="P275" s="525"/>
      <c r="Q275" s="525"/>
      <c r="R275" s="525"/>
      <c r="S275" s="525"/>
      <c r="T275" s="525"/>
      <c r="U275" s="525"/>
    </row>
    <row r="276" spans="1:21">
      <c r="A276" s="461"/>
      <c r="B276" s="8">
        <v>4</v>
      </c>
      <c r="D276" s="188" t="str">
        <f t="shared" si="66"/>
        <v>Missed Visits</v>
      </c>
      <c r="E276" s="605">
        <f>VLOOKUP($B276,calcTableLOB1CSAT,$E$273,FALSE)</f>
        <v>-0.04</v>
      </c>
      <c r="F276" s="525"/>
      <c r="G276" s="525"/>
      <c r="H276" s="332"/>
      <c r="I276" s="632"/>
      <c r="J276" s="188" t="str">
        <f t="shared" si="67"/>
        <v>Missed Visits</v>
      </c>
      <c r="K276" s="605">
        <f>VLOOKUP($B276,calcR2TableLOB1CSAT,$E$273,FALSE)</f>
        <v>-0.05</v>
      </c>
      <c r="L276" s="525" t="s">
        <v>7984</v>
      </c>
      <c r="M276" s="525"/>
      <c r="N276" s="525"/>
      <c r="O276" s="525"/>
      <c r="P276" s="525"/>
      <c r="Q276" s="525"/>
      <c r="R276" s="525"/>
      <c r="S276" s="525"/>
      <c r="T276" s="525"/>
      <c r="U276" s="525"/>
    </row>
    <row r="277" spans="1:21">
      <c r="A277" s="461"/>
      <c r="B277" s="8">
        <v>5</v>
      </c>
      <c r="D277" s="188" t="str">
        <f t="shared" si="66"/>
        <v>Employee Engagement</v>
      </c>
      <c r="E277" s="605">
        <f>VLOOKUP($B277,calcTableLOB1CSAT,$E$273,FALSE)</f>
        <v>7.6499999999999901E-3</v>
      </c>
      <c r="F277" s="525"/>
      <c r="G277" s="525"/>
      <c r="H277" s="332"/>
      <c r="I277" s="632"/>
      <c r="J277" s="188" t="str">
        <f t="shared" si="67"/>
        <v>Employee Engagement</v>
      </c>
      <c r="K277" s="605">
        <f>VLOOKUP($B277,calcR2TableLOB1CSAT,$E$273,FALSE)</f>
        <v>-1.9500000000000183E-3</v>
      </c>
      <c r="L277" s="525" t="s">
        <v>7985</v>
      </c>
      <c r="M277" s="525"/>
      <c r="N277" s="525"/>
      <c r="O277" s="525"/>
      <c r="P277" s="525"/>
      <c r="Q277" s="525"/>
      <c r="R277" s="525"/>
      <c r="S277" s="525"/>
      <c r="T277" s="525"/>
      <c r="U277" s="525"/>
    </row>
    <row r="278" spans="1:21">
      <c r="A278" s="461"/>
      <c r="B278" s="8">
        <v>6</v>
      </c>
      <c r="D278" s="188" t="str">
        <f t="shared" si="66"/>
        <v>Clincial Quality</v>
      </c>
      <c r="E278" s="605">
        <f>VLOOKUP($B278,calcTableLOB1CSAT,$E$273,FALSE)</f>
        <v>4.0200000000000019E-3</v>
      </c>
      <c r="F278" s="525"/>
      <c r="G278" s="525"/>
      <c r="H278" s="332"/>
      <c r="I278" s="632"/>
      <c r="J278" s="188" t="str">
        <f t="shared" si="67"/>
        <v>Clincial Quality</v>
      </c>
      <c r="K278" s="605">
        <f>VLOOKUP($B278,calcR2TableLOB1CSAT,$E$273,FALSE)</f>
        <v>-1.5100000000000113E-3</v>
      </c>
      <c r="L278" s="525" t="s">
        <v>7986</v>
      </c>
      <c r="M278" s="525"/>
      <c r="N278" s="525"/>
      <c r="O278" s="525"/>
      <c r="P278" s="525"/>
      <c r="Q278" s="525"/>
      <c r="R278" s="525"/>
      <c r="S278" s="525"/>
      <c r="T278" s="525"/>
      <c r="U278" s="525"/>
    </row>
    <row r="279" spans="1:21">
      <c r="A279" s="461"/>
      <c r="B279" s="8">
        <v>8</v>
      </c>
      <c r="D279" s="188" t="str">
        <f t="shared" si="66"/>
        <v>Referrals Satisfaction</v>
      </c>
      <c r="E279" s="605">
        <f>VLOOKUP($B279,calcTableLOB1CSAT,$E$273,FALSE)</f>
        <v>0.84666999999999992</v>
      </c>
      <c r="F279" s="525"/>
      <c r="G279" s="525"/>
      <c r="H279" s="332"/>
      <c r="I279" s="632"/>
      <c r="J279" s="188">
        <f t="shared" si="67"/>
        <v>1</v>
      </c>
      <c r="K279" s="605">
        <f>VLOOKUP($B279,calcR2TableLOB1CSAT,$E$273,FALSE)</f>
        <v>0.81807999999999992</v>
      </c>
      <c r="L279" s="525" t="s">
        <v>7987</v>
      </c>
      <c r="M279" s="525"/>
      <c r="N279" s="525"/>
      <c r="O279" s="525"/>
      <c r="P279" s="525"/>
      <c r="Q279" s="525"/>
      <c r="R279" s="525"/>
      <c r="S279" s="525"/>
      <c r="T279" s="525"/>
      <c r="U279" s="525"/>
    </row>
    <row r="280" spans="1:21">
      <c r="A280" s="461"/>
      <c r="D280" s="188"/>
      <c r="E280" s="605"/>
      <c r="F280" s="525"/>
      <c r="G280" s="525"/>
      <c r="H280" s="332"/>
      <c r="I280" s="632"/>
      <c r="J280" s="188"/>
      <c r="K280" s="605"/>
      <c r="L280" s="525"/>
      <c r="M280" s="525"/>
      <c r="N280" s="525"/>
      <c r="O280" s="525"/>
      <c r="P280" s="525"/>
      <c r="Q280" s="525"/>
      <c r="R280" s="525"/>
      <c r="S280" s="525"/>
      <c r="T280" s="525"/>
      <c r="U280" s="525"/>
    </row>
    <row r="281" spans="1:21">
      <c r="A281" s="461"/>
      <c r="D281" s="188"/>
      <c r="E281" s="605"/>
      <c r="F281" s="525"/>
      <c r="G281" s="525"/>
      <c r="H281" s="332"/>
      <c r="I281" s="632"/>
      <c r="J281" s="188"/>
      <c r="K281" s="605"/>
      <c r="L281" s="525"/>
      <c r="M281" s="525"/>
      <c r="N281" s="525"/>
      <c r="O281" s="525"/>
      <c r="P281" s="525"/>
      <c r="Q281" s="525"/>
      <c r="R281" s="525"/>
      <c r="S281" s="525"/>
      <c r="T281" s="525"/>
      <c r="U281" s="525"/>
    </row>
    <row r="282" spans="1:21">
      <c r="A282" s="478"/>
      <c r="E282" s="8">
        <v>5</v>
      </c>
      <c r="F282" s="281"/>
      <c r="G282" s="281"/>
      <c r="H282" s="332"/>
      <c r="I282" s="332"/>
      <c r="K282" s="8">
        <v>5</v>
      </c>
      <c r="L282" s="281"/>
      <c r="M282" s="281"/>
      <c r="N282" s="281"/>
      <c r="O282" s="281"/>
      <c r="P282" s="281"/>
      <c r="Q282" s="281"/>
      <c r="R282" s="281"/>
      <c r="S282" s="281"/>
      <c r="T282" s="281"/>
      <c r="U282" s="281"/>
    </row>
    <row r="283" spans="1:21">
      <c r="A283" s="478"/>
      <c r="D283" s="8" t="s">
        <v>4729</v>
      </c>
      <c r="E283" s="603"/>
      <c r="F283" s="281"/>
      <c r="G283" s="281"/>
      <c r="H283" s="332"/>
      <c r="I283" s="630"/>
      <c r="J283" s="8" t="s">
        <v>4729</v>
      </c>
      <c r="K283" s="603"/>
      <c r="L283" s="281"/>
      <c r="M283" s="281"/>
      <c r="N283" s="281"/>
      <c r="O283" s="281"/>
      <c r="P283" s="281"/>
      <c r="Q283" s="281"/>
      <c r="R283" s="281"/>
      <c r="S283" s="281"/>
      <c r="T283" s="281"/>
      <c r="U283" s="281"/>
    </row>
    <row r="284" spans="1:21">
      <c r="A284" s="478"/>
      <c r="B284" s="8">
        <v>3</v>
      </c>
      <c r="D284" s="188" t="str">
        <f t="shared" ref="D284:D288" si="68">VLOOKUP($B284,calcTableLOB2CSAT,D$42,FALSE)</f>
        <v>DOO Actions</v>
      </c>
      <c r="E284" s="605">
        <f>VLOOKUP($B284,calcTableLOB2CSAT,$E$282,FALSE)</f>
        <v>1.0000000000000009E-2</v>
      </c>
      <c r="F284" s="525"/>
      <c r="G284" s="525"/>
      <c r="H284" s="332"/>
      <c r="I284" s="632"/>
      <c r="J284" s="188" t="str">
        <f t="shared" ref="J284:J288" si="69">VLOOKUP($B284,calcR2TableLOB2CSAT,J$42,FALSE)</f>
        <v>DOO Actions</v>
      </c>
      <c r="K284" s="605">
        <f>VLOOKUP($B284,calcR2TableLOB2CSAT,$E$282,FALSE)</f>
        <v>2.5000000000000022E-2</v>
      </c>
      <c r="L284" s="525" t="s">
        <v>7988</v>
      </c>
      <c r="M284" s="525"/>
      <c r="N284" s="525"/>
      <c r="O284" s="525"/>
      <c r="P284" s="525"/>
      <c r="Q284" s="525"/>
      <c r="R284" s="525"/>
      <c r="S284" s="525"/>
      <c r="T284" s="525"/>
      <c r="U284" s="525"/>
    </row>
    <row r="285" spans="1:21">
      <c r="A285" s="478"/>
      <c r="B285" s="8">
        <v>4</v>
      </c>
      <c r="D285" s="188" t="str">
        <f t="shared" si="68"/>
        <v>Missed Visits</v>
      </c>
      <c r="E285" s="605">
        <f>VLOOKUP($B285,calcTableLOB2CSAT,$E$282,FALSE)</f>
        <v>-0.02</v>
      </c>
      <c r="F285" s="525"/>
      <c r="G285" s="525"/>
      <c r="H285" s="332"/>
      <c r="I285" s="632"/>
      <c r="J285" s="188" t="str">
        <f t="shared" si="69"/>
        <v>Missed Visits</v>
      </c>
      <c r="K285" s="605">
        <f>VLOOKUP($B285,calcR2TableLOB2CSAT,$E$282,FALSE)</f>
        <v>0.02</v>
      </c>
      <c r="L285" s="525" t="s">
        <v>7989</v>
      </c>
      <c r="M285" s="525"/>
      <c r="N285" s="525"/>
      <c r="O285" s="525"/>
      <c r="P285" s="525"/>
      <c r="Q285" s="525"/>
      <c r="R285" s="525"/>
      <c r="S285" s="525"/>
      <c r="T285" s="525"/>
      <c r="U285" s="525"/>
    </row>
    <row r="286" spans="1:21">
      <c r="A286" s="478"/>
      <c r="B286" s="8">
        <v>5</v>
      </c>
      <c r="D286" s="188" t="str">
        <f t="shared" si="68"/>
        <v>Employee Engagement</v>
      </c>
      <c r="E286" s="605">
        <f>VLOOKUP($B286,calcTableLOB2CSAT,$E$282,FALSE)</f>
        <v>1.8000000000000016E-2</v>
      </c>
      <c r="F286" s="525"/>
      <c r="G286" s="525"/>
      <c r="H286" s="332"/>
      <c r="I286" s="632"/>
      <c r="J286" s="188" t="str">
        <f t="shared" si="69"/>
        <v>Employee Engagement</v>
      </c>
      <c r="K286" s="605">
        <f>VLOOKUP($B286,calcR2TableLOB2CSAT,$E$282,FALSE)</f>
        <v>7.3247250487362692E-4</v>
      </c>
      <c r="L286" s="525" t="s">
        <v>7990</v>
      </c>
      <c r="M286" s="525"/>
      <c r="N286" s="525"/>
      <c r="O286" s="525"/>
      <c r="P286" s="525"/>
      <c r="Q286" s="525"/>
      <c r="R286" s="525"/>
      <c r="S286" s="525"/>
      <c r="T286" s="525"/>
      <c r="U286" s="525"/>
    </row>
    <row r="287" spans="1:21">
      <c r="A287" s="478"/>
      <c r="B287" s="8">
        <v>6</v>
      </c>
      <c r="D287" s="188" t="str">
        <f t="shared" si="68"/>
        <v>Clincial Quality</v>
      </c>
      <c r="E287" s="605">
        <f>VLOOKUP($B287,calcTableLOB2CSAT,$E$282,FALSE)</f>
        <v>5.4000000000000055E-3</v>
      </c>
      <c r="F287" s="525"/>
      <c r="G287" s="525"/>
      <c r="H287" s="332"/>
      <c r="I287" s="632"/>
      <c r="J287" s="188" t="str">
        <f t="shared" si="69"/>
        <v>Clincial Quality</v>
      </c>
      <c r="K287" s="605">
        <f>VLOOKUP($B287,calcR2TableLOB2CSAT,$E$282,FALSE)</f>
        <v>-1.1523369993501897E-3</v>
      </c>
      <c r="L287" s="525" t="s">
        <v>7991</v>
      </c>
      <c r="M287" s="525"/>
      <c r="N287" s="525"/>
      <c r="O287" s="525"/>
      <c r="P287" s="525"/>
      <c r="Q287" s="525"/>
      <c r="R287" s="525"/>
      <c r="S287" s="525"/>
      <c r="T287" s="525"/>
      <c r="U287" s="525"/>
    </row>
    <row r="288" spans="1:21">
      <c r="A288" s="478"/>
      <c r="B288" s="8">
        <v>9</v>
      </c>
      <c r="D288" s="188" t="str">
        <f t="shared" si="68"/>
        <v>Referrals Satisfaction</v>
      </c>
      <c r="E288" s="605">
        <f>VLOOKUP($B288,calcTableLOB2CSAT,$E$282,FALSE)</f>
        <v>0.71339999999999992</v>
      </c>
      <c r="F288" s="525"/>
      <c r="G288" s="525"/>
      <c r="H288" s="332"/>
      <c r="I288" s="632"/>
      <c r="J288" s="188">
        <f t="shared" si="69"/>
        <v>1</v>
      </c>
      <c r="K288" s="605">
        <f>VLOOKUP($B288,calcR2TableLOB2CSAT,$E$282,FALSE)</f>
        <v>0.74585013550552337</v>
      </c>
      <c r="L288" s="525" t="s">
        <v>7992</v>
      </c>
      <c r="M288" s="525"/>
      <c r="N288" s="525"/>
      <c r="O288" s="525"/>
      <c r="P288" s="525"/>
      <c r="Q288" s="525"/>
      <c r="R288" s="525"/>
      <c r="S288" s="525"/>
      <c r="T288" s="525"/>
      <c r="U288" s="525"/>
    </row>
    <row r="289" spans="1:21">
      <c r="A289" s="478"/>
      <c r="D289" s="188"/>
      <c r="E289" s="605"/>
      <c r="F289" s="525"/>
      <c r="G289" s="525"/>
      <c r="H289" s="332"/>
      <c r="I289" s="632"/>
      <c r="J289" s="188"/>
      <c r="K289" s="605"/>
      <c r="L289" s="525"/>
      <c r="M289" s="525"/>
      <c r="N289" s="525"/>
      <c r="O289" s="525"/>
      <c r="P289" s="525"/>
      <c r="Q289" s="525"/>
      <c r="R289" s="525"/>
      <c r="S289" s="525"/>
      <c r="T289" s="525"/>
      <c r="U289" s="525"/>
    </row>
    <row r="290" spans="1:21">
      <c r="A290" s="478"/>
      <c r="D290" s="188"/>
      <c r="E290" s="605"/>
      <c r="F290" s="525"/>
      <c r="G290" s="525"/>
      <c r="H290" s="332"/>
      <c r="I290" s="632"/>
      <c r="J290" s="188"/>
      <c r="K290" s="605"/>
      <c r="L290" s="525"/>
      <c r="M290" s="525"/>
      <c r="N290" s="525"/>
      <c r="O290" s="525"/>
      <c r="P290" s="525"/>
      <c r="Q290" s="525"/>
      <c r="R290" s="525"/>
      <c r="S290" s="525"/>
      <c r="T290" s="525"/>
      <c r="U290" s="525"/>
    </row>
    <row r="291" spans="1:21">
      <c r="A291" s="188"/>
      <c r="B291" s="188"/>
      <c r="F291" s="281"/>
      <c r="G291" s="281"/>
      <c r="H291" s="332"/>
      <c r="I291" s="332"/>
      <c r="L291" s="281"/>
      <c r="M291" s="281"/>
      <c r="N291" s="281"/>
      <c r="O291" s="281"/>
      <c r="P291" s="281"/>
      <c r="Q291" s="281"/>
      <c r="R291" s="281"/>
      <c r="S291" s="281"/>
      <c r="T291" s="281"/>
      <c r="U291" s="281"/>
    </row>
    <row r="292" spans="1:21">
      <c r="A292" s="188" t="s">
        <v>4924</v>
      </c>
      <c r="B292" s="188"/>
      <c r="D292" s="8" t="s">
        <v>4729</v>
      </c>
      <c r="E292" s="603"/>
      <c r="F292" s="281"/>
      <c r="G292" s="281"/>
      <c r="H292" s="332"/>
      <c r="I292" s="630"/>
      <c r="J292" s="8" t="s">
        <v>4729</v>
      </c>
      <c r="K292" s="603"/>
      <c r="L292" s="281"/>
      <c r="M292" s="281"/>
      <c r="N292" s="281"/>
      <c r="O292" s="281"/>
      <c r="P292" s="281"/>
      <c r="Q292" s="281"/>
      <c r="R292" s="281"/>
      <c r="S292" s="281"/>
      <c r="T292" s="281"/>
      <c r="U292" s="281"/>
    </row>
    <row r="293" spans="1:21">
      <c r="A293" s="188" t="s">
        <v>4924</v>
      </c>
      <c r="B293" s="188"/>
      <c r="D293" s="188" t="s">
        <v>2980</v>
      </c>
      <c r="E293" s="605">
        <f>(E275*$E$271+E284*$E$272)/($E$271+$E$272)</f>
        <v>2.0688622754491036E-2</v>
      </c>
      <c r="F293" s="525" t="s">
        <v>7939</v>
      </c>
      <c r="G293" s="525"/>
      <c r="H293" s="332"/>
      <c r="I293" s="632"/>
      <c r="J293" s="188" t="s">
        <v>2980</v>
      </c>
      <c r="K293" s="605">
        <f>(K275*$K$271+K284*$K$272)/($K$271+$K$272)</f>
        <v>4.2814371257485065E-2</v>
      </c>
      <c r="L293" s="525" t="s">
        <v>7993</v>
      </c>
      <c r="M293" s="525"/>
      <c r="N293" s="525"/>
      <c r="O293" s="525"/>
      <c r="P293" s="525"/>
      <c r="Q293" s="525"/>
      <c r="R293" s="525"/>
      <c r="S293" s="525"/>
      <c r="T293" s="525"/>
      <c r="U293" s="525"/>
    </row>
    <row r="294" spans="1:21">
      <c r="A294" s="188" t="s">
        <v>4924</v>
      </c>
      <c r="B294" s="188"/>
      <c r="D294" s="188" t="s">
        <v>1615</v>
      </c>
      <c r="E294" s="605">
        <f t="shared" ref="E294:E296" si="70">(E276*$E$271+E285*$E$272)/($E$271+$E$272)</f>
        <v>-3.4251497005988028E-2</v>
      </c>
      <c r="F294" s="525" t="s">
        <v>7940</v>
      </c>
      <c r="G294" s="525"/>
      <c r="H294" s="332"/>
      <c r="I294" s="632"/>
      <c r="J294" s="188" t="s">
        <v>1615</v>
      </c>
      <c r="K294" s="605">
        <f t="shared" ref="K294:K296" si="71">(K276*$K$271+K285*$K$272)/($K$271+$K$272)</f>
        <v>-2.9880239520958085E-2</v>
      </c>
      <c r="L294" s="525" t="s">
        <v>7994</v>
      </c>
      <c r="M294" s="525"/>
      <c r="N294" s="525"/>
      <c r="O294" s="525"/>
      <c r="P294" s="525"/>
      <c r="Q294" s="525"/>
      <c r="R294" s="525"/>
      <c r="S294" s="525"/>
      <c r="T294" s="525"/>
      <c r="U294" s="525"/>
    </row>
    <row r="295" spans="1:21">
      <c r="A295" s="188" t="s">
        <v>4924</v>
      </c>
      <c r="B295" s="188"/>
      <c r="D295" s="188" t="s">
        <v>489</v>
      </c>
      <c r="E295" s="605">
        <f t="shared" si="70"/>
        <v>1.0624850299401195E-2</v>
      </c>
      <c r="F295" s="525" t="s">
        <v>7941</v>
      </c>
      <c r="G295" s="525"/>
      <c r="H295" s="332"/>
      <c r="I295" s="632"/>
      <c r="J295" s="188" t="s">
        <v>489</v>
      </c>
      <c r="K295" s="605">
        <f t="shared" si="71"/>
        <v>-1.1789899387189705E-3</v>
      </c>
      <c r="L295" s="525" t="s">
        <v>7995</v>
      </c>
      <c r="M295" s="525"/>
      <c r="N295" s="525"/>
      <c r="O295" s="525"/>
      <c r="P295" s="525"/>
      <c r="Q295" s="525"/>
      <c r="R295" s="525"/>
      <c r="S295" s="525"/>
      <c r="T295" s="525"/>
      <c r="U295" s="525"/>
    </row>
    <row r="296" spans="1:21">
      <c r="A296" s="188" t="s">
        <v>4924</v>
      </c>
      <c r="B296" s="188"/>
      <c r="D296" s="188" t="s">
        <v>4351</v>
      </c>
      <c r="E296" s="605">
        <f t="shared" si="70"/>
        <v>4.4166467065868287E-3</v>
      </c>
      <c r="F296" s="525" t="s">
        <v>7942</v>
      </c>
      <c r="G296" s="525"/>
      <c r="H296" s="332"/>
      <c r="I296" s="632"/>
      <c r="J296" s="188" t="s">
        <v>4351</v>
      </c>
      <c r="K296" s="605">
        <f t="shared" si="71"/>
        <v>-1.407198658495871E-3</v>
      </c>
      <c r="L296" s="525" t="s">
        <v>7996</v>
      </c>
      <c r="M296" s="525"/>
      <c r="N296" s="525"/>
      <c r="O296" s="525"/>
      <c r="P296" s="525"/>
      <c r="Q296" s="525"/>
      <c r="R296" s="525"/>
      <c r="S296" s="525"/>
      <c r="T296" s="525"/>
      <c r="U296" s="525"/>
    </row>
    <row r="297" spans="1:21">
      <c r="A297" s="188" t="s">
        <v>4924</v>
      </c>
      <c r="B297" s="188"/>
      <c r="D297" s="188" t="s">
        <v>2981</v>
      </c>
      <c r="E297" s="605">
        <f>INDEX(cbalCSAT,2)</f>
        <v>0.80836485029940119</v>
      </c>
      <c r="F297" s="525" t="s">
        <v>7943</v>
      </c>
      <c r="G297" s="525"/>
      <c r="H297" s="332"/>
      <c r="I297" s="632"/>
      <c r="J297" s="188" t="s">
        <v>2981</v>
      </c>
      <c r="K297" s="605">
        <f>INDEX(cbalR2CSAT,2)</f>
        <v>0.83709167664670658</v>
      </c>
      <c r="L297" s="525" t="s">
        <v>7997</v>
      </c>
      <c r="M297" s="525"/>
      <c r="N297" s="525"/>
      <c r="O297" s="525"/>
      <c r="P297" s="525"/>
      <c r="Q297" s="525"/>
      <c r="R297" s="525"/>
      <c r="S297" s="525"/>
      <c r="T297" s="525"/>
      <c r="U297" s="525"/>
    </row>
    <row r="298" spans="1:21">
      <c r="A298" s="188" t="s">
        <v>4924</v>
      </c>
      <c r="B298" s="188"/>
      <c r="D298" s="188"/>
      <c r="E298" s="605"/>
      <c r="F298" s="525"/>
      <c r="G298" s="525"/>
      <c r="H298" s="332"/>
      <c r="I298" s="632"/>
      <c r="J298" s="188"/>
      <c r="K298" s="605"/>
      <c r="L298" s="525"/>
      <c r="M298" s="525"/>
      <c r="N298" s="525"/>
      <c r="O298" s="525"/>
      <c r="P298" s="525"/>
      <c r="Q298" s="525"/>
      <c r="R298" s="525"/>
      <c r="S298" s="525"/>
      <c r="T298" s="525"/>
      <c r="U298" s="525"/>
    </row>
    <row r="299" spans="1:21">
      <c r="A299" s="188" t="s">
        <v>4924</v>
      </c>
      <c r="B299" s="188"/>
      <c r="D299" s="188"/>
      <c r="E299" s="605"/>
      <c r="F299" s="525"/>
      <c r="G299" s="525"/>
      <c r="H299" s="332"/>
      <c r="I299" s="632"/>
      <c r="J299" s="188"/>
      <c r="K299" s="605"/>
      <c r="L299" s="525"/>
      <c r="M299" s="525"/>
      <c r="N299" s="525"/>
      <c r="O299" s="525"/>
      <c r="P299" s="525"/>
      <c r="Q299" s="525"/>
      <c r="R299" s="525"/>
      <c r="S299" s="525"/>
      <c r="T299" s="525"/>
      <c r="U299" s="525"/>
    </row>
    <row r="300" spans="1:21">
      <c r="A300" s="188" t="s">
        <v>4924</v>
      </c>
      <c r="B300" s="188"/>
      <c r="F300" s="281"/>
      <c r="G300" s="281"/>
      <c r="H300" s="332"/>
      <c r="I300" s="332"/>
      <c r="L300" s="281"/>
      <c r="M300" s="281"/>
      <c r="N300" s="281"/>
      <c r="O300" s="281"/>
      <c r="P300" s="281"/>
      <c r="Q300" s="281"/>
      <c r="R300" s="281"/>
      <c r="S300" s="281"/>
      <c r="T300" s="281"/>
      <c r="U300" s="281"/>
    </row>
    <row r="301" spans="1:21">
      <c r="A301" s="461"/>
      <c r="D301" s="8">
        <v>3</v>
      </c>
      <c r="E301" s="8">
        <v>5</v>
      </c>
      <c r="F301" s="281"/>
      <c r="G301" s="281"/>
      <c r="H301" s="332"/>
      <c r="I301" s="332"/>
      <c r="J301" s="8">
        <v>3</v>
      </c>
      <c r="K301" s="8">
        <v>5</v>
      </c>
      <c r="L301" s="281"/>
      <c r="M301" s="281"/>
      <c r="N301" s="281"/>
      <c r="O301" s="281"/>
      <c r="P301" s="281"/>
      <c r="Q301" s="281"/>
      <c r="R301" s="281"/>
      <c r="S301" s="281"/>
      <c r="T301" s="281"/>
      <c r="U301" s="281"/>
    </row>
    <row r="302" spans="1:21">
      <c r="A302" s="461"/>
      <c r="D302" s="8" t="s">
        <v>4352</v>
      </c>
      <c r="E302" s="603"/>
      <c r="F302" s="281"/>
      <c r="G302" s="281"/>
      <c r="H302" s="332"/>
      <c r="I302" s="630"/>
      <c r="J302" s="8" t="s">
        <v>4352</v>
      </c>
      <c r="K302" s="603"/>
      <c r="L302" s="281"/>
      <c r="M302" s="281"/>
      <c r="N302" s="281"/>
      <c r="O302" s="281"/>
      <c r="P302" s="281"/>
      <c r="Q302" s="281"/>
      <c r="R302" s="281"/>
      <c r="S302" s="281"/>
      <c r="T302" s="281"/>
      <c r="U302" s="281"/>
    </row>
    <row r="303" spans="1:21">
      <c r="A303" s="461"/>
      <c r="B303" s="8">
        <v>3</v>
      </c>
      <c r="D303" s="188" t="str">
        <f t="shared" ref="D303:D308" si="72">VLOOKUP($B303,calcTableLOB1Stars,D$42,FALSE)</f>
        <v>DOO Actions</v>
      </c>
      <c r="E303" s="605">
        <f t="shared" ref="E303:E308" si="73">VLOOKUP($B303,calcTableLOB1Stars,$E$301,FALSE)</f>
        <v>5.0000000000000044E-2</v>
      </c>
      <c r="F303" s="525"/>
      <c r="G303" s="525"/>
      <c r="H303" s="332"/>
      <c r="I303" s="632"/>
      <c r="J303" s="188" t="str">
        <f t="shared" ref="J303:J308" si="74">VLOOKUP($B303,calcR2TableLOB1Stars,J$42,FALSE)</f>
        <v>DOO Actions</v>
      </c>
      <c r="K303" s="605">
        <f t="shared" ref="K303:K308" si="75">VLOOKUP($B303,calcR2TableLOB1Stars,$E$301,FALSE)</f>
        <v>1.5000000000000013E-2</v>
      </c>
      <c r="L303" s="525" t="s">
        <v>7998</v>
      </c>
      <c r="M303" s="525"/>
      <c r="N303" s="525"/>
      <c r="O303" s="525"/>
      <c r="P303" s="525"/>
      <c r="Q303" s="525"/>
      <c r="R303" s="525"/>
      <c r="S303" s="525"/>
      <c r="T303" s="525"/>
      <c r="U303" s="525"/>
    </row>
    <row r="304" spans="1:21">
      <c r="A304" s="461"/>
      <c r="B304" s="8">
        <v>4</v>
      </c>
      <c r="D304" s="188" t="str">
        <f t="shared" si="72"/>
        <v>DOO Utilzation</v>
      </c>
      <c r="E304" s="605">
        <f t="shared" si="73"/>
        <v>0</v>
      </c>
      <c r="F304" s="525"/>
      <c r="G304" s="525"/>
      <c r="H304" s="332"/>
      <c r="I304" s="632"/>
      <c r="J304" s="188" t="str">
        <f t="shared" si="74"/>
        <v>DOO Utilzation</v>
      </c>
      <c r="K304" s="605">
        <f t="shared" si="75"/>
        <v>-1.7500000000000016E-2</v>
      </c>
      <c r="L304" s="525" t="s">
        <v>7999</v>
      </c>
      <c r="M304" s="525"/>
      <c r="N304" s="525"/>
      <c r="O304" s="525"/>
      <c r="P304" s="525"/>
      <c r="Q304" s="525"/>
      <c r="R304" s="525"/>
      <c r="S304" s="525"/>
      <c r="T304" s="525"/>
      <c r="U304" s="525"/>
    </row>
    <row r="305" spans="1:21">
      <c r="A305" s="461"/>
      <c r="B305" s="8">
        <v>5</v>
      </c>
      <c r="D305" s="188" t="str">
        <f t="shared" si="72"/>
        <v>Missed Visits</v>
      </c>
      <c r="E305" s="605">
        <f t="shared" si="73"/>
        <v>-0.02</v>
      </c>
      <c r="F305" s="525"/>
      <c r="G305" s="525"/>
      <c r="H305" s="332"/>
      <c r="I305" s="632"/>
      <c r="J305" s="188" t="str">
        <f t="shared" si="74"/>
        <v>Missed Visits</v>
      </c>
      <c r="K305" s="605">
        <f t="shared" si="75"/>
        <v>-0.01</v>
      </c>
      <c r="L305" s="525" t="s">
        <v>8000</v>
      </c>
      <c r="M305" s="525"/>
      <c r="N305" s="525"/>
      <c r="O305" s="525"/>
      <c r="P305" s="525"/>
      <c r="Q305" s="525"/>
      <c r="R305" s="525"/>
      <c r="S305" s="525"/>
      <c r="T305" s="525"/>
      <c r="U305" s="525"/>
    </row>
    <row r="306" spans="1:21">
      <c r="A306" s="461"/>
      <c r="B306" s="8">
        <v>6</v>
      </c>
      <c r="D306" s="188" t="str">
        <f t="shared" si="72"/>
        <v xml:space="preserve">Clinical Utilzation </v>
      </c>
      <c r="E306" s="605">
        <f t="shared" si="73"/>
        <v>0</v>
      </c>
      <c r="F306" s="525"/>
      <c r="G306" s="525"/>
      <c r="H306" s="332"/>
      <c r="I306" s="632"/>
      <c r="J306" s="188" t="str">
        <f t="shared" si="74"/>
        <v xml:space="preserve">Clinical Utilzation </v>
      </c>
      <c r="K306" s="605">
        <f t="shared" si="75"/>
        <v>0</v>
      </c>
      <c r="L306" s="525" t="s">
        <v>8001</v>
      </c>
      <c r="M306" s="525"/>
      <c r="N306" s="525"/>
      <c r="O306" s="525"/>
      <c r="P306" s="525"/>
      <c r="Q306" s="525"/>
      <c r="R306" s="525"/>
      <c r="S306" s="525"/>
      <c r="T306" s="525"/>
      <c r="U306" s="525"/>
    </row>
    <row r="307" spans="1:21">
      <c r="A307" s="461"/>
      <c r="B307" s="8">
        <v>7</v>
      </c>
      <c r="D307" s="188" t="str">
        <f t="shared" si="72"/>
        <v>Employee Engagement</v>
      </c>
      <c r="E307" s="605">
        <f t="shared" si="73"/>
        <v>1.0199999999999987E-2</v>
      </c>
      <c r="F307" s="525"/>
      <c r="G307" s="525"/>
      <c r="H307" s="332"/>
      <c r="I307" s="632"/>
      <c r="J307" s="188" t="str">
        <f t="shared" si="74"/>
        <v>Employee Engagement</v>
      </c>
      <c r="K307" s="605">
        <f t="shared" si="75"/>
        <v>-2.6000000000000246E-3</v>
      </c>
      <c r="L307" s="525" t="s">
        <v>8002</v>
      </c>
      <c r="M307" s="525"/>
      <c r="N307" s="525"/>
      <c r="O307" s="525"/>
      <c r="P307" s="525"/>
      <c r="Q307" s="525"/>
      <c r="R307" s="525"/>
      <c r="S307" s="525"/>
      <c r="T307" s="525"/>
      <c r="U307" s="525"/>
    </row>
    <row r="308" spans="1:21">
      <c r="A308" s="461"/>
      <c r="B308" s="8">
        <v>9</v>
      </c>
      <c r="D308" s="188" t="str">
        <f t="shared" si="72"/>
        <v>Clinical Quality</v>
      </c>
      <c r="E308" s="605">
        <f t="shared" si="73"/>
        <v>0.82020000000000004</v>
      </c>
      <c r="F308" s="525"/>
      <c r="G308" s="525"/>
      <c r="H308" s="332"/>
      <c r="I308" s="632"/>
      <c r="J308" s="188">
        <f t="shared" si="74"/>
        <v>1</v>
      </c>
      <c r="K308" s="605">
        <f t="shared" si="75"/>
        <v>0.74979999999999991</v>
      </c>
      <c r="L308" s="525" t="s">
        <v>8003</v>
      </c>
      <c r="M308" s="525"/>
      <c r="N308" s="525"/>
      <c r="O308" s="525"/>
      <c r="P308" s="525"/>
      <c r="Q308" s="525"/>
      <c r="R308" s="525"/>
      <c r="S308" s="525"/>
      <c r="T308" s="525"/>
      <c r="U308" s="525"/>
    </row>
    <row r="309" spans="1:21">
      <c r="A309" s="461"/>
      <c r="D309" s="188"/>
      <c r="E309" s="605"/>
      <c r="F309" s="525"/>
      <c r="G309" s="525"/>
      <c r="H309" s="332"/>
      <c r="I309" s="632"/>
      <c r="J309" s="188"/>
      <c r="K309" s="605"/>
      <c r="L309" s="525"/>
      <c r="M309" s="525"/>
      <c r="N309" s="525"/>
      <c r="O309" s="525"/>
      <c r="P309" s="525"/>
      <c r="Q309" s="525"/>
      <c r="R309" s="525"/>
      <c r="S309" s="525"/>
      <c r="T309" s="525"/>
      <c r="U309" s="525"/>
    </row>
    <row r="310" spans="1:21">
      <c r="A310" s="478"/>
      <c r="D310" s="8">
        <v>3</v>
      </c>
      <c r="E310" s="8">
        <v>5</v>
      </c>
      <c r="F310" s="281"/>
      <c r="G310" s="281"/>
      <c r="H310" s="332"/>
      <c r="I310" s="332"/>
      <c r="J310" s="8">
        <v>3</v>
      </c>
      <c r="K310" s="8">
        <v>5</v>
      </c>
      <c r="L310" s="281"/>
      <c r="M310" s="281"/>
      <c r="N310" s="281"/>
      <c r="O310" s="281"/>
      <c r="P310" s="281"/>
      <c r="Q310" s="281"/>
      <c r="R310" s="281"/>
      <c r="S310" s="281"/>
      <c r="T310" s="281"/>
      <c r="U310" s="281"/>
    </row>
    <row r="311" spans="1:21">
      <c r="A311" s="478"/>
      <c r="D311" s="8" t="s">
        <v>4352</v>
      </c>
      <c r="E311" s="603"/>
      <c r="F311" s="281"/>
      <c r="G311" s="281"/>
      <c r="H311" s="332"/>
      <c r="I311" s="630"/>
      <c r="J311" s="8" t="s">
        <v>4352</v>
      </c>
      <c r="K311" s="603"/>
      <c r="L311" s="281"/>
      <c r="M311" s="281"/>
      <c r="N311" s="281"/>
      <c r="O311" s="281"/>
      <c r="P311" s="281"/>
      <c r="Q311" s="281"/>
      <c r="R311" s="281"/>
      <c r="S311" s="281"/>
      <c r="T311" s="281"/>
      <c r="U311" s="281"/>
    </row>
    <row r="312" spans="1:21">
      <c r="A312" s="478"/>
      <c r="B312" s="8">
        <v>3</v>
      </c>
      <c r="D312" s="188" t="str">
        <f t="shared" ref="D312:D317" si="76">VLOOKUP($B312,calcTableLOB2Stars,D$42,FALSE)</f>
        <v>DOO Actions</v>
      </c>
      <c r="E312" s="605">
        <f t="shared" ref="E312:E317" si="77">VLOOKUP($B312,calcTableLOB2Stars,$E$310,FALSE)</f>
        <v>6.0000000000000053E-2</v>
      </c>
      <c r="F312" s="525"/>
      <c r="G312" s="525"/>
      <c r="H312" s="332"/>
      <c r="I312" s="632"/>
      <c r="J312" s="188" t="str">
        <f t="shared" ref="J312:J317" si="78">VLOOKUP($B312,calcR2TableLOB2Stars,J$42,FALSE)</f>
        <v>DOO Actions</v>
      </c>
      <c r="K312" s="605">
        <f t="shared" ref="K312:K317" si="79">VLOOKUP($B312,calcR2TableLOB2Stars,$E$310,FALSE)</f>
        <v>1.5000000000000013E-2</v>
      </c>
      <c r="L312" s="525" t="s">
        <v>8004</v>
      </c>
      <c r="M312" s="525"/>
      <c r="N312" s="525"/>
      <c r="O312" s="525"/>
      <c r="P312" s="525"/>
      <c r="Q312" s="525"/>
      <c r="R312" s="525"/>
      <c r="S312" s="525"/>
      <c r="T312" s="525"/>
      <c r="U312" s="525"/>
    </row>
    <row r="313" spans="1:21">
      <c r="A313" s="478"/>
      <c r="B313" s="8">
        <v>4</v>
      </c>
      <c r="D313" s="188" t="str">
        <f t="shared" si="76"/>
        <v>DOO Utilzation</v>
      </c>
      <c r="E313" s="605">
        <f t="shared" si="77"/>
        <v>0</v>
      </c>
      <c r="F313" s="525"/>
      <c r="G313" s="525"/>
      <c r="H313" s="332"/>
      <c r="I313" s="632"/>
      <c r="J313" s="188" t="str">
        <f t="shared" si="78"/>
        <v>DOO Utilzation</v>
      </c>
      <c r="K313" s="605">
        <f t="shared" si="79"/>
        <v>-7.5000000000000067E-3</v>
      </c>
      <c r="L313" s="525" t="s">
        <v>8005</v>
      </c>
      <c r="M313" s="525"/>
      <c r="N313" s="525"/>
      <c r="O313" s="525"/>
      <c r="P313" s="525"/>
      <c r="Q313" s="525"/>
      <c r="R313" s="525"/>
      <c r="S313" s="525"/>
      <c r="T313" s="525"/>
      <c r="U313" s="525"/>
    </row>
    <row r="314" spans="1:21">
      <c r="A314" s="478"/>
      <c r="B314" s="8">
        <v>5</v>
      </c>
      <c r="D314" s="188" t="str">
        <f t="shared" si="76"/>
        <v>Missed Visits</v>
      </c>
      <c r="E314" s="605">
        <f t="shared" si="77"/>
        <v>-0.03</v>
      </c>
      <c r="F314" s="525"/>
      <c r="G314" s="525"/>
      <c r="H314" s="332"/>
      <c r="I314" s="632"/>
      <c r="J314" s="188" t="str">
        <f t="shared" si="78"/>
        <v>Missed Visits</v>
      </c>
      <c r="K314" s="605">
        <f t="shared" si="79"/>
        <v>-0.02</v>
      </c>
      <c r="L314" s="525" t="s">
        <v>8006</v>
      </c>
      <c r="M314" s="525"/>
      <c r="N314" s="525"/>
      <c r="O314" s="525"/>
      <c r="P314" s="525"/>
      <c r="Q314" s="525"/>
      <c r="R314" s="525"/>
      <c r="S314" s="525"/>
      <c r="T314" s="525"/>
      <c r="U314" s="525"/>
    </row>
    <row r="315" spans="1:21">
      <c r="A315" s="478"/>
      <c r="B315" s="8">
        <v>6</v>
      </c>
      <c r="D315" s="188">
        <f t="shared" si="76"/>
        <v>0</v>
      </c>
      <c r="E315" s="605">
        <f t="shared" si="77"/>
        <v>0</v>
      </c>
      <c r="F315" s="525"/>
      <c r="G315" s="525"/>
      <c r="H315" s="332"/>
      <c r="I315" s="632"/>
      <c r="J315" s="188">
        <f t="shared" si="78"/>
        <v>0</v>
      </c>
      <c r="K315" s="605">
        <f t="shared" si="79"/>
        <v>0</v>
      </c>
      <c r="L315" s="525" t="s">
        <v>8007</v>
      </c>
      <c r="M315" s="525"/>
      <c r="N315" s="525"/>
      <c r="O315" s="525"/>
      <c r="P315" s="525"/>
      <c r="Q315" s="525"/>
      <c r="R315" s="525"/>
      <c r="S315" s="525"/>
      <c r="T315" s="525"/>
      <c r="U315" s="525"/>
    </row>
    <row r="316" spans="1:21">
      <c r="A316" s="478"/>
      <c r="B316" s="8">
        <v>7</v>
      </c>
      <c r="D316" s="188" t="str">
        <f t="shared" si="76"/>
        <v>Employee Engagement</v>
      </c>
      <c r="E316" s="605">
        <f t="shared" si="77"/>
        <v>2.4000000000000021E-2</v>
      </c>
      <c r="F316" s="525"/>
      <c r="G316" s="525"/>
      <c r="H316" s="332"/>
      <c r="I316" s="632"/>
      <c r="J316" s="188" t="str">
        <f t="shared" si="78"/>
        <v>Employee Engagement</v>
      </c>
      <c r="K316" s="605">
        <f t="shared" si="79"/>
        <v>9.7663000649816922E-4</v>
      </c>
      <c r="L316" s="525" t="s">
        <v>8008</v>
      </c>
      <c r="M316" s="525"/>
      <c r="N316" s="525"/>
      <c r="O316" s="525"/>
      <c r="P316" s="525"/>
      <c r="Q316" s="525"/>
      <c r="R316" s="525"/>
      <c r="S316" s="525"/>
      <c r="T316" s="525"/>
      <c r="U316" s="525"/>
    </row>
    <row r="317" spans="1:21">
      <c r="A317" s="478"/>
      <c r="B317" s="8">
        <v>9</v>
      </c>
      <c r="D317" s="188" t="str">
        <f t="shared" si="76"/>
        <v>Clinical Quality</v>
      </c>
      <c r="E317" s="605">
        <f t="shared" si="77"/>
        <v>0.754</v>
      </c>
      <c r="F317" s="525"/>
      <c r="G317" s="525"/>
      <c r="H317" s="332"/>
      <c r="I317" s="632"/>
      <c r="J317" s="188" t="str">
        <f t="shared" si="78"/>
        <v>Clinical Quality</v>
      </c>
      <c r="K317" s="605">
        <f t="shared" si="79"/>
        <v>0.74217663000649803</v>
      </c>
      <c r="L317" s="525" t="s">
        <v>8009</v>
      </c>
      <c r="M317" s="525"/>
      <c r="N317" s="525"/>
      <c r="O317" s="525"/>
      <c r="P317" s="525"/>
      <c r="Q317" s="525"/>
      <c r="R317" s="525"/>
      <c r="S317" s="525"/>
      <c r="T317" s="525"/>
      <c r="U317" s="525"/>
    </row>
    <row r="318" spans="1:21">
      <c r="A318" s="478"/>
      <c r="D318" s="188"/>
      <c r="E318" s="605"/>
      <c r="F318" s="525"/>
      <c r="G318" s="525"/>
      <c r="H318" s="332"/>
      <c r="I318" s="632"/>
      <c r="J318" s="188"/>
      <c r="K318" s="605"/>
      <c r="L318" s="525"/>
      <c r="M318" s="525"/>
      <c r="N318" s="525"/>
      <c r="O318" s="525"/>
      <c r="P318" s="525"/>
      <c r="Q318" s="525"/>
      <c r="R318" s="525"/>
      <c r="S318" s="525"/>
      <c r="T318" s="525"/>
      <c r="U318" s="525"/>
    </row>
    <row r="319" spans="1:21">
      <c r="A319" s="478"/>
      <c r="F319" s="281"/>
      <c r="G319" s="281"/>
      <c r="H319" s="332"/>
      <c r="I319" s="332"/>
      <c r="L319" s="281"/>
      <c r="M319" s="281"/>
      <c r="N319" s="281"/>
      <c r="O319" s="281"/>
      <c r="P319" s="281"/>
      <c r="Q319" s="281"/>
      <c r="R319" s="281"/>
      <c r="S319" s="281"/>
      <c r="T319" s="281"/>
      <c r="U319" s="281"/>
    </row>
    <row r="320" spans="1:21">
      <c r="A320" s="188" t="s">
        <v>4924</v>
      </c>
      <c r="B320" s="188"/>
      <c r="F320" s="281"/>
      <c r="G320" s="281"/>
      <c r="H320" s="332"/>
      <c r="I320" s="332"/>
      <c r="L320" s="281"/>
      <c r="M320" s="281"/>
      <c r="N320" s="281"/>
      <c r="O320" s="281"/>
      <c r="P320" s="281"/>
      <c r="Q320" s="281"/>
      <c r="R320" s="281"/>
      <c r="S320" s="281"/>
      <c r="T320" s="281"/>
      <c r="U320" s="281"/>
    </row>
    <row r="321" spans="1:21">
      <c r="A321" s="188" t="s">
        <v>4924</v>
      </c>
      <c r="B321" s="188"/>
      <c r="D321" s="8" t="s">
        <v>4352</v>
      </c>
      <c r="E321" s="603"/>
      <c r="F321" s="281"/>
      <c r="G321" s="281"/>
      <c r="H321" s="332"/>
      <c r="I321" s="630"/>
      <c r="J321" s="8" t="s">
        <v>4352</v>
      </c>
      <c r="K321" s="603"/>
      <c r="L321" s="281"/>
      <c r="M321" s="281"/>
      <c r="N321" s="281"/>
      <c r="O321" s="281"/>
      <c r="P321" s="281"/>
      <c r="Q321" s="281"/>
      <c r="R321" s="281"/>
      <c r="S321" s="281"/>
      <c r="T321" s="281"/>
      <c r="U321" s="281"/>
    </row>
    <row r="322" spans="1:21">
      <c r="A322" s="188" t="s">
        <v>4924</v>
      </c>
      <c r="B322" s="188"/>
      <c r="D322" s="188" t="s">
        <v>2980</v>
      </c>
      <c r="E322" s="605">
        <f>(E303*$E$271+E312*$E$272)/($E$271+$E$272)</f>
        <v>5.2874251497006038E-2</v>
      </c>
      <c r="F322" s="525" t="s">
        <v>7944</v>
      </c>
      <c r="G322" s="525"/>
      <c r="H322" s="332"/>
      <c r="I322" s="632"/>
      <c r="J322" s="188" t="s">
        <v>2980</v>
      </c>
      <c r="K322" s="605">
        <f>(K303*$K$271+K312*$K$272)/($K$271+$K$272)</f>
        <v>1.5000000000000015E-2</v>
      </c>
      <c r="L322" s="525" t="s">
        <v>8010</v>
      </c>
      <c r="M322" s="525"/>
      <c r="N322" s="525"/>
      <c r="O322" s="525"/>
      <c r="P322" s="525"/>
      <c r="Q322" s="525"/>
      <c r="R322" s="525"/>
      <c r="S322" s="525"/>
      <c r="T322" s="525"/>
      <c r="U322" s="525"/>
    </row>
    <row r="323" spans="1:21">
      <c r="A323" s="188" t="s">
        <v>4924</v>
      </c>
      <c r="B323" s="188"/>
      <c r="D323" s="188" t="s">
        <v>491</v>
      </c>
      <c r="E323" s="605">
        <f t="shared" ref="E323:E326" si="80">(E304*$E$271+E313*$E$272)/($E$271+$E$272)</f>
        <v>0</v>
      </c>
      <c r="F323" s="525" t="s">
        <v>7945</v>
      </c>
      <c r="G323" s="525"/>
      <c r="H323" s="332"/>
      <c r="I323" s="632"/>
      <c r="J323" s="188" t="s">
        <v>491</v>
      </c>
      <c r="K323" s="605">
        <f t="shared" ref="K323:K326" si="81">(K304*$K$271+K313*$K$272)/($K$271+$K$272)</f>
        <v>-1.4625748502994024E-2</v>
      </c>
      <c r="L323" s="525" t="s">
        <v>8011</v>
      </c>
      <c r="M323" s="525"/>
      <c r="N323" s="525"/>
      <c r="O323" s="525"/>
      <c r="P323" s="525"/>
      <c r="Q323" s="525"/>
      <c r="R323" s="525"/>
      <c r="S323" s="525"/>
      <c r="T323" s="525"/>
      <c r="U323" s="525"/>
    </row>
    <row r="324" spans="1:21">
      <c r="A324" s="188" t="s">
        <v>4924</v>
      </c>
      <c r="B324" s="188"/>
      <c r="D324" s="188" t="s">
        <v>1615</v>
      </c>
      <c r="E324" s="605">
        <f t="shared" si="80"/>
        <v>-2.287425149700599E-2</v>
      </c>
      <c r="F324" s="525" t="s">
        <v>7946</v>
      </c>
      <c r="G324" s="525"/>
      <c r="H324" s="332"/>
      <c r="I324" s="632"/>
      <c r="J324" s="188" t="s">
        <v>1615</v>
      </c>
      <c r="K324" s="605">
        <f t="shared" si="81"/>
        <v>-1.2874251497005988E-2</v>
      </c>
      <c r="L324" s="525" t="s">
        <v>8012</v>
      </c>
      <c r="M324" s="525"/>
      <c r="N324" s="525"/>
      <c r="O324" s="525"/>
      <c r="P324" s="525"/>
      <c r="Q324" s="525"/>
      <c r="R324" s="525"/>
      <c r="S324" s="525"/>
      <c r="T324" s="525"/>
      <c r="U324" s="525"/>
    </row>
    <row r="325" spans="1:21">
      <c r="A325" s="188" t="s">
        <v>4924</v>
      </c>
      <c r="B325" s="188"/>
      <c r="D325" s="188" t="s">
        <v>3351</v>
      </c>
      <c r="E325" s="605">
        <f t="shared" si="80"/>
        <v>0</v>
      </c>
      <c r="F325" s="525" t="s">
        <v>7947</v>
      </c>
      <c r="G325" s="525"/>
      <c r="H325" s="332"/>
      <c r="I325" s="632"/>
      <c r="J325" s="188" t="s">
        <v>3351</v>
      </c>
      <c r="K325" s="605">
        <f t="shared" si="81"/>
        <v>0</v>
      </c>
      <c r="L325" s="525" t="s">
        <v>8013</v>
      </c>
      <c r="M325" s="525"/>
      <c r="N325" s="525"/>
      <c r="O325" s="525"/>
      <c r="P325" s="525"/>
      <c r="Q325" s="525"/>
      <c r="R325" s="525"/>
      <c r="S325" s="525"/>
      <c r="T325" s="525"/>
      <c r="U325" s="525"/>
    </row>
    <row r="326" spans="1:21">
      <c r="A326" s="188" t="s">
        <v>4924</v>
      </c>
      <c r="B326" s="188"/>
      <c r="D326" s="188" t="s">
        <v>489</v>
      </c>
      <c r="E326" s="605">
        <f t="shared" si="80"/>
        <v>1.4166467065868259E-2</v>
      </c>
      <c r="F326" s="525" t="s">
        <v>7948</v>
      </c>
      <c r="G326" s="525"/>
      <c r="H326" s="332"/>
      <c r="I326" s="632"/>
      <c r="J326" s="188" t="s">
        <v>489</v>
      </c>
      <c r="K326" s="605">
        <f t="shared" si="81"/>
        <v>-1.5719865849586276E-3</v>
      </c>
      <c r="L326" s="525" t="s">
        <v>8014</v>
      </c>
      <c r="M326" s="525"/>
      <c r="N326" s="525"/>
      <c r="O326" s="525"/>
      <c r="P326" s="525"/>
      <c r="Q326" s="525"/>
      <c r="R326" s="525"/>
      <c r="S326" s="525"/>
      <c r="T326" s="525"/>
      <c r="U326" s="525"/>
    </row>
    <row r="327" spans="1:21">
      <c r="A327" s="188" t="s">
        <v>4924</v>
      </c>
      <c r="B327" s="188"/>
      <c r="D327" s="188" t="s">
        <v>2981</v>
      </c>
      <c r="E327" s="605">
        <f>INDEX(cbalStars,2)</f>
        <v>0.80117245508982038</v>
      </c>
      <c r="F327" s="525" t="s">
        <v>7949</v>
      </c>
      <c r="G327" s="525"/>
      <c r="H327" s="332"/>
      <c r="I327" s="632"/>
      <c r="J327" s="188" t="s">
        <v>2981</v>
      </c>
      <c r="K327" s="605">
        <f>INDEX(cbalR2Stars,2)</f>
        <v>0.79288083832335332</v>
      </c>
      <c r="L327" s="525" t="s">
        <v>8015</v>
      </c>
      <c r="M327" s="525"/>
      <c r="N327" s="525"/>
      <c r="O327" s="525"/>
      <c r="P327" s="525"/>
      <c r="Q327" s="525"/>
      <c r="R327" s="525"/>
      <c r="S327" s="525"/>
      <c r="T327" s="525"/>
      <c r="U327" s="525"/>
    </row>
    <row r="328" spans="1:21">
      <c r="A328" s="188" t="s">
        <v>4924</v>
      </c>
      <c r="B328" s="188"/>
      <c r="D328" s="188"/>
      <c r="E328" s="605"/>
      <c r="F328" s="525"/>
      <c r="G328" s="525"/>
      <c r="H328" s="332"/>
      <c r="I328" s="632"/>
      <c r="J328" s="188"/>
      <c r="K328" s="605"/>
      <c r="L328" s="525"/>
      <c r="M328" s="525"/>
      <c r="N328" s="525"/>
      <c r="O328" s="525"/>
      <c r="P328" s="525"/>
      <c r="Q328" s="525"/>
      <c r="R328" s="525"/>
      <c r="S328" s="525"/>
      <c r="T328" s="525"/>
      <c r="U328" s="525"/>
    </row>
    <row r="329" spans="1:21">
      <c r="A329" s="188" t="s">
        <v>4924</v>
      </c>
      <c r="B329" s="188"/>
      <c r="F329" s="281"/>
      <c r="G329" s="281"/>
      <c r="H329" s="332"/>
      <c r="I329" s="332"/>
      <c r="L329" s="281"/>
      <c r="M329" s="281"/>
      <c r="N329" s="281"/>
      <c r="O329" s="281"/>
      <c r="P329" s="281"/>
      <c r="Q329" s="281"/>
      <c r="R329" s="281"/>
      <c r="S329" s="281"/>
      <c r="T329" s="281"/>
      <c r="U329" s="281"/>
    </row>
    <row r="330" spans="1:21">
      <c r="A330" s="461"/>
      <c r="D330" s="8">
        <v>3</v>
      </c>
      <c r="E330" s="8">
        <v>5</v>
      </c>
      <c r="F330" s="281"/>
      <c r="G330" s="281"/>
      <c r="H330" s="332"/>
      <c r="I330" s="332"/>
      <c r="J330" s="8">
        <v>3</v>
      </c>
      <c r="K330" s="8">
        <v>5</v>
      </c>
      <c r="L330" s="281"/>
      <c r="M330" s="281"/>
      <c r="N330" s="281"/>
      <c r="O330" s="281"/>
      <c r="P330" s="281"/>
      <c r="Q330" s="281"/>
      <c r="R330" s="281"/>
      <c r="S330" s="281"/>
      <c r="T330" s="281"/>
      <c r="U330" s="281"/>
    </row>
    <row r="331" spans="1:21">
      <c r="A331" s="461"/>
      <c r="D331" s="8" t="s">
        <v>489</v>
      </c>
      <c r="E331" s="603"/>
      <c r="F331" s="281"/>
      <c r="G331" s="281"/>
      <c r="H331" s="332"/>
      <c r="I331" s="630"/>
      <c r="J331" s="8" t="s">
        <v>489</v>
      </c>
      <c r="K331" s="603"/>
      <c r="L331" s="281"/>
      <c r="M331" s="281"/>
      <c r="N331" s="281"/>
      <c r="O331" s="281"/>
      <c r="P331" s="281"/>
      <c r="Q331" s="281"/>
      <c r="R331" s="281"/>
      <c r="S331" s="281"/>
      <c r="T331" s="281"/>
      <c r="U331" s="281"/>
    </row>
    <row r="332" spans="1:21">
      <c r="A332" s="461"/>
      <c r="B332" s="8">
        <v>3</v>
      </c>
      <c r="D332" s="188" t="str">
        <f>VLOOKUP($B332,calcTableLOB1ESAT,D$42,FALSE)</f>
        <v>DOO Actions</v>
      </c>
      <c r="E332" s="605">
        <f>VLOOKUP($B332,calcTableLOB1ESAT,$E$330,FALSE)</f>
        <v>1.0500000000000009E-2</v>
      </c>
      <c r="F332" s="525"/>
      <c r="G332" s="525"/>
      <c r="H332" s="332"/>
      <c r="I332" s="632"/>
      <c r="J332" s="188" t="str">
        <f>VLOOKUP($B332,calcR2TableLOB1ESAT,J$42,FALSE)</f>
        <v>DOO Actions</v>
      </c>
      <c r="K332" s="605">
        <f>VLOOKUP($B332,calcR2TableLOB1ESAT,$E$330,FALSE)</f>
        <v>3.5000000000000027E-3</v>
      </c>
      <c r="L332" s="525" t="s">
        <v>8016</v>
      </c>
      <c r="M332" s="525"/>
      <c r="N332" s="525"/>
      <c r="O332" s="525"/>
      <c r="P332" s="525"/>
      <c r="Q332" s="525"/>
      <c r="R332" s="525"/>
      <c r="S332" s="525"/>
      <c r="T332" s="525"/>
      <c r="U332" s="525"/>
    </row>
    <row r="333" spans="1:21">
      <c r="A333" s="461"/>
      <c r="B333" s="8">
        <v>4</v>
      </c>
      <c r="D333" s="188" t="str">
        <f>VLOOKUP($B333,calcTableLOB1ESAT,D$42,FALSE)</f>
        <v>People Development Time</v>
      </c>
      <c r="E333" s="605">
        <f>VLOOKUP($B333,calcTableLOB1ESAT,$E$330,FALSE)</f>
        <v>1.4999999999999999E-2</v>
      </c>
      <c r="F333" s="525"/>
      <c r="G333" s="525"/>
      <c r="H333" s="332"/>
      <c r="I333" s="632"/>
      <c r="J333" s="188" t="str">
        <f>VLOOKUP($B333,calcR2TableLOB1ESAT,J$42,FALSE)</f>
        <v>People Development Time</v>
      </c>
      <c r="K333" s="605">
        <f>VLOOKUP($B333,calcR2TableLOB1ESAT,$E$330,FALSE)</f>
        <v>2.5000000000000001E-2</v>
      </c>
      <c r="L333" s="525" t="s">
        <v>8017</v>
      </c>
      <c r="M333" s="525"/>
      <c r="N333" s="525"/>
      <c r="O333" s="525"/>
      <c r="P333" s="525"/>
      <c r="Q333" s="525"/>
      <c r="R333" s="525"/>
      <c r="S333" s="525"/>
      <c r="T333" s="525"/>
      <c r="U333" s="525"/>
    </row>
    <row r="334" spans="1:21">
      <c r="A334" s="461"/>
      <c r="B334" s="8">
        <v>5</v>
      </c>
      <c r="D334" s="188" t="str">
        <f>VLOOKUP($B334,calcTableLOB1ESAT,D$42,FALSE)</f>
        <v>DOO Utilzation</v>
      </c>
      <c r="E334" s="605">
        <f>VLOOKUP($B334,calcTableLOB1ESAT,$E$330,FALSE)</f>
        <v>0</v>
      </c>
      <c r="F334" s="525"/>
      <c r="G334" s="525"/>
      <c r="H334" s="332"/>
      <c r="I334" s="632"/>
      <c r="J334" s="188" t="str">
        <f>VLOOKUP($B334,calcR2TableLOB1ESAT,J$42,FALSE)</f>
        <v>DOO Utilzation</v>
      </c>
      <c r="K334" s="605">
        <f>VLOOKUP($B334,calcR2TableLOB1ESAT,$E$330,FALSE)</f>
        <v>-3.5000000000000031E-2</v>
      </c>
      <c r="L334" s="525" t="s">
        <v>8018</v>
      </c>
      <c r="M334" s="525"/>
      <c r="N334" s="525"/>
      <c r="O334" s="525"/>
      <c r="P334" s="525"/>
      <c r="Q334" s="525"/>
      <c r="R334" s="525"/>
      <c r="S334" s="525"/>
      <c r="T334" s="525"/>
      <c r="U334" s="525"/>
    </row>
    <row r="335" spans="1:21">
      <c r="A335" s="461"/>
      <c r="B335" s="8">
        <v>6</v>
      </c>
      <c r="D335" s="188" t="str">
        <f>VLOOKUP($B335,calcTableLOB1ESAT,D$42,FALSE)</f>
        <v>DOO Staff Modification</v>
      </c>
      <c r="E335" s="605">
        <f>VLOOKUP($B335,calcTableLOB1ESAT,$E$330,FALSE)</f>
        <v>0</v>
      </c>
      <c r="F335" s="525"/>
      <c r="G335" s="525"/>
      <c r="H335" s="332"/>
      <c r="I335" s="632"/>
      <c r="J335" s="188" t="str">
        <f>VLOOKUP($B335,calcR2TableLOB1ESAT,J$42,FALSE)</f>
        <v>DOO Staff Modification</v>
      </c>
      <c r="K335" s="605">
        <f>VLOOKUP($B335,calcR2TableLOB1ESAT,$E$330,FALSE)</f>
        <v>0</v>
      </c>
      <c r="L335" s="525" t="s">
        <v>8018</v>
      </c>
      <c r="M335" s="525"/>
      <c r="N335" s="525"/>
      <c r="O335" s="525"/>
      <c r="P335" s="525"/>
      <c r="Q335" s="525"/>
      <c r="R335" s="525"/>
      <c r="S335" s="525"/>
      <c r="T335" s="525"/>
      <c r="U335" s="525"/>
    </row>
    <row r="336" spans="1:21">
      <c r="A336" s="461"/>
      <c r="B336" s="8">
        <v>7</v>
      </c>
      <c r="D336" s="188" t="str">
        <f>VLOOKUP($B336,calcTableLOB1ESAT,D$42,FALSE)</f>
        <v>Employee Engagement</v>
      </c>
      <c r="E336" s="605">
        <f>VLOOKUP($B336,calcTableLOB1ESAT,$E$330,FALSE)</f>
        <v>0.77549999999999997</v>
      </c>
      <c r="F336" s="525"/>
      <c r="G336" s="525"/>
      <c r="H336" s="332"/>
      <c r="I336" s="632"/>
      <c r="J336" s="188">
        <f>VLOOKUP($B336,calcR2TableLOB1ESAT,J$42,FALSE)</f>
        <v>1</v>
      </c>
      <c r="K336" s="605">
        <f>VLOOKUP($B336,calcR2TableLOB1ESAT,$E$330,FALSE)</f>
        <v>0.73699999999999988</v>
      </c>
      <c r="L336" s="525" t="s">
        <v>8019</v>
      </c>
      <c r="M336" s="525"/>
      <c r="N336" s="525"/>
      <c r="O336" s="525"/>
      <c r="P336" s="525"/>
      <c r="Q336" s="525"/>
      <c r="R336" s="525"/>
      <c r="S336" s="525"/>
      <c r="T336" s="525"/>
      <c r="U336" s="525"/>
    </row>
    <row r="337" spans="1:21">
      <c r="A337" s="461"/>
      <c r="D337" s="188"/>
      <c r="E337" s="605"/>
      <c r="F337" s="525"/>
      <c r="G337" s="525"/>
      <c r="H337" s="332"/>
      <c r="I337" s="632"/>
      <c r="J337" s="188"/>
      <c r="K337" s="605"/>
      <c r="L337" s="525"/>
      <c r="M337" s="525"/>
      <c r="N337" s="525"/>
      <c r="O337" s="525"/>
      <c r="P337" s="525"/>
      <c r="Q337" s="525"/>
      <c r="R337" s="525"/>
      <c r="S337" s="525"/>
      <c r="T337" s="525"/>
      <c r="U337" s="525"/>
    </row>
    <row r="338" spans="1:21">
      <c r="A338" s="461"/>
      <c r="D338" s="188"/>
      <c r="E338" s="605"/>
      <c r="F338" s="525"/>
      <c r="G338" s="525"/>
      <c r="H338" s="332"/>
      <c r="I338" s="632"/>
      <c r="J338" s="188"/>
      <c r="K338" s="605"/>
      <c r="L338" s="525"/>
      <c r="M338" s="525"/>
      <c r="N338" s="525"/>
      <c r="O338" s="525"/>
      <c r="P338" s="525"/>
      <c r="Q338" s="525"/>
      <c r="R338" s="525"/>
      <c r="S338" s="525"/>
      <c r="T338" s="525"/>
      <c r="U338" s="525"/>
    </row>
    <row r="339" spans="1:21">
      <c r="A339" s="461"/>
      <c r="D339" s="188"/>
      <c r="E339" s="605"/>
      <c r="F339" s="525"/>
      <c r="G339" s="525"/>
      <c r="H339" s="332"/>
      <c r="I339" s="632"/>
      <c r="J339" s="188"/>
      <c r="K339" s="605"/>
      <c r="L339" s="525"/>
      <c r="M339" s="525"/>
      <c r="N339" s="525"/>
      <c r="O339" s="525"/>
      <c r="P339" s="525"/>
      <c r="Q339" s="525"/>
      <c r="R339" s="525"/>
      <c r="S339" s="525"/>
      <c r="T339" s="525"/>
      <c r="U339" s="525"/>
    </row>
    <row r="340" spans="1:21">
      <c r="A340" s="478"/>
      <c r="D340" s="8">
        <v>3</v>
      </c>
      <c r="E340" s="8">
        <v>5</v>
      </c>
      <c r="F340" s="281"/>
      <c r="G340" s="281"/>
      <c r="H340" s="332"/>
      <c r="I340" s="332"/>
      <c r="J340" s="8">
        <v>3</v>
      </c>
      <c r="K340" s="8">
        <v>5</v>
      </c>
      <c r="L340" s="281"/>
      <c r="M340" s="281"/>
      <c r="N340" s="281"/>
      <c r="O340" s="281"/>
      <c r="P340" s="281"/>
      <c r="Q340" s="281"/>
      <c r="R340" s="281"/>
      <c r="S340" s="281"/>
      <c r="T340" s="281"/>
      <c r="U340" s="281"/>
    </row>
    <row r="341" spans="1:21">
      <c r="A341" s="478"/>
      <c r="D341" s="8" t="s">
        <v>489</v>
      </c>
      <c r="E341" s="603"/>
      <c r="F341" s="281"/>
      <c r="G341" s="281"/>
      <c r="H341" s="332"/>
      <c r="I341" s="630"/>
      <c r="J341" s="8" t="s">
        <v>489</v>
      </c>
      <c r="K341" s="603"/>
      <c r="L341" s="281"/>
      <c r="M341" s="281"/>
      <c r="N341" s="281"/>
      <c r="O341" s="281"/>
      <c r="P341" s="281"/>
      <c r="Q341" s="281"/>
      <c r="R341" s="281"/>
      <c r="S341" s="281"/>
      <c r="T341" s="281"/>
      <c r="U341" s="281"/>
    </row>
    <row r="342" spans="1:21">
      <c r="A342" s="478"/>
      <c r="B342" s="8">
        <v>3</v>
      </c>
      <c r="D342" s="188" t="str">
        <f>VLOOKUP($B342,calcTableLOB2ESAT,D$42,FALSE)</f>
        <v>DOO Actions</v>
      </c>
      <c r="E342" s="605">
        <f>VLOOKUP($B342,calcTableLOB2ESAT,$E$340,FALSE)</f>
        <v>3.5000000000000031E-2</v>
      </c>
      <c r="F342" s="525"/>
      <c r="G342" s="525"/>
      <c r="H342" s="332"/>
      <c r="I342" s="632"/>
      <c r="J342" s="188" t="str">
        <f>VLOOKUP($B342,calcR2TableLOB2ESAT,J$42,FALSE)</f>
        <v>DOO Actions</v>
      </c>
      <c r="K342" s="605">
        <f>VLOOKUP($B342,calcR2TableLOB2ESAT,$E$340,FALSE)</f>
        <v>2.8000000000000021E-2</v>
      </c>
      <c r="L342" s="525" t="s">
        <v>8020</v>
      </c>
      <c r="M342" s="525"/>
      <c r="N342" s="525"/>
      <c r="O342" s="525"/>
      <c r="P342" s="525"/>
      <c r="Q342" s="525"/>
      <c r="R342" s="525"/>
      <c r="S342" s="525"/>
      <c r="T342" s="525"/>
      <c r="U342" s="525"/>
    </row>
    <row r="343" spans="1:21">
      <c r="A343" s="478"/>
      <c r="B343" s="8">
        <v>4</v>
      </c>
      <c r="D343" s="188" t="str">
        <f>VLOOKUP($B343,calcTableLOB2ESAT,D$42,FALSE)</f>
        <v>People Development Time</v>
      </c>
      <c r="E343" s="605">
        <f>VLOOKUP($B343,calcTableLOB2ESAT,$E$340,FALSE)</f>
        <v>2.5000000000000001E-2</v>
      </c>
      <c r="F343" s="525"/>
      <c r="G343" s="525"/>
      <c r="H343" s="332"/>
      <c r="I343" s="632"/>
      <c r="J343" s="188" t="str">
        <f>VLOOKUP($B343,calcR2TableLOB2ESAT,J$42,FALSE)</f>
        <v>People Development Time</v>
      </c>
      <c r="K343" s="605">
        <f>VLOOKUP($B343,calcR2TableLOB2ESAT,$E$340,FALSE)</f>
        <v>0.04</v>
      </c>
      <c r="L343" s="525" t="s">
        <v>8021</v>
      </c>
      <c r="M343" s="525"/>
      <c r="N343" s="525"/>
      <c r="O343" s="525"/>
      <c r="P343" s="525"/>
      <c r="Q343" s="525"/>
      <c r="R343" s="525"/>
      <c r="S343" s="525"/>
      <c r="T343" s="525"/>
      <c r="U343" s="525"/>
    </row>
    <row r="344" spans="1:21">
      <c r="A344" s="478"/>
      <c r="B344" s="8">
        <v>5</v>
      </c>
      <c r="D344" s="188" t="str">
        <f>VLOOKUP($B344,calcTableLOB2ESAT,D$42,FALSE)</f>
        <v>DOO Utilzation</v>
      </c>
      <c r="E344" s="605">
        <f>VLOOKUP($B344,calcTableLOB2ESAT,$E$340,FALSE)</f>
        <v>0</v>
      </c>
      <c r="F344" s="525"/>
      <c r="G344" s="525"/>
      <c r="H344" s="332"/>
      <c r="I344" s="632"/>
      <c r="J344" s="188" t="str">
        <f>VLOOKUP($B344,calcR2TableLOB2ESAT,J$42,FALSE)</f>
        <v>DOO Utilzation</v>
      </c>
      <c r="K344" s="605">
        <f>VLOOKUP($B344,calcR2TableLOB2ESAT,$E$340,FALSE)</f>
        <v>-1.5000000000000013E-2</v>
      </c>
      <c r="L344" s="525" t="s">
        <v>8022</v>
      </c>
      <c r="M344" s="525"/>
      <c r="N344" s="525"/>
      <c r="O344" s="525"/>
      <c r="P344" s="525"/>
      <c r="Q344" s="525"/>
      <c r="R344" s="525"/>
      <c r="S344" s="525"/>
      <c r="T344" s="525"/>
      <c r="U344" s="525"/>
    </row>
    <row r="345" spans="1:21">
      <c r="A345" s="478"/>
      <c r="B345" s="8">
        <v>6</v>
      </c>
      <c r="D345" s="188" t="str">
        <f>VLOOKUP($B345,calcTableLOB2ESAT,D$42,FALSE)</f>
        <v>DOO Staff Modification</v>
      </c>
      <c r="E345" s="605">
        <f>VLOOKUP($B345,calcTableLOB2ESAT,$E$340,FALSE)</f>
        <v>0</v>
      </c>
      <c r="F345" s="525"/>
      <c r="G345" s="525"/>
      <c r="H345" s="332"/>
      <c r="I345" s="632"/>
      <c r="J345" s="188" t="str">
        <f>VLOOKUP($B345,calcR2TableLOB2ESAT,J$42,FALSE)</f>
        <v>DOO Staff Modification</v>
      </c>
      <c r="K345" s="605">
        <f>VLOOKUP($B345,calcR2TableLOB2ESAT,$E$340,FALSE)</f>
        <v>0</v>
      </c>
      <c r="L345" s="525" t="s">
        <v>8022</v>
      </c>
      <c r="M345" s="525"/>
      <c r="N345" s="525"/>
      <c r="O345" s="525"/>
      <c r="P345" s="525"/>
      <c r="Q345" s="525"/>
      <c r="R345" s="525"/>
      <c r="S345" s="525"/>
      <c r="T345" s="525"/>
      <c r="U345" s="525"/>
    </row>
    <row r="346" spans="1:21">
      <c r="A346" s="478"/>
      <c r="B346" s="8">
        <v>7</v>
      </c>
      <c r="D346" s="188" t="str">
        <f>VLOOKUP($B346,calcTableLOB2ESAT,D$42,FALSE)</f>
        <v>Employee Engagement</v>
      </c>
      <c r="E346" s="605">
        <f>VLOOKUP($B346,calcTableLOB2ESAT,$E$340,FALSE)</f>
        <v>0.71000000000000008</v>
      </c>
      <c r="F346" s="525"/>
      <c r="G346" s="525"/>
      <c r="H346" s="332"/>
      <c r="I346" s="632"/>
      <c r="J346" s="188">
        <f>VLOOKUP($B346,calcR2TableLOB2ESAT,J$42,FALSE)</f>
        <v>1</v>
      </c>
      <c r="K346" s="605">
        <f>VLOOKUP($B346,calcR2TableLOB2ESAT,$E$340,FALSE)</f>
        <v>0.70544157501624549</v>
      </c>
      <c r="L346" s="525" t="s">
        <v>8023</v>
      </c>
      <c r="M346" s="525"/>
      <c r="N346" s="525"/>
      <c r="O346" s="525"/>
      <c r="P346" s="525"/>
      <c r="Q346" s="525"/>
      <c r="R346" s="525"/>
      <c r="S346" s="525"/>
      <c r="T346" s="525"/>
      <c r="U346" s="525"/>
    </row>
    <row r="347" spans="1:21">
      <c r="A347" s="478"/>
      <c r="D347" s="188"/>
      <c r="E347" s="605"/>
      <c r="F347" s="525"/>
      <c r="G347" s="525"/>
      <c r="H347" s="332"/>
      <c r="I347" s="632"/>
      <c r="J347" s="188"/>
      <c r="K347" s="605"/>
      <c r="L347" s="525"/>
      <c r="M347" s="525"/>
      <c r="N347" s="525"/>
      <c r="O347" s="525"/>
      <c r="P347" s="525"/>
      <c r="Q347" s="525"/>
      <c r="R347" s="525"/>
      <c r="S347" s="525"/>
      <c r="T347" s="525"/>
      <c r="U347" s="525"/>
    </row>
    <row r="348" spans="1:21">
      <c r="A348" s="478"/>
      <c r="D348" s="188"/>
      <c r="E348" s="605"/>
      <c r="F348" s="525"/>
      <c r="G348" s="525"/>
      <c r="H348" s="332"/>
      <c r="I348" s="632"/>
      <c r="J348" s="188"/>
      <c r="K348" s="605"/>
      <c r="L348" s="525"/>
      <c r="M348" s="525"/>
      <c r="N348" s="525"/>
      <c r="O348" s="525"/>
      <c r="P348" s="525"/>
      <c r="Q348" s="525"/>
      <c r="R348" s="525"/>
      <c r="S348" s="525"/>
      <c r="T348" s="525"/>
      <c r="U348" s="525"/>
    </row>
    <row r="349" spans="1:21">
      <c r="A349" s="478"/>
      <c r="D349" s="188"/>
      <c r="E349" s="605"/>
      <c r="F349" s="525"/>
      <c r="G349" s="525"/>
      <c r="H349" s="332"/>
      <c r="I349" s="632"/>
      <c r="J349" s="188"/>
      <c r="K349" s="605"/>
      <c r="L349" s="525"/>
      <c r="M349" s="525"/>
      <c r="N349" s="525"/>
      <c r="O349" s="525"/>
      <c r="P349" s="525"/>
      <c r="Q349" s="525"/>
      <c r="R349" s="525"/>
      <c r="S349" s="525"/>
      <c r="T349" s="525"/>
      <c r="U349" s="525"/>
    </row>
    <row r="350" spans="1:21">
      <c r="A350" s="188" t="s">
        <v>4924</v>
      </c>
      <c r="B350" s="188"/>
      <c r="F350" s="281"/>
      <c r="G350" s="281"/>
      <c r="H350" s="332"/>
      <c r="I350" s="332"/>
      <c r="L350" s="281"/>
      <c r="M350" s="281"/>
      <c r="N350" s="281"/>
      <c r="O350" s="281"/>
      <c r="P350" s="281"/>
      <c r="Q350" s="281"/>
      <c r="R350" s="281"/>
      <c r="S350" s="281"/>
      <c r="T350" s="281"/>
      <c r="U350" s="281"/>
    </row>
    <row r="351" spans="1:21">
      <c r="A351" s="188" t="s">
        <v>4924</v>
      </c>
      <c r="B351" s="188"/>
      <c r="D351" s="8" t="s">
        <v>489</v>
      </c>
      <c r="E351" s="603"/>
      <c r="F351" s="281"/>
      <c r="G351" s="281"/>
      <c r="H351" s="332"/>
      <c r="I351" s="630"/>
      <c r="J351" s="8" t="s">
        <v>489</v>
      </c>
      <c r="K351" s="603"/>
      <c r="L351" s="281"/>
      <c r="M351" s="281"/>
      <c r="N351" s="281"/>
      <c r="O351" s="281"/>
      <c r="P351" s="281"/>
      <c r="Q351" s="281"/>
      <c r="R351" s="281"/>
      <c r="S351" s="281"/>
      <c r="T351" s="281"/>
      <c r="U351" s="281"/>
    </row>
    <row r="352" spans="1:21">
      <c r="A352" s="188" t="s">
        <v>4924</v>
      </c>
      <c r="B352" s="188"/>
      <c r="D352" s="188" t="s">
        <v>2980</v>
      </c>
      <c r="E352" s="605">
        <f>(E332*$E$271+E342*$E$272)/($E$271+$E$272)</f>
        <v>1.7541916167664689E-2</v>
      </c>
      <c r="F352" s="525" t="s">
        <v>7950</v>
      </c>
      <c r="G352" s="525"/>
      <c r="H352" s="332"/>
      <c r="I352" s="632"/>
      <c r="J352" s="188" t="s">
        <v>2980</v>
      </c>
      <c r="K352" s="605">
        <f>(K332*$K$271+K342*$K$272)/($K$271+$K$272)</f>
        <v>1.0541916167664679E-2</v>
      </c>
      <c r="L352" s="525" t="s">
        <v>8024</v>
      </c>
      <c r="M352" s="525"/>
      <c r="N352" s="525"/>
      <c r="O352" s="525"/>
      <c r="P352" s="525"/>
      <c r="Q352" s="525"/>
      <c r="R352" s="525"/>
      <c r="S352" s="525"/>
      <c r="T352" s="525"/>
      <c r="U352" s="525"/>
    </row>
    <row r="353" spans="1:21">
      <c r="A353" s="188" t="s">
        <v>4924</v>
      </c>
      <c r="B353" s="188"/>
      <c r="D353" s="188" t="s">
        <v>4639</v>
      </c>
      <c r="E353" s="605">
        <f>(E333*$E$271+E343*$E$272)/($E$271+$E$272)</f>
        <v>1.7874251497005986E-2</v>
      </c>
      <c r="F353" s="525" t="s">
        <v>7951</v>
      </c>
      <c r="G353" s="525"/>
      <c r="H353" s="332"/>
      <c r="I353" s="632"/>
      <c r="J353" s="188" t="s">
        <v>4639</v>
      </c>
      <c r="K353" s="605">
        <f>(K333*$K$271+K343*$K$272)/($K$271+$K$272)</f>
        <v>2.9311377245508988E-2</v>
      </c>
      <c r="L353" s="525" t="s">
        <v>8025</v>
      </c>
      <c r="M353" s="525"/>
      <c r="N353" s="525"/>
      <c r="O353" s="525"/>
      <c r="P353" s="525"/>
      <c r="Q353" s="525"/>
      <c r="R353" s="525"/>
      <c r="S353" s="525"/>
      <c r="T353" s="525"/>
      <c r="U353" s="525"/>
    </row>
    <row r="354" spans="1:21">
      <c r="A354" s="188" t="s">
        <v>4924</v>
      </c>
      <c r="B354" s="188"/>
      <c r="D354" s="188" t="s">
        <v>491</v>
      </c>
      <c r="E354" s="605">
        <f>(E334*$E$271+E344*$E$272)/($E$271+$E$272)</f>
        <v>0</v>
      </c>
      <c r="F354" s="525" t="s">
        <v>7952</v>
      </c>
      <c r="G354" s="525"/>
      <c r="H354" s="332"/>
      <c r="I354" s="632"/>
      <c r="J354" s="188" t="s">
        <v>491</v>
      </c>
      <c r="K354" s="605">
        <f>(K334*$K$271+K344*$K$272)/($K$271+$K$272)</f>
        <v>-2.9251497005988048E-2</v>
      </c>
      <c r="L354" s="525" t="s">
        <v>8026</v>
      </c>
      <c r="M354" s="525"/>
      <c r="N354" s="525"/>
      <c r="O354" s="525"/>
      <c r="P354" s="525"/>
      <c r="Q354" s="525"/>
      <c r="R354" s="525"/>
      <c r="S354" s="525"/>
      <c r="T354" s="525"/>
      <c r="U354" s="525"/>
    </row>
    <row r="355" spans="1:21">
      <c r="A355" s="188" t="s">
        <v>4924</v>
      </c>
      <c r="B355" s="188"/>
      <c r="D355" s="188" t="s">
        <v>8223</v>
      </c>
      <c r="E355" s="605">
        <f>(E335*$E$271+E345*$E$272)/($E$271+$E$272)</f>
        <v>0</v>
      </c>
      <c r="F355" s="525" t="s">
        <v>8228</v>
      </c>
      <c r="G355" s="525"/>
      <c r="H355" s="332"/>
      <c r="I355" s="632"/>
      <c r="J355" s="188" t="s">
        <v>8223</v>
      </c>
      <c r="K355" s="605">
        <f>(K335*$K$271+K345*$K$272)/($K$271+$K$272)</f>
        <v>0</v>
      </c>
      <c r="L355" s="525" t="s">
        <v>8229</v>
      </c>
      <c r="M355" s="525"/>
      <c r="N355" s="525"/>
      <c r="O355" s="525"/>
      <c r="P355" s="525"/>
      <c r="Q355" s="525"/>
      <c r="R355" s="525"/>
      <c r="S355" s="525"/>
      <c r="T355" s="525"/>
      <c r="U355" s="525"/>
    </row>
    <row r="356" spans="1:21">
      <c r="A356" s="188" t="s">
        <v>4924</v>
      </c>
      <c r="B356" s="188"/>
      <c r="D356" s="188" t="s">
        <v>2981</v>
      </c>
      <c r="E356" s="605">
        <f>INDEX(cbalESAT,2)</f>
        <v>0.74275000000000002</v>
      </c>
      <c r="F356" s="525" t="s">
        <v>7953</v>
      </c>
      <c r="G356" s="525"/>
      <c r="H356" s="332"/>
      <c r="I356" s="632"/>
      <c r="J356" s="188" t="s">
        <v>2981</v>
      </c>
      <c r="K356" s="605">
        <f>INDEX(cbalR2ESAT,2)</f>
        <v>0.78300000000000014</v>
      </c>
      <c r="L356" s="525" t="s">
        <v>8027</v>
      </c>
      <c r="M356" s="525"/>
      <c r="N356" s="525"/>
      <c r="O356" s="525"/>
      <c r="P356" s="525"/>
      <c r="Q356" s="525"/>
      <c r="R356" s="525"/>
      <c r="S356" s="525"/>
      <c r="T356" s="525"/>
      <c r="U356" s="525"/>
    </row>
    <row r="357" spans="1:21">
      <c r="A357" s="188" t="s">
        <v>4924</v>
      </c>
      <c r="B357" s="188"/>
      <c r="D357" s="188"/>
      <c r="E357" s="605"/>
      <c r="F357" s="525"/>
      <c r="G357" s="525"/>
      <c r="H357" s="332"/>
      <c r="I357" s="632"/>
      <c r="J357" s="188"/>
      <c r="K357" s="605"/>
      <c r="L357" s="525"/>
      <c r="M357" s="525"/>
      <c r="N357" s="525"/>
      <c r="O357" s="525"/>
      <c r="P357" s="525"/>
      <c r="Q357" s="525"/>
      <c r="R357" s="525"/>
      <c r="S357" s="525"/>
      <c r="T357" s="525"/>
      <c r="U357" s="525"/>
    </row>
    <row r="358" spans="1:21">
      <c r="A358" s="188" t="s">
        <v>4924</v>
      </c>
      <c r="B358" s="188"/>
      <c r="D358" s="188"/>
      <c r="E358" s="605"/>
      <c r="F358" s="525"/>
      <c r="G358" s="525"/>
      <c r="H358" s="332"/>
      <c r="I358" s="632"/>
      <c r="J358" s="188"/>
      <c r="K358" s="605"/>
      <c r="L358" s="525"/>
      <c r="M358" s="525"/>
      <c r="N358" s="525"/>
      <c r="O358" s="525"/>
      <c r="P358" s="525"/>
      <c r="Q358" s="525"/>
      <c r="R358" s="525"/>
      <c r="S358" s="525"/>
      <c r="T358" s="525"/>
      <c r="U358" s="525"/>
    </row>
    <row r="359" spans="1:21">
      <c r="A359" s="188" t="s">
        <v>4924</v>
      </c>
      <c r="B359" s="188"/>
      <c r="D359" s="188"/>
      <c r="E359" s="605"/>
      <c r="F359" s="525"/>
      <c r="G359" s="525"/>
      <c r="H359" s="332"/>
      <c r="I359" s="632"/>
      <c r="J359" s="188"/>
      <c r="K359" s="605"/>
      <c r="L359" s="525"/>
      <c r="M359" s="525"/>
      <c r="N359" s="525"/>
      <c r="O359" s="525"/>
      <c r="P359" s="525"/>
      <c r="Q359" s="525"/>
      <c r="R359" s="525"/>
      <c r="S359" s="525"/>
      <c r="T359" s="525"/>
      <c r="U359" s="525"/>
    </row>
    <row r="360" spans="1:21">
      <c r="A360" s="188" t="s">
        <v>4924</v>
      </c>
      <c r="B360" s="188"/>
      <c r="F360" s="281"/>
      <c r="G360" s="281"/>
      <c r="H360" s="332"/>
      <c r="I360" s="332"/>
      <c r="L360" s="281"/>
      <c r="M360" s="281"/>
      <c r="N360" s="281"/>
      <c r="O360" s="281"/>
      <c r="P360" s="281"/>
      <c r="Q360" s="281"/>
      <c r="R360" s="281"/>
      <c r="S360" s="281"/>
      <c r="T360" s="281"/>
      <c r="U360" s="281"/>
    </row>
    <row r="361" spans="1:21">
      <c r="A361" s="188" t="s">
        <v>4924</v>
      </c>
      <c r="B361" s="188"/>
      <c r="F361" s="281"/>
      <c r="G361" s="281"/>
      <c r="H361" s="332"/>
      <c r="I361" s="332"/>
      <c r="L361" s="281"/>
      <c r="M361" s="281"/>
      <c r="N361" s="281"/>
      <c r="O361" s="281"/>
      <c r="P361" s="281"/>
      <c r="Q361" s="281"/>
      <c r="R361" s="281"/>
      <c r="S361" s="281"/>
      <c r="T361" s="281"/>
      <c r="U361" s="281"/>
    </row>
    <row r="362" spans="1:21">
      <c r="A362" s="188" t="s">
        <v>4924</v>
      </c>
      <c r="B362" s="188"/>
      <c r="D362" s="8" t="s">
        <v>341</v>
      </c>
      <c r="E362" s="603"/>
      <c r="F362" s="281"/>
      <c r="G362" s="281"/>
      <c r="H362" s="332"/>
      <c r="I362" s="630"/>
      <c r="J362" s="8" t="s">
        <v>341</v>
      </c>
      <c r="K362" s="603"/>
      <c r="L362" s="281"/>
      <c r="M362" s="281"/>
      <c r="N362" s="281"/>
      <c r="O362" s="281"/>
      <c r="P362" s="281"/>
      <c r="Q362" s="281"/>
      <c r="R362" s="281"/>
      <c r="S362" s="281"/>
      <c r="T362" s="281"/>
      <c r="U362" s="281"/>
    </row>
    <row r="363" spans="1:21">
      <c r="A363" s="188" t="s">
        <v>4924</v>
      </c>
      <c r="B363" s="188"/>
      <c r="D363" s="188" t="str">
        <f>nmEmp1</f>
        <v>Skilled Nursing</v>
      </c>
      <c r="E363" s="604">
        <f>INDEX(finPNLEmp1Cost,2)</f>
        <v>3553156.390730042</v>
      </c>
      <c r="F363" s="525" t="s">
        <v>7954</v>
      </c>
      <c r="G363" s="525"/>
      <c r="H363" s="332"/>
      <c r="I363" s="631"/>
      <c r="J363" s="188" t="str">
        <f>nmEmp1</f>
        <v>Skilled Nursing</v>
      </c>
      <c r="K363" s="604">
        <f>INDEX(finR2PNLEmp1Cost,2)</f>
        <v>3441886.0712372232</v>
      </c>
      <c r="L363" s="525" t="s">
        <v>8028</v>
      </c>
      <c r="M363" s="525"/>
      <c r="N363" s="525"/>
      <c r="O363" s="525"/>
      <c r="P363" s="525"/>
      <c r="Q363" s="525"/>
      <c r="R363" s="525"/>
      <c r="S363" s="525"/>
      <c r="T363" s="525"/>
      <c r="U363" s="525"/>
    </row>
    <row r="364" spans="1:21">
      <c r="A364" s="188" t="s">
        <v>4924</v>
      </c>
      <c r="B364" s="188"/>
      <c r="D364" s="188" t="str">
        <f>nmEmp2</f>
        <v>Occupational Therapy</v>
      </c>
      <c r="E364" s="604">
        <f>INDEX(finPNLEmp2Cost,2)</f>
        <v>969514.43410503096</v>
      </c>
      <c r="F364" s="525" t="s">
        <v>7955</v>
      </c>
      <c r="G364" s="525"/>
      <c r="H364" s="332"/>
      <c r="I364" s="631"/>
      <c r="J364" s="188" t="str">
        <f>nmEmp2</f>
        <v>Occupational Therapy</v>
      </c>
      <c r="K364" s="604">
        <f>INDEX(finR2PNLEmp2Cost,2)</f>
        <v>964679.31531529094</v>
      </c>
      <c r="L364" s="525" t="s">
        <v>8029</v>
      </c>
      <c r="M364" s="525"/>
      <c r="N364" s="525"/>
      <c r="O364" s="525"/>
      <c r="P364" s="525"/>
      <c r="Q364" s="525"/>
      <c r="R364" s="525"/>
      <c r="S364" s="525"/>
      <c r="T364" s="525"/>
      <c r="U364" s="525"/>
    </row>
    <row r="365" spans="1:21">
      <c r="A365" s="188" t="s">
        <v>4924</v>
      </c>
      <c r="B365" s="188"/>
      <c r="D365" s="188" t="str">
        <f>nmEmp3</f>
        <v>Physical Therapy</v>
      </c>
      <c r="E365" s="604">
        <f>INDEX(finPNLEmp3Cost,2)</f>
        <v>3758995.2119999994</v>
      </c>
      <c r="F365" s="525" t="s">
        <v>7956</v>
      </c>
      <c r="G365" s="525"/>
      <c r="H365" s="332"/>
      <c r="I365" s="631"/>
      <c r="J365" s="188" t="str">
        <f>nmEmp3</f>
        <v>Physical Therapy</v>
      </c>
      <c r="K365" s="604">
        <f>INDEX(finR2PNLEmp3Cost,2)</f>
        <v>3743436.8447336899</v>
      </c>
      <c r="L365" s="525" t="s">
        <v>8030</v>
      </c>
      <c r="M365" s="525"/>
      <c r="N365" s="525"/>
      <c r="O365" s="525"/>
      <c r="P365" s="525"/>
      <c r="Q365" s="525"/>
      <c r="R365" s="525"/>
      <c r="S365" s="525"/>
      <c r="T365" s="525"/>
      <c r="U365" s="525"/>
    </row>
    <row r="366" spans="1:21">
      <c r="A366" s="188" t="s">
        <v>4924</v>
      </c>
      <c r="B366" s="188"/>
      <c r="D366" s="188" t="s">
        <v>343</v>
      </c>
      <c r="E366" s="604">
        <f>INDEX(finPNLGrossProfit,2)</f>
        <v>5920864.9631649274</v>
      </c>
      <c r="F366" s="525" t="s">
        <v>7957</v>
      </c>
      <c r="G366" s="525"/>
      <c r="H366" s="332"/>
      <c r="I366" s="631"/>
      <c r="J366" s="188" t="s">
        <v>343</v>
      </c>
      <c r="K366" s="604">
        <f>INDEX(finR2PNLGrossProfit,2)</f>
        <v>6052528.7687137956</v>
      </c>
      <c r="L366" s="525" t="s">
        <v>8031</v>
      </c>
      <c r="M366" s="525"/>
      <c r="N366" s="525"/>
      <c r="O366" s="525"/>
      <c r="P366" s="525"/>
      <c r="Q366" s="525"/>
      <c r="R366" s="525"/>
      <c r="S366" s="525"/>
      <c r="T366" s="525"/>
      <c r="U366" s="525"/>
    </row>
    <row r="367" spans="1:21">
      <c r="A367" s="188" t="s">
        <v>4924</v>
      </c>
      <c r="B367" s="188"/>
      <c r="D367" s="188" t="s">
        <v>341</v>
      </c>
      <c r="E367" s="605">
        <f>INDEX(finPNLGrossMargin,2)</f>
        <v>0.41688801546463283</v>
      </c>
      <c r="F367" s="525" t="s">
        <v>7958</v>
      </c>
      <c r="G367" s="525"/>
      <c r="H367" s="332"/>
      <c r="I367" s="632"/>
      <c r="J367" s="188" t="s">
        <v>341</v>
      </c>
      <c r="K367" s="605">
        <f>INDEX(finR2PNLGrossMargin,2)</f>
        <v>0.4261584620877642</v>
      </c>
      <c r="L367" s="525" t="s">
        <v>8032</v>
      </c>
      <c r="M367" s="525"/>
      <c r="N367" s="525"/>
      <c r="O367" s="525"/>
      <c r="P367" s="525"/>
      <c r="Q367" s="525"/>
      <c r="R367" s="525"/>
      <c r="S367" s="525"/>
      <c r="T367" s="525"/>
      <c r="U367" s="525"/>
    </row>
    <row r="368" spans="1:21">
      <c r="A368" s="188" t="s">
        <v>4924</v>
      </c>
      <c r="B368" s="188"/>
      <c r="F368" s="281"/>
      <c r="G368" s="281"/>
      <c r="H368" s="332"/>
      <c r="I368" s="332"/>
      <c r="L368" s="281"/>
      <c r="M368" s="281"/>
      <c r="N368" s="281"/>
      <c r="O368" s="281"/>
      <c r="P368" s="281"/>
      <c r="Q368" s="281"/>
      <c r="R368" s="281"/>
      <c r="S368" s="281"/>
      <c r="T368" s="281"/>
      <c r="U368" s="281"/>
    </row>
    <row r="369" spans="1:21">
      <c r="A369" s="188" t="s">
        <v>4924</v>
      </c>
      <c r="B369" s="188"/>
      <c r="F369" s="281"/>
      <c r="G369" s="281"/>
      <c r="H369" s="332"/>
      <c r="I369" s="332"/>
      <c r="L369" s="281"/>
      <c r="M369" s="281"/>
      <c r="N369" s="281"/>
      <c r="O369" s="281"/>
      <c r="P369" s="281"/>
      <c r="Q369" s="281"/>
      <c r="R369" s="281"/>
      <c r="S369" s="281"/>
      <c r="T369" s="281"/>
      <c r="U369" s="281"/>
    </row>
    <row r="370" spans="1:21">
      <c r="A370" s="188" t="s">
        <v>4924</v>
      </c>
      <c r="B370" s="188"/>
      <c r="D370" s="8" t="s">
        <v>4801</v>
      </c>
      <c r="E370" s="603"/>
      <c r="F370" s="281"/>
      <c r="G370" s="281"/>
      <c r="H370" s="332"/>
      <c r="I370" s="630"/>
      <c r="J370" s="8" t="s">
        <v>4801</v>
      </c>
      <c r="K370" s="603"/>
      <c r="L370" s="281"/>
      <c r="M370" s="281"/>
      <c r="N370" s="281"/>
      <c r="O370" s="281"/>
      <c r="P370" s="281"/>
      <c r="Q370" s="281"/>
      <c r="R370" s="281"/>
      <c r="S370" s="281"/>
      <c r="T370" s="281"/>
      <c r="U370" s="281"/>
    </row>
    <row r="371" spans="1:21">
      <c r="A371" s="188" t="s">
        <v>4924</v>
      </c>
      <c r="B371" s="188"/>
      <c r="D371" s="188" t="str">
        <f>nmEmp1&amp;" Capacity"</f>
        <v>Skilled Nursing Capacity</v>
      </c>
      <c r="E371" s="604">
        <f>INDEX(calcLOB1Emp1Capacity,2)+INDEX(calcLOB2Emp1Capacity,2)</f>
        <v>46662.898547892546</v>
      </c>
      <c r="F371" s="525" t="s">
        <v>7959</v>
      </c>
      <c r="G371" s="525"/>
      <c r="H371" s="332"/>
      <c r="I371" s="631"/>
      <c r="J371" s="188" t="str">
        <f>nmEmp1&amp;" Capacity"</f>
        <v>Skilled Nursing Capacity</v>
      </c>
      <c r="K371" s="604">
        <f>INDEX(calcR2LOB1Emp1Capacity,2)+INDEX(calcR2LOB2Emp1Capacity,2)</f>
        <v>45369.081621115343</v>
      </c>
      <c r="L371" s="525" t="s">
        <v>8033</v>
      </c>
      <c r="M371" s="525"/>
      <c r="N371" s="525"/>
      <c r="O371" s="525"/>
      <c r="P371" s="525"/>
      <c r="Q371" s="525"/>
      <c r="R371" s="525"/>
      <c r="S371" s="525"/>
      <c r="T371" s="525"/>
      <c r="U371" s="525"/>
    </row>
    <row r="372" spans="1:21">
      <c r="A372" s="188" t="s">
        <v>4924</v>
      </c>
      <c r="B372" s="188"/>
      <c r="D372" s="188" t="str">
        <f>nmEmp1&amp;" Demand"</f>
        <v>Skilled Nursing Demand</v>
      </c>
      <c r="E372" s="604">
        <f>INDEX(calcLOB1Emp1Visits,2)+INDEX(calcLOB2Emp1Visits,2)</f>
        <v>45201.599999999999</v>
      </c>
      <c r="F372" s="525" t="s">
        <v>7960</v>
      </c>
      <c r="G372" s="525"/>
      <c r="H372" s="332"/>
      <c r="I372" s="631"/>
      <c r="J372" s="188" t="str">
        <f>nmEmp1&amp;" Demand"</f>
        <v>Skilled Nursing Demand</v>
      </c>
      <c r="K372" s="604">
        <f>INDEX(calcR2LOB1Emp1Visits,2)+INDEX(calcR2LOB2Emp1Visits,2)</f>
        <v>45201.599999999999</v>
      </c>
      <c r="L372" s="525" t="s">
        <v>8034</v>
      </c>
      <c r="M372" s="525"/>
      <c r="N372" s="525"/>
      <c r="O372" s="525"/>
      <c r="P372" s="525"/>
      <c r="Q372" s="525"/>
      <c r="R372" s="525"/>
      <c r="S372" s="525"/>
      <c r="T372" s="525"/>
      <c r="U372" s="525"/>
    </row>
    <row r="373" spans="1:21">
      <c r="A373" s="188" t="s">
        <v>4924</v>
      </c>
      <c r="B373" s="188"/>
      <c r="D373" s="188" t="str">
        <f>nmEmp2&amp;" Capacity"</f>
        <v>Occupational Therapy Capacity</v>
      </c>
      <c r="E373" s="604">
        <f>INDEX(calcLOB1Emp2Capacity,2)+INDEX(calcLOB2Emp2Capacity,2)</f>
        <v>10745.606109603907</v>
      </c>
      <c r="F373" s="525" t="s">
        <v>7961</v>
      </c>
      <c r="G373" s="525"/>
      <c r="H373" s="332"/>
      <c r="I373" s="631"/>
      <c r="J373" s="188" t="str">
        <f>nmEmp2&amp;" Capacity"</f>
        <v>Occupational Therapy Capacity</v>
      </c>
      <c r="K373" s="604">
        <f>INDEX(calcR2LOB1Emp2Capacity,2)+INDEX(calcR2LOB2Emp2Capacity,2)</f>
        <v>10704.898712256158</v>
      </c>
      <c r="L373" s="525" t="s">
        <v>8035</v>
      </c>
      <c r="M373" s="525"/>
      <c r="N373" s="525"/>
      <c r="O373" s="525"/>
      <c r="P373" s="525"/>
      <c r="Q373" s="525"/>
      <c r="R373" s="525"/>
      <c r="S373" s="525"/>
      <c r="T373" s="525"/>
      <c r="U373" s="525"/>
    </row>
    <row r="374" spans="1:21">
      <c r="A374" s="188" t="s">
        <v>4924</v>
      </c>
      <c r="B374" s="188"/>
      <c r="D374" s="188" t="str">
        <f>nmEmp2&amp;" Demand"</f>
        <v>Occupational Therapy Demand</v>
      </c>
      <c r="E374" s="604">
        <f>INDEX(calcLOB1Emp2Visits,2)+INDEX(calcLOB2Emp2Visits,2)</f>
        <v>9570.6</v>
      </c>
      <c r="F374" s="525" t="s">
        <v>7962</v>
      </c>
      <c r="G374" s="525"/>
      <c r="H374" s="332"/>
      <c r="I374" s="631"/>
      <c r="J374" s="188" t="str">
        <f>nmEmp2&amp;" Demand"</f>
        <v>Occupational Therapy Demand</v>
      </c>
      <c r="K374" s="604">
        <f>INDEX(calcR2LOB1Emp2Visits,2)+INDEX(calcR2LOB2Emp2Visits,2)</f>
        <v>9570.6</v>
      </c>
      <c r="L374" s="525" t="s">
        <v>8036</v>
      </c>
      <c r="M374" s="525"/>
      <c r="N374" s="525"/>
      <c r="O374" s="525"/>
      <c r="P374" s="525"/>
      <c r="Q374" s="525"/>
      <c r="R374" s="525"/>
      <c r="S374" s="525"/>
      <c r="T374" s="525"/>
      <c r="U374" s="525"/>
    </row>
    <row r="375" spans="1:21">
      <c r="A375" s="188" t="s">
        <v>4924</v>
      </c>
      <c r="B375" s="188"/>
      <c r="D375" s="188" t="str">
        <f>nmEmp3&amp;" Capacity"</f>
        <v>Physical Therapy Capacity</v>
      </c>
      <c r="E375" s="604">
        <f>INDEX(calcLOB1Emp3Capacity,2)+INDEX(calcLOB2Emp3Capacity,2)</f>
        <v>39897.351402061853</v>
      </c>
      <c r="F375" s="525" t="s">
        <v>7963</v>
      </c>
      <c r="G375" s="525"/>
      <c r="H375" s="332"/>
      <c r="I375" s="631"/>
      <c r="J375" s="188" t="str">
        <f>nmEmp3&amp;" Capacity"</f>
        <v>Physical Therapy Capacity</v>
      </c>
      <c r="K375" s="604">
        <f>INDEX(calcR2LOB1Emp3Capacity,2)+INDEX(calcR2LOB2Emp3Capacity,2)</f>
        <v>39738.592552405637</v>
      </c>
      <c r="L375" s="525" t="s">
        <v>8037</v>
      </c>
      <c r="M375" s="525"/>
      <c r="N375" s="525"/>
      <c r="O375" s="525"/>
      <c r="P375" s="525"/>
      <c r="Q375" s="525"/>
      <c r="R375" s="525"/>
      <c r="S375" s="525"/>
      <c r="T375" s="525"/>
      <c r="U375" s="525"/>
    </row>
    <row r="376" spans="1:21">
      <c r="A376" s="188" t="s">
        <v>4924</v>
      </c>
      <c r="B376" s="188"/>
      <c r="D376" s="188" t="str">
        <f>nmEmp3&amp;" Demand"</f>
        <v>Physical Therapy Demand</v>
      </c>
      <c r="E376" s="604">
        <f>INDEX(calcLOB1Emp3Visits,2)+INDEX(calcLOB2Emp3Visits,2)</f>
        <v>36043.199999999997</v>
      </c>
      <c r="F376" s="525" t="s">
        <v>7964</v>
      </c>
      <c r="G376" s="525"/>
      <c r="H376" s="332"/>
      <c r="I376" s="631"/>
      <c r="J376" s="188" t="str">
        <f>nmEmp3&amp;" Demand"</f>
        <v>Physical Therapy Demand</v>
      </c>
      <c r="K376" s="604">
        <f>INDEX(calcR2LOB1Emp3Visits,2)+INDEX(calcR2LOB2Emp3Visits,2)</f>
        <v>36043.199999999997</v>
      </c>
      <c r="L376" s="525" t="s">
        <v>8038</v>
      </c>
      <c r="M376" s="525"/>
      <c r="N376" s="525"/>
      <c r="O376" s="525"/>
      <c r="P376" s="525"/>
      <c r="Q376" s="525"/>
      <c r="R376" s="525"/>
      <c r="S376" s="525"/>
      <c r="T376" s="525"/>
      <c r="U376" s="525"/>
    </row>
    <row r="377" spans="1:21">
      <c r="A377" s="188" t="s">
        <v>4924</v>
      </c>
      <c r="B377" s="188"/>
      <c r="D377" s="188" t="s">
        <v>4808</v>
      </c>
      <c r="E377" s="605">
        <f>1-(E371+E373+E375)/(E372+E374+E376)</f>
        <v>-7.1468672268781619E-2</v>
      </c>
      <c r="F377" s="525" t="s">
        <v>7965</v>
      </c>
      <c r="G377" s="525"/>
      <c r="H377" s="332"/>
      <c r="I377" s="632"/>
      <c r="J377" s="188" t="s">
        <v>4808</v>
      </c>
      <c r="K377" s="605">
        <f>1-(K371+K373+K375)/(K372+K374+K376)</f>
        <v>-5.5025611138387776E-2</v>
      </c>
      <c r="L377" s="525" t="s">
        <v>8039</v>
      </c>
      <c r="M377" s="525"/>
      <c r="N377" s="525"/>
      <c r="O377" s="525"/>
      <c r="P377" s="525"/>
      <c r="Q377" s="525"/>
      <c r="R377" s="525"/>
      <c r="S377" s="525"/>
      <c r="T377" s="525"/>
      <c r="U377" s="525"/>
    </row>
    <row r="378" spans="1:21">
      <c r="A378" s="188" t="s">
        <v>4924</v>
      </c>
      <c r="B378" s="188"/>
      <c r="H378" s="332"/>
      <c r="I378" s="332"/>
    </row>
    <row r="379" spans="1:21">
      <c r="A379" s="188" t="s">
        <v>4924</v>
      </c>
      <c r="B379" s="188"/>
      <c r="H379" s="332"/>
      <c r="I379" s="332"/>
    </row>
    <row r="380" spans="1:21">
      <c r="A380" s="188" t="s">
        <v>4924</v>
      </c>
      <c r="B380" s="188"/>
      <c r="D380" s="8" t="s">
        <v>4814</v>
      </c>
      <c r="E380" s="603"/>
      <c r="F380" s="281"/>
      <c r="G380" s="281"/>
      <c r="H380" s="332"/>
      <c r="I380" s="630"/>
      <c r="J380" s="8" t="s">
        <v>4814</v>
      </c>
      <c r="K380" s="603"/>
      <c r="L380" s="281"/>
      <c r="M380" s="281"/>
      <c r="N380" s="281"/>
      <c r="O380" s="281"/>
      <c r="P380" s="281"/>
      <c r="Q380" s="281"/>
      <c r="R380" s="281"/>
      <c r="S380" s="281"/>
      <c r="T380" s="281"/>
      <c r="U380" s="281"/>
    </row>
    <row r="381" spans="1:21">
      <c r="A381" s="188" t="s">
        <v>4924</v>
      </c>
      <c r="B381" s="188"/>
      <c r="D381" s="188" t="s">
        <v>407</v>
      </c>
      <c r="E381" s="604">
        <f>INDEX(finPNLServiceCost,2)</f>
        <v>8281666.0368350726</v>
      </c>
      <c r="F381" s="525" t="s">
        <v>7966</v>
      </c>
      <c r="G381" s="525"/>
      <c r="H381" s="332"/>
      <c r="I381" s="631"/>
      <c r="J381" s="188" t="s">
        <v>407</v>
      </c>
      <c r="K381" s="604">
        <f>INDEX(finR2PNLServiceCost,2)</f>
        <v>8150002.2312862044</v>
      </c>
      <c r="L381" s="525" t="s">
        <v>8040</v>
      </c>
      <c r="M381" s="525"/>
      <c r="N381" s="525"/>
      <c r="O381" s="525"/>
      <c r="P381" s="525"/>
      <c r="Q381" s="525"/>
      <c r="R381" s="525"/>
      <c r="S381" s="525"/>
      <c r="T381" s="525"/>
      <c r="U381" s="525"/>
    </row>
    <row r="382" spans="1:21">
      <c r="A382" s="188" t="s">
        <v>4924</v>
      </c>
      <c r="B382" s="188"/>
      <c r="D382" s="188" t="s">
        <v>4714</v>
      </c>
      <c r="E382" s="604">
        <f>INDEX(finPNLEmpOverhead,2)</f>
        <v>4328500</v>
      </c>
      <c r="F382" s="525" t="s">
        <v>7967</v>
      </c>
      <c r="G382" s="525"/>
      <c r="H382" s="332"/>
      <c r="I382" s="631"/>
      <c r="J382" s="188" t="s">
        <v>4714</v>
      </c>
      <c r="K382" s="604">
        <f>INDEX(finR2PNLEmpOverhead,2)</f>
        <v>4405675</v>
      </c>
      <c r="L382" s="525" t="s">
        <v>8041</v>
      </c>
      <c r="M382" s="525"/>
      <c r="N382" s="525"/>
      <c r="O382" s="525"/>
      <c r="P382" s="525"/>
      <c r="Q382" s="525"/>
      <c r="R382" s="525"/>
      <c r="S382" s="525"/>
      <c r="T382" s="525"/>
      <c r="U382" s="525"/>
    </row>
    <row r="383" spans="1:21">
      <c r="A383" s="188" t="s">
        <v>4924</v>
      </c>
      <c r="B383" s="188"/>
      <c r="D383" s="188" t="s">
        <v>487</v>
      </c>
      <c r="E383" s="604">
        <f>INDEX(finPNLOpProfit,2)</f>
        <v>1592364.9631649274</v>
      </c>
      <c r="F383" s="525" t="s">
        <v>7968</v>
      </c>
      <c r="G383" s="525"/>
      <c r="H383" s="332"/>
      <c r="I383" s="631"/>
      <c r="J383" s="188" t="s">
        <v>487</v>
      </c>
      <c r="K383" s="604">
        <f>INDEX(finR2PNLOpProfit,2)</f>
        <v>1646853.7687137956</v>
      </c>
      <c r="L383" s="525" t="s">
        <v>8042</v>
      </c>
      <c r="M383" s="525"/>
      <c r="N383" s="525"/>
      <c r="O383" s="525"/>
      <c r="P383" s="525"/>
      <c r="Q383" s="525"/>
      <c r="R383" s="525"/>
      <c r="S383" s="525"/>
      <c r="T383" s="525"/>
      <c r="U383" s="525"/>
    </row>
    <row r="384" spans="1:21">
      <c r="A384" s="188" t="s">
        <v>4924</v>
      </c>
      <c r="B384" s="188"/>
      <c r="D384" s="188" t="s">
        <v>4716</v>
      </c>
      <c r="E384" s="605">
        <f>INDEX(finPNLOpMargin,2)</f>
        <v>0.11211839376833097</v>
      </c>
      <c r="F384" s="525" t="s">
        <v>7969</v>
      </c>
      <c r="G384" s="525"/>
      <c r="H384" s="332"/>
      <c r="I384" s="632"/>
      <c r="J384" s="188" t="s">
        <v>4716</v>
      </c>
      <c r="K384" s="605">
        <f>INDEX(finR2PNLOpMargin,2)</f>
        <v>0.11595494977013573</v>
      </c>
      <c r="L384" s="525" t="s">
        <v>8043</v>
      </c>
      <c r="M384" s="525"/>
      <c r="N384" s="525"/>
      <c r="O384" s="525"/>
      <c r="P384" s="525"/>
      <c r="Q384" s="525"/>
      <c r="R384" s="525"/>
      <c r="S384" s="525"/>
      <c r="T384" s="525"/>
      <c r="U384" s="525"/>
    </row>
    <row r="385" spans="1:21">
      <c r="A385" s="188" t="s">
        <v>4924</v>
      </c>
      <c r="B385" s="188"/>
      <c r="D385" s="188"/>
      <c r="E385" s="605"/>
      <c r="G385" s="525"/>
      <c r="H385" s="332"/>
      <c r="I385" s="632"/>
      <c r="J385" s="188"/>
      <c r="K385" s="605"/>
      <c r="L385" s="525"/>
      <c r="M385" s="525"/>
      <c r="N385" s="525"/>
      <c r="O385" s="525"/>
      <c r="P385" s="525"/>
      <c r="Q385" s="525"/>
      <c r="R385" s="525"/>
      <c r="S385" s="525"/>
      <c r="T385" s="525"/>
      <c r="U385" s="525"/>
    </row>
    <row r="387" spans="1:21">
      <c r="A387" s="70" t="s">
        <v>8162</v>
      </c>
      <c r="B387" s="731"/>
      <c r="C387" s="731"/>
      <c r="D387" s="731"/>
      <c r="E387" s="731"/>
      <c r="F387" s="731"/>
      <c r="G387" s="732"/>
      <c r="H387" s="732"/>
      <c r="I387" s="732"/>
      <c r="J387" s="733" t="s">
        <v>8163</v>
      </c>
      <c r="K387" s="732"/>
      <c r="L387" s="732"/>
      <c r="M387" s="281"/>
      <c r="N387" s="281"/>
      <c r="O387" s="281"/>
      <c r="P387" s="281"/>
      <c r="Q387" s="281"/>
      <c r="R387" s="281"/>
      <c r="S387" s="281"/>
      <c r="T387" s="281"/>
      <c r="U387" s="281"/>
    </row>
    <row r="388" spans="1:21">
      <c r="A388" s="188" t="s">
        <v>4924</v>
      </c>
      <c r="B388" s="188"/>
      <c r="D388" s="8" t="s">
        <v>4727</v>
      </c>
      <c r="E388" s="603" t="str">
        <f>INDEX(decTeamName,3)</f>
        <v>Kinder</v>
      </c>
      <c r="F388" s="525" t="s">
        <v>8046</v>
      </c>
      <c r="G388" s="281"/>
      <c r="H388" s="332"/>
      <c r="I388" s="630"/>
      <c r="J388" s="8" t="s">
        <v>4727</v>
      </c>
      <c r="K388" s="603" t="str">
        <f>INDEX(decTeamName,3)</f>
        <v>Kinder</v>
      </c>
      <c r="L388" s="525" t="s">
        <v>8047</v>
      </c>
      <c r="M388" s="281"/>
      <c r="N388" s="281"/>
      <c r="O388" s="281"/>
      <c r="P388" s="281"/>
      <c r="Q388" s="281"/>
      <c r="R388" s="281"/>
      <c r="S388" s="281"/>
      <c r="T388" s="281"/>
      <c r="U388" s="281"/>
    </row>
    <row r="389" spans="1:21">
      <c r="A389" s="188" t="s">
        <v>4924</v>
      </c>
      <c r="B389" s="188"/>
      <c r="D389" s="188" t="str">
        <f>nmSeg1</f>
        <v>Medicare</v>
      </c>
      <c r="E389" s="604">
        <f>INDEX(finPNLSeg1Rev,3)</f>
        <v>11363628</v>
      </c>
      <c r="F389" s="525" t="s">
        <v>8048</v>
      </c>
      <c r="G389" s="525"/>
      <c r="H389" s="332"/>
      <c r="I389" s="631"/>
      <c r="J389" s="188" t="str">
        <f>nmSeg1</f>
        <v>Medicare</v>
      </c>
      <c r="K389" s="604">
        <f>INDEX(finR2PNLSeg1Rev,3)</f>
        <v>11363628</v>
      </c>
      <c r="L389" s="525" t="s">
        <v>8049</v>
      </c>
      <c r="M389" s="525"/>
      <c r="N389" s="525"/>
      <c r="O389" s="525"/>
      <c r="P389" s="525"/>
      <c r="Q389" s="525"/>
      <c r="R389" s="525"/>
      <c r="S389" s="525"/>
      <c r="T389" s="525"/>
      <c r="U389" s="525"/>
    </row>
    <row r="390" spans="1:21">
      <c r="A390" s="188" t="s">
        <v>4924</v>
      </c>
      <c r="B390" s="188"/>
      <c r="D390" s="188" t="str">
        <f>nmSeg2</f>
        <v>PPS</v>
      </c>
      <c r="E390" s="604">
        <f>INDEX(finPNLSeg2Rev,3)</f>
        <v>965247</v>
      </c>
      <c r="F390" s="525" t="s">
        <v>8050</v>
      </c>
      <c r="G390" s="525"/>
      <c r="H390" s="332"/>
      <c r="I390" s="631"/>
      <c r="J390" s="188" t="str">
        <f>nmSeg2</f>
        <v>PPS</v>
      </c>
      <c r="K390" s="604">
        <f>INDEX(finR2PNLSeg2Rev,3)</f>
        <v>965247</v>
      </c>
      <c r="L390" s="525" t="s">
        <v>8051</v>
      </c>
      <c r="M390" s="525"/>
      <c r="N390" s="525"/>
      <c r="O390" s="525"/>
      <c r="P390" s="525"/>
      <c r="Q390" s="525"/>
      <c r="R390" s="525"/>
      <c r="S390" s="525"/>
      <c r="T390" s="525"/>
      <c r="U390" s="525"/>
    </row>
    <row r="391" spans="1:21">
      <c r="A391" s="188" t="s">
        <v>4924</v>
      </c>
      <c r="B391" s="188"/>
      <c r="D391" s="188" t="str">
        <f>nmSeg3</f>
        <v>Other</v>
      </c>
      <c r="E391" s="604">
        <f>INDEX(finPNLSeg3Rev,3)</f>
        <v>1340400</v>
      </c>
      <c r="F391" s="525" t="s">
        <v>8052</v>
      </c>
      <c r="G391" s="525"/>
      <c r="H391" s="332"/>
      <c r="I391" s="631"/>
      <c r="J391" s="188" t="str">
        <f>nmSeg3</f>
        <v>Other</v>
      </c>
      <c r="K391" s="604">
        <f>INDEX(finR2PNLSeg3Rev,3)</f>
        <v>1340400</v>
      </c>
      <c r="L391" s="525" t="s">
        <v>8053</v>
      </c>
      <c r="M391" s="525"/>
      <c r="N391" s="525"/>
      <c r="O391" s="525"/>
      <c r="P391" s="525"/>
      <c r="Q391" s="525"/>
      <c r="R391" s="525"/>
      <c r="S391" s="525"/>
      <c r="T391" s="525"/>
      <c r="U391" s="525"/>
    </row>
    <row r="392" spans="1:21">
      <c r="A392" s="188" t="s">
        <v>4924</v>
      </c>
      <c r="B392" s="188"/>
      <c r="D392" s="188" t="s">
        <v>4730</v>
      </c>
      <c r="E392" s="605">
        <f>INDEX(cbalRevGrowth,3)</f>
        <v>0</v>
      </c>
      <c r="F392" s="525" t="s">
        <v>8054</v>
      </c>
      <c r="G392" s="525"/>
      <c r="H392" s="332"/>
      <c r="I392" s="632"/>
      <c r="J392" s="188" t="s">
        <v>4730</v>
      </c>
      <c r="K392" s="605">
        <f>INDEX(cbalR2RevGrowth,3)</f>
        <v>0</v>
      </c>
      <c r="L392" s="525" t="s">
        <v>8055</v>
      </c>
      <c r="M392" s="525"/>
      <c r="N392" s="525"/>
      <c r="O392" s="525"/>
      <c r="P392" s="525"/>
      <c r="Q392" s="525"/>
      <c r="R392" s="525"/>
      <c r="S392" s="525"/>
      <c r="T392" s="525"/>
      <c r="U392" s="525"/>
    </row>
    <row r="393" spans="1:21">
      <c r="A393" s="188" t="s">
        <v>4924</v>
      </c>
      <c r="B393" s="188"/>
      <c r="D393" s="188"/>
      <c r="E393" s="75"/>
      <c r="F393" s="281"/>
      <c r="G393" s="281"/>
      <c r="H393" s="332"/>
      <c r="I393" s="383"/>
      <c r="J393" s="188"/>
      <c r="K393" s="75"/>
      <c r="L393" s="281"/>
      <c r="M393" s="281"/>
      <c r="N393" s="281"/>
      <c r="O393" s="281"/>
      <c r="P393" s="281"/>
      <c r="Q393" s="281"/>
      <c r="R393" s="281"/>
      <c r="S393" s="281"/>
      <c r="T393" s="281"/>
      <c r="U393" s="281"/>
    </row>
    <row r="394" spans="1:21">
      <c r="A394" s="188" t="s">
        <v>4924</v>
      </c>
      <c r="B394" s="188"/>
      <c r="F394" s="281"/>
      <c r="G394" s="281"/>
      <c r="H394" s="332"/>
      <c r="I394" s="332"/>
      <c r="L394" s="281"/>
      <c r="M394" s="281"/>
      <c r="N394" s="281"/>
      <c r="O394" s="281"/>
      <c r="P394" s="281"/>
      <c r="Q394" s="281"/>
      <c r="R394" s="281"/>
      <c r="S394" s="281"/>
      <c r="T394" s="281"/>
      <c r="U394" s="281"/>
    </row>
    <row r="395" spans="1:21">
      <c r="A395" s="188" t="s">
        <v>4924</v>
      </c>
      <c r="B395" s="188"/>
      <c r="F395" s="281"/>
      <c r="G395" s="281"/>
      <c r="H395" s="332"/>
      <c r="I395" s="332"/>
      <c r="L395" s="281"/>
      <c r="M395" s="281"/>
      <c r="N395" s="281"/>
      <c r="O395" s="281"/>
      <c r="P395" s="281"/>
      <c r="Q395" s="281"/>
      <c r="R395" s="281"/>
      <c r="S395" s="281"/>
      <c r="T395" s="281"/>
      <c r="U395" s="281"/>
    </row>
    <row r="396" spans="1:21">
      <c r="A396" s="188" t="s">
        <v>4924</v>
      </c>
      <c r="B396" s="188"/>
      <c r="D396" s="8" t="s">
        <v>4728</v>
      </c>
      <c r="E396" s="603"/>
      <c r="F396" s="281"/>
      <c r="G396" s="281"/>
      <c r="H396" s="332"/>
      <c r="I396" s="630"/>
      <c r="J396" s="8" t="s">
        <v>4728</v>
      </c>
      <c r="K396" s="603"/>
      <c r="L396" s="281"/>
      <c r="M396" s="281"/>
      <c r="N396" s="281"/>
      <c r="O396" s="281"/>
      <c r="P396" s="281"/>
      <c r="Q396" s="281"/>
      <c r="R396" s="281"/>
      <c r="S396" s="281"/>
      <c r="T396" s="281"/>
      <c r="U396" s="281"/>
    </row>
    <row r="397" spans="1:21">
      <c r="A397" s="188" t="s">
        <v>4924</v>
      </c>
      <c r="B397" s="188"/>
      <c r="D397" s="188" t="str">
        <f>nmSeg1 &amp; " -  " &amp; nmProd1</f>
        <v>Medicare -  Admits</v>
      </c>
      <c r="E397" s="604">
        <f>INDEX(calcLOB1Prod1Seg1Patients,3)+INDEX(calcLOB2Prod1Seg1Patients,3)</f>
        <v>3468</v>
      </c>
      <c r="F397" s="525" t="s">
        <v>8056</v>
      </c>
      <c r="G397" s="525"/>
      <c r="H397" s="332"/>
      <c r="I397" s="631"/>
      <c r="J397" s="188" t="str">
        <f>nmSeg1 &amp; " -  " &amp; nmProd1</f>
        <v>Medicare -  Admits</v>
      </c>
      <c r="K397" s="604">
        <f>INDEX(calcR2LOB1Prod1Seg1Patients,3)+INDEX(calcR2LOB2Prod1Seg1Patients,3)</f>
        <v>3468</v>
      </c>
      <c r="L397" s="525" t="s">
        <v>8057</v>
      </c>
      <c r="M397" s="525"/>
      <c r="N397" s="525"/>
      <c r="O397" s="525"/>
      <c r="P397" s="525"/>
      <c r="Q397" s="525"/>
      <c r="R397" s="525"/>
      <c r="S397" s="525"/>
      <c r="T397" s="525"/>
      <c r="U397" s="525"/>
    </row>
    <row r="398" spans="1:21">
      <c r="A398" s="188" t="s">
        <v>4924</v>
      </c>
      <c r="B398" s="188"/>
      <c r="D398" s="188" t="str">
        <f>nmSeg1 &amp; " -  " &amp; nmProd2</f>
        <v>Medicare -  Recerts</v>
      </c>
      <c r="E398" s="604">
        <f>INDEX(calcLOB1Prod2Seg1Patients,3)+INDEX(calcLOB2Prod2Seg1Patients,3)</f>
        <v>984</v>
      </c>
      <c r="F398" s="525" t="s">
        <v>8058</v>
      </c>
      <c r="G398" s="525"/>
      <c r="H398" s="332"/>
      <c r="I398" s="631"/>
      <c r="J398" s="188" t="str">
        <f>nmSeg1 &amp; " -  " &amp; nmProd2</f>
        <v>Medicare -  Recerts</v>
      </c>
      <c r="K398" s="604">
        <f>INDEX(calcR2LOB1Prod2Seg1Patients,3)+INDEX(calcR2LOB2Prod2Seg1Patients,3)</f>
        <v>984</v>
      </c>
      <c r="L398" s="525" t="s">
        <v>8059</v>
      </c>
      <c r="M398" s="525"/>
      <c r="N398" s="525"/>
      <c r="O398" s="525"/>
      <c r="P398" s="525"/>
      <c r="Q398" s="525"/>
      <c r="R398" s="525"/>
      <c r="S398" s="525"/>
      <c r="T398" s="525"/>
      <c r="U398" s="525"/>
    </row>
    <row r="399" spans="1:21">
      <c r="A399" s="188" t="s">
        <v>4924</v>
      </c>
      <c r="B399" s="188"/>
      <c r="D399" s="188" t="str">
        <f>nmSeg2 &amp; " -  " &amp; nmProd1</f>
        <v>PPS -  Admits</v>
      </c>
      <c r="E399" s="604">
        <f>INDEX(calcLOB1Prod1Seg2Patients,3)+INDEX(calcLOB2Prod1Seg2Patients,3)</f>
        <v>300</v>
      </c>
      <c r="F399" s="525" t="s">
        <v>8060</v>
      </c>
      <c r="G399" s="525"/>
      <c r="H399" s="332"/>
      <c r="I399" s="631"/>
      <c r="J399" s="188" t="str">
        <f>nmSeg2 &amp; " -  " &amp; nmProd1</f>
        <v>PPS -  Admits</v>
      </c>
      <c r="K399" s="604">
        <f>INDEX(calcR2LOB1Prod1Seg2Patients,3)+INDEX(calcR2LOB2Prod1Seg2Patients,3)</f>
        <v>300</v>
      </c>
      <c r="L399" s="525" t="s">
        <v>8061</v>
      </c>
      <c r="M399" s="525"/>
      <c r="N399" s="525"/>
      <c r="O399" s="525"/>
      <c r="P399" s="525"/>
      <c r="Q399" s="525"/>
      <c r="R399" s="525"/>
      <c r="S399" s="525"/>
      <c r="T399" s="525"/>
      <c r="U399" s="525"/>
    </row>
    <row r="400" spans="1:21">
      <c r="A400" s="188" t="s">
        <v>4924</v>
      </c>
      <c r="B400" s="188"/>
      <c r="D400" s="188" t="str">
        <f>nmSeg2&amp; " -  " &amp; nmProd2</f>
        <v>PPS -  Recerts</v>
      </c>
      <c r="E400" s="604">
        <f>INDEX(calcLOB1Prod2Seg2Patients,3)+INDEX(calcLOB2Prod2Seg2Patients,3)</f>
        <v>108</v>
      </c>
      <c r="F400" s="525" t="s">
        <v>8062</v>
      </c>
      <c r="G400" s="525"/>
      <c r="H400" s="332"/>
      <c r="I400" s="631"/>
      <c r="J400" s="188" t="str">
        <f>nmSeg2&amp; " -  " &amp; nmProd2</f>
        <v>PPS -  Recerts</v>
      </c>
      <c r="K400" s="604">
        <f>INDEX(calcR2LOB1Prod2Seg2Patients,3)+INDEX(calcR2LOB2Prod2Seg2Patients,3)</f>
        <v>108</v>
      </c>
      <c r="L400" s="525" t="s">
        <v>8063</v>
      </c>
      <c r="M400" s="525"/>
      <c r="N400" s="525"/>
      <c r="O400" s="525"/>
      <c r="P400" s="525"/>
      <c r="Q400" s="525"/>
      <c r="R400" s="525"/>
      <c r="S400" s="525"/>
      <c r="T400" s="525"/>
      <c r="U400" s="525"/>
    </row>
    <row r="401" spans="1:21">
      <c r="A401" s="188" t="s">
        <v>4924</v>
      </c>
      <c r="B401" s="188"/>
      <c r="D401" s="188" t="str">
        <f>nmSeg3 &amp; " -  " &amp; nmProd1</f>
        <v>Other -  Admits</v>
      </c>
      <c r="E401" s="604">
        <f>INDEX(calcLOB1Prod1Seg3Patients,3)+INDEX(calcLOB2Prod1Seg3Patients,3)</f>
        <v>696</v>
      </c>
      <c r="F401" s="525" t="s">
        <v>8064</v>
      </c>
      <c r="G401" s="525"/>
      <c r="H401" s="332"/>
      <c r="I401" s="631"/>
      <c r="J401" s="188" t="str">
        <f>nmSeg3 &amp; " -  " &amp; nmProd1</f>
        <v>Other -  Admits</v>
      </c>
      <c r="K401" s="604">
        <f>INDEX(calcR2LOB1Prod1Seg3Patients,3)+INDEX(calcR2LOB2Prod1Seg3Patients,3)</f>
        <v>696</v>
      </c>
      <c r="L401" s="525" t="s">
        <v>8065</v>
      </c>
      <c r="M401" s="525"/>
      <c r="N401" s="525"/>
      <c r="O401" s="525"/>
      <c r="P401" s="525"/>
      <c r="Q401" s="525"/>
      <c r="R401" s="525"/>
      <c r="S401" s="525"/>
      <c r="T401" s="525"/>
      <c r="U401" s="525"/>
    </row>
    <row r="402" spans="1:21">
      <c r="A402" s="188" t="s">
        <v>4924</v>
      </c>
      <c r="B402" s="188"/>
      <c r="D402" s="188" t="str">
        <f>nmSeg3&amp; " -  " &amp; nmProd2</f>
        <v>Other -  Recerts</v>
      </c>
      <c r="E402" s="604">
        <f>INDEX(calcLOB1Prod2Seg3Patients,3)+INDEX(calcLOB2Prod2Seg3Patients,3)</f>
        <v>192</v>
      </c>
      <c r="F402" s="525" t="s">
        <v>8066</v>
      </c>
      <c r="G402" s="525"/>
      <c r="H402" s="332"/>
      <c r="I402" s="631"/>
      <c r="J402" s="188" t="str">
        <f>nmSeg3&amp; " -  " &amp; nmProd2</f>
        <v>Other -  Recerts</v>
      </c>
      <c r="K402" s="604">
        <f>INDEX(calcR2LOB1Prod2Seg3Patients,3)+INDEX(calcR2LOB2Prod2Seg3Patients,3)</f>
        <v>192</v>
      </c>
      <c r="L402" s="525" t="s">
        <v>8067</v>
      </c>
      <c r="M402" s="525"/>
      <c r="N402" s="525"/>
      <c r="O402" s="525"/>
      <c r="P402" s="525"/>
      <c r="Q402" s="525"/>
      <c r="R402" s="525"/>
      <c r="S402" s="525"/>
      <c r="T402" s="525"/>
      <c r="U402" s="525"/>
    </row>
    <row r="403" spans="1:21">
      <c r="A403" s="188" t="s">
        <v>4924</v>
      </c>
      <c r="B403" s="188"/>
      <c r="D403" s="188" t="s">
        <v>4741</v>
      </c>
      <c r="E403" s="605">
        <f>(E397+E399+E401)/SUM(E397:E402)</f>
        <v>0.77661795407098122</v>
      </c>
      <c r="F403" s="525" t="s">
        <v>8068</v>
      </c>
      <c r="G403" s="525"/>
      <c r="H403" s="332"/>
      <c r="I403" s="632"/>
      <c r="J403" s="188" t="s">
        <v>4741</v>
      </c>
      <c r="K403" s="605">
        <f>(K397+K399+K401)/SUM(K397:K402)</f>
        <v>0.77661795407098122</v>
      </c>
      <c r="L403" s="525" t="s">
        <v>8069</v>
      </c>
      <c r="M403" s="525"/>
      <c r="N403" s="525"/>
      <c r="O403" s="525"/>
      <c r="P403" s="525"/>
      <c r="Q403" s="525"/>
      <c r="R403" s="525"/>
      <c r="S403" s="525"/>
      <c r="T403" s="525"/>
      <c r="U403" s="525"/>
    </row>
    <row r="404" spans="1:21">
      <c r="A404" s="188" t="s">
        <v>4924</v>
      </c>
      <c r="B404" s="188"/>
      <c r="F404" s="281"/>
      <c r="G404" s="281"/>
      <c r="H404" s="332"/>
      <c r="I404" s="332"/>
      <c r="L404" s="281"/>
      <c r="M404" s="281"/>
      <c r="N404" s="281"/>
      <c r="O404" s="281"/>
      <c r="P404" s="281"/>
      <c r="Q404" s="281"/>
      <c r="R404" s="281"/>
      <c r="S404" s="281"/>
      <c r="T404" s="281"/>
      <c r="U404" s="281"/>
    </row>
    <row r="405" spans="1:21">
      <c r="A405" s="188"/>
      <c r="B405" s="188"/>
      <c r="D405" s="8" t="str">
        <f>nmLOB1 &amp; " Patients"</f>
        <v>Riverside Patients</v>
      </c>
      <c r="E405" s="8">
        <f>INDEX(calcLOB1Patients,3)</f>
        <v>2304</v>
      </c>
      <c r="F405" s="281"/>
      <c r="G405" s="281"/>
      <c r="H405" s="332"/>
      <c r="I405" s="332"/>
      <c r="K405" s="8">
        <f>INDEX(calcR2LOB1Patients,3)</f>
        <v>2304</v>
      </c>
      <c r="L405" s="281"/>
      <c r="M405" s="281"/>
      <c r="N405" s="281"/>
      <c r="O405" s="281"/>
      <c r="P405" s="281"/>
      <c r="Q405" s="281"/>
      <c r="R405" s="281"/>
      <c r="S405" s="281"/>
      <c r="T405" s="281"/>
      <c r="U405" s="281"/>
    </row>
    <row r="406" spans="1:21">
      <c r="A406" s="188"/>
      <c r="B406" s="188"/>
      <c r="D406" s="8" t="str">
        <f>nmLOB2 &amp; " Patients"</f>
        <v>Pleasentville Patients</v>
      </c>
      <c r="E406" s="8">
        <f>INDEX(calcLOB2Patients,3)</f>
        <v>3444</v>
      </c>
      <c r="F406" s="281"/>
      <c r="G406" s="281"/>
      <c r="H406" s="332"/>
      <c r="I406" s="332"/>
      <c r="K406" s="8">
        <f>INDEX(calcR2LOB2Patients,3)</f>
        <v>3444</v>
      </c>
      <c r="L406" s="281"/>
      <c r="M406" s="281"/>
      <c r="N406" s="281"/>
      <c r="O406" s="281"/>
      <c r="P406" s="281"/>
      <c r="Q406" s="281"/>
      <c r="R406" s="281"/>
      <c r="S406" s="281"/>
      <c r="T406" s="281"/>
      <c r="U406" s="281"/>
    </row>
    <row r="407" spans="1:21">
      <c r="A407" s="188"/>
      <c r="B407" s="188"/>
      <c r="E407" s="8">
        <v>5</v>
      </c>
      <c r="F407" s="281"/>
      <c r="G407" s="281"/>
      <c r="H407" s="332"/>
      <c r="I407" s="332"/>
      <c r="K407" s="8">
        <v>5</v>
      </c>
      <c r="L407" s="281"/>
      <c r="M407" s="281"/>
      <c r="N407" s="281"/>
      <c r="O407" s="281"/>
      <c r="P407" s="281"/>
      <c r="Q407" s="281"/>
      <c r="R407" s="281"/>
      <c r="S407" s="281"/>
      <c r="T407" s="281"/>
      <c r="U407" s="281"/>
    </row>
    <row r="408" spans="1:21">
      <c r="A408" s="461"/>
      <c r="D408" s="8" t="s">
        <v>4729</v>
      </c>
      <c r="E408" s="603"/>
      <c r="F408" s="281"/>
      <c r="G408" s="281"/>
      <c r="H408" s="332"/>
      <c r="I408" s="630"/>
      <c r="J408" s="8" t="s">
        <v>4729</v>
      </c>
      <c r="K408" s="603"/>
      <c r="L408" s="281"/>
      <c r="M408" s="281"/>
      <c r="N408" s="281"/>
      <c r="O408" s="281"/>
      <c r="P408" s="281"/>
      <c r="Q408" s="281"/>
      <c r="R408" s="281"/>
      <c r="S408" s="281"/>
      <c r="T408" s="281"/>
      <c r="U408" s="281"/>
    </row>
    <row r="409" spans="1:21">
      <c r="A409" s="461"/>
      <c r="B409" s="8">
        <v>3</v>
      </c>
      <c r="D409" s="188" t="str">
        <f t="shared" ref="D409:D413" si="82">VLOOKUP($B409,calcTableLOB1CSAT,D$42,FALSE)</f>
        <v>DOO Actions</v>
      </c>
      <c r="E409" s="605">
        <f>VLOOKUP($B409,calcTableLOB1CSAT,$E$273,FALSE)</f>
        <v>2.5000000000000022E-2</v>
      </c>
      <c r="F409" s="525"/>
      <c r="G409" s="525"/>
      <c r="H409" s="332"/>
      <c r="I409" s="632"/>
      <c r="J409" s="188" t="str">
        <f t="shared" ref="J409:J413" si="83">VLOOKUP($B409,calcR2TableLOB1CSAT,J$42,FALSE)</f>
        <v>DOO Actions</v>
      </c>
      <c r="K409" s="605">
        <f>VLOOKUP($B409,calcR2TableLOB1CSAT,$E$273,FALSE)</f>
        <v>5.0000000000000044E-2</v>
      </c>
      <c r="L409" s="525" t="s">
        <v>8070</v>
      </c>
      <c r="M409" s="525"/>
      <c r="N409" s="525"/>
      <c r="O409" s="525"/>
      <c r="P409" s="525"/>
      <c r="Q409" s="525"/>
      <c r="R409" s="525"/>
      <c r="S409" s="525"/>
      <c r="T409" s="525"/>
      <c r="U409" s="525"/>
    </row>
    <row r="410" spans="1:21">
      <c r="A410" s="461"/>
      <c r="B410" s="8">
        <v>4</v>
      </c>
      <c r="D410" s="188" t="str">
        <f t="shared" si="82"/>
        <v>Missed Visits</v>
      </c>
      <c r="E410" s="605">
        <f>VLOOKUP($B410,calcTableLOB1CSAT,$E$273,FALSE)</f>
        <v>-0.04</v>
      </c>
      <c r="F410" s="525"/>
      <c r="G410" s="525"/>
      <c r="H410" s="332"/>
      <c r="I410" s="632"/>
      <c r="J410" s="188" t="str">
        <f t="shared" si="83"/>
        <v>Missed Visits</v>
      </c>
      <c r="K410" s="605">
        <f>VLOOKUP($B410,calcR2TableLOB1CSAT,$E$273,FALSE)</f>
        <v>-0.05</v>
      </c>
      <c r="L410" s="525" t="s">
        <v>8071</v>
      </c>
      <c r="M410" s="525"/>
      <c r="N410" s="525"/>
      <c r="O410" s="525"/>
      <c r="P410" s="525"/>
      <c r="Q410" s="525"/>
      <c r="R410" s="525"/>
      <c r="S410" s="525"/>
      <c r="T410" s="525"/>
      <c r="U410" s="525"/>
    </row>
    <row r="411" spans="1:21">
      <c r="A411" s="461"/>
      <c r="B411" s="8">
        <v>5</v>
      </c>
      <c r="D411" s="188" t="str">
        <f t="shared" si="82"/>
        <v>Employee Engagement</v>
      </c>
      <c r="E411" s="605">
        <f>VLOOKUP($B411,calcTableLOB1CSAT,$E$273,FALSE)</f>
        <v>7.6499999999999901E-3</v>
      </c>
      <c r="F411" s="525"/>
      <c r="G411" s="525"/>
      <c r="H411" s="332"/>
      <c r="I411" s="632"/>
      <c r="J411" s="188" t="str">
        <f t="shared" si="83"/>
        <v>Employee Engagement</v>
      </c>
      <c r="K411" s="605">
        <f>VLOOKUP($B411,calcR2TableLOB1CSAT,$E$273,FALSE)</f>
        <v>-1.9500000000000183E-3</v>
      </c>
      <c r="L411" s="525" t="s">
        <v>8072</v>
      </c>
      <c r="M411" s="525"/>
      <c r="N411" s="525"/>
      <c r="O411" s="525"/>
      <c r="P411" s="525"/>
      <c r="Q411" s="525"/>
      <c r="R411" s="525"/>
      <c r="S411" s="525"/>
      <c r="T411" s="525"/>
      <c r="U411" s="525"/>
    </row>
    <row r="412" spans="1:21">
      <c r="A412" s="461"/>
      <c r="B412" s="8">
        <v>6</v>
      </c>
      <c r="D412" s="188" t="str">
        <f t="shared" si="82"/>
        <v>Clincial Quality</v>
      </c>
      <c r="E412" s="605">
        <f>VLOOKUP($B412,calcTableLOB1CSAT,$E$273,FALSE)</f>
        <v>4.0200000000000019E-3</v>
      </c>
      <c r="F412" s="525"/>
      <c r="G412" s="525"/>
      <c r="H412" s="332"/>
      <c r="I412" s="632"/>
      <c r="J412" s="188" t="str">
        <f t="shared" si="83"/>
        <v>Clincial Quality</v>
      </c>
      <c r="K412" s="605">
        <f>VLOOKUP($B412,calcR2TableLOB1CSAT,$E$273,FALSE)</f>
        <v>-1.5100000000000113E-3</v>
      </c>
      <c r="L412" s="525" t="s">
        <v>8073</v>
      </c>
      <c r="M412" s="525"/>
      <c r="N412" s="525"/>
      <c r="O412" s="525"/>
      <c r="P412" s="525"/>
      <c r="Q412" s="525"/>
      <c r="R412" s="525"/>
      <c r="S412" s="525"/>
      <c r="T412" s="525"/>
      <c r="U412" s="525"/>
    </row>
    <row r="413" spans="1:21">
      <c r="A413" s="461"/>
      <c r="B413" s="8">
        <v>8</v>
      </c>
      <c r="D413" s="188" t="str">
        <f t="shared" si="82"/>
        <v>Referrals Satisfaction</v>
      </c>
      <c r="E413" s="605">
        <f>VLOOKUP($B413,calcTableLOB1CSAT,$E$273,FALSE)</f>
        <v>0.84666999999999992</v>
      </c>
      <c r="F413" s="525"/>
      <c r="G413" s="525"/>
      <c r="H413" s="332"/>
      <c r="I413" s="632"/>
      <c r="J413" s="188">
        <f t="shared" si="83"/>
        <v>1</v>
      </c>
      <c r="K413" s="605">
        <f>VLOOKUP($B413,calcR2TableLOB1CSAT,$E$273,FALSE)</f>
        <v>0.81807999999999992</v>
      </c>
      <c r="L413" s="525" t="s">
        <v>8074</v>
      </c>
      <c r="M413" s="525"/>
      <c r="N413" s="525"/>
      <c r="O413" s="525"/>
      <c r="P413" s="525"/>
      <c r="Q413" s="525"/>
      <c r="R413" s="525"/>
      <c r="S413" s="525"/>
      <c r="T413" s="525"/>
      <c r="U413" s="525"/>
    </row>
    <row r="414" spans="1:21">
      <c r="A414" s="461"/>
      <c r="D414" s="188"/>
      <c r="E414" s="605"/>
      <c r="F414" s="525"/>
      <c r="G414" s="525"/>
      <c r="H414" s="332"/>
      <c r="I414" s="632"/>
      <c r="J414" s="188"/>
      <c r="K414" s="605"/>
      <c r="L414" s="525"/>
      <c r="M414" s="525"/>
      <c r="N414" s="525"/>
      <c r="O414" s="525"/>
      <c r="P414" s="525"/>
      <c r="Q414" s="525"/>
      <c r="R414" s="525"/>
      <c r="S414" s="525"/>
      <c r="T414" s="525"/>
      <c r="U414" s="525"/>
    </row>
    <row r="415" spans="1:21">
      <c r="A415" s="461"/>
      <c r="D415" s="188"/>
      <c r="E415" s="605"/>
      <c r="F415" s="525"/>
      <c r="G415" s="525"/>
      <c r="H415" s="332"/>
      <c r="I415" s="632"/>
      <c r="J415" s="188"/>
      <c r="K415" s="605"/>
      <c r="L415" s="525"/>
      <c r="M415" s="525"/>
      <c r="N415" s="525"/>
      <c r="O415" s="525"/>
      <c r="P415" s="525"/>
      <c r="Q415" s="525"/>
      <c r="R415" s="525"/>
      <c r="S415" s="525"/>
      <c r="T415" s="525"/>
      <c r="U415" s="525"/>
    </row>
    <row r="416" spans="1:21">
      <c r="A416" s="478"/>
      <c r="E416" s="8">
        <v>5</v>
      </c>
      <c r="F416" s="281"/>
      <c r="G416" s="281"/>
      <c r="H416" s="332"/>
      <c r="I416" s="332"/>
      <c r="K416" s="8">
        <v>5</v>
      </c>
      <c r="L416" s="281"/>
      <c r="M416" s="281"/>
      <c r="N416" s="281"/>
      <c r="O416" s="281"/>
      <c r="P416" s="281"/>
      <c r="Q416" s="281"/>
      <c r="R416" s="281"/>
      <c r="S416" s="281"/>
      <c r="T416" s="281"/>
      <c r="U416" s="281"/>
    </row>
    <row r="417" spans="1:21">
      <c r="A417" s="478"/>
      <c r="D417" s="8" t="s">
        <v>4729</v>
      </c>
      <c r="E417" s="603"/>
      <c r="F417" s="281"/>
      <c r="G417" s="281"/>
      <c r="H417" s="332"/>
      <c r="I417" s="630"/>
      <c r="J417" s="8" t="s">
        <v>4729</v>
      </c>
      <c r="K417" s="603"/>
      <c r="L417" s="281"/>
      <c r="M417" s="281"/>
      <c r="N417" s="281"/>
      <c r="O417" s="281"/>
      <c r="P417" s="281"/>
      <c r="Q417" s="281"/>
      <c r="R417" s="281"/>
      <c r="S417" s="281"/>
      <c r="T417" s="281"/>
      <c r="U417" s="281"/>
    </row>
    <row r="418" spans="1:21">
      <c r="A418" s="478"/>
      <c r="B418" s="8">
        <v>3</v>
      </c>
      <c r="D418" s="188" t="str">
        <f t="shared" ref="D418:D422" si="84">VLOOKUP($B418,calcTableLOB2CSAT,D$42,FALSE)</f>
        <v>DOO Actions</v>
      </c>
      <c r="E418" s="605">
        <f>VLOOKUP($B418,calcTableLOB2CSAT,$E$282,FALSE)</f>
        <v>1.0000000000000009E-2</v>
      </c>
      <c r="F418" s="525"/>
      <c r="G418" s="525"/>
      <c r="H418" s="332"/>
      <c r="I418" s="632"/>
      <c r="J418" s="188" t="str">
        <f t="shared" ref="J418:J422" si="85">VLOOKUP($B418,calcR2TableLOB2CSAT,J$42,FALSE)</f>
        <v>DOO Actions</v>
      </c>
      <c r="K418" s="605">
        <f>VLOOKUP($B418,calcR2TableLOB2CSAT,$E$282,FALSE)</f>
        <v>2.5000000000000022E-2</v>
      </c>
      <c r="L418" s="525" t="s">
        <v>8075</v>
      </c>
      <c r="M418" s="525"/>
      <c r="N418" s="525"/>
      <c r="O418" s="525"/>
      <c r="P418" s="525"/>
      <c r="Q418" s="525"/>
      <c r="R418" s="525"/>
      <c r="S418" s="525"/>
      <c r="T418" s="525"/>
      <c r="U418" s="525"/>
    </row>
    <row r="419" spans="1:21">
      <c r="A419" s="478"/>
      <c r="B419" s="8">
        <v>4</v>
      </c>
      <c r="D419" s="188" t="str">
        <f t="shared" si="84"/>
        <v>Missed Visits</v>
      </c>
      <c r="E419" s="605">
        <f>VLOOKUP($B419,calcTableLOB2CSAT,$E$282,FALSE)</f>
        <v>-0.02</v>
      </c>
      <c r="F419" s="525"/>
      <c r="G419" s="525"/>
      <c r="H419" s="332"/>
      <c r="I419" s="632"/>
      <c r="J419" s="188" t="str">
        <f t="shared" si="85"/>
        <v>Missed Visits</v>
      </c>
      <c r="K419" s="605">
        <f>VLOOKUP($B419,calcR2TableLOB2CSAT,$E$282,FALSE)</f>
        <v>0.02</v>
      </c>
      <c r="L419" s="525" t="s">
        <v>8076</v>
      </c>
      <c r="M419" s="525"/>
      <c r="N419" s="525"/>
      <c r="O419" s="525"/>
      <c r="P419" s="525"/>
      <c r="Q419" s="525"/>
      <c r="R419" s="525"/>
      <c r="S419" s="525"/>
      <c r="T419" s="525"/>
      <c r="U419" s="525"/>
    </row>
    <row r="420" spans="1:21">
      <c r="A420" s="478"/>
      <c r="B420" s="8">
        <v>5</v>
      </c>
      <c r="D420" s="188" t="str">
        <f t="shared" si="84"/>
        <v>Employee Engagement</v>
      </c>
      <c r="E420" s="605">
        <f>VLOOKUP($B420,calcTableLOB2CSAT,$E$282,FALSE)</f>
        <v>1.8000000000000016E-2</v>
      </c>
      <c r="F420" s="525"/>
      <c r="G420" s="525"/>
      <c r="H420" s="332"/>
      <c r="I420" s="632"/>
      <c r="J420" s="188" t="str">
        <f t="shared" si="85"/>
        <v>Employee Engagement</v>
      </c>
      <c r="K420" s="605">
        <f>VLOOKUP($B420,calcR2TableLOB2CSAT,$E$282,FALSE)</f>
        <v>7.3247250487362692E-4</v>
      </c>
      <c r="L420" s="525" t="s">
        <v>8077</v>
      </c>
      <c r="M420" s="525"/>
      <c r="N420" s="525"/>
      <c r="O420" s="525"/>
      <c r="P420" s="525"/>
      <c r="Q420" s="525"/>
      <c r="R420" s="525"/>
      <c r="S420" s="525"/>
      <c r="T420" s="525"/>
      <c r="U420" s="525"/>
    </row>
    <row r="421" spans="1:21">
      <c r="A421" s="478"/>
      <c r="B421" s="8">
        <v>6</v>
      </c>
      <c r="D421" s="188" t="str">
        <f t="shared" si="84"/>
        <v>Clincial Quality</v>
      </c>
      <c r="E421" s="605">
        <f>VLOOKUP($B421,calcTableLOB2CSAT,$E$282,FALSE)</f>
        <v>5.4000000000000055E-3</v>
      </c>
      <c r="F421" s="525"/>
      <c r="G421" s="525"/>
      <c r="H421" s="332"/>
      <c r="I421" s="632"/>
      <c r="J421" s="188" t="str">
        <f t="shared" si="85"/>
        <v>Clincial Quality</v>
      </c>
      <c r="K421" s="605">
        <f>VLOOKUP($B421,calcR2TableLOB2CSAT,$E$282,FALSE)</f>
        <v>-1.1523369993501897E-3</v>
      </c>
      <c r="L421" s="525" t="s">
        <v>8078</v>
      </c>
      <c r="M421" s="525"/>
      <c r="N421" s="525"/>
      <c r="O421" s="525"/>
      <c r="P421" s="525"/>
      <c r="Q421" s="525"/>
      <c r="R421" s="525"/>
      <c r="S421" s="525"/>
      <c r="T421" s="525"/>
      <c r="U421" s="525"/>
    </row>
    <row r="422" spans="1:21">
      <c r="A422" s="478"/>
      <c r="B422" s="8">
        <v>9</v>
      </c>
      <c r="D422" s="188" t="str">
        <f t="shared" si="84"/>
        <v>Referrals Satisfaction</v>
      </c>
      <c r="E422" s="605">
        <f>VLOOKUP($B422,calcTableLOB2CSAT,$E$282,FALSE)</f>
        <v>0.71339999999999992</v>
      </c>
      <c r="F422" s="525"/>
      <c r="G422" s="525"/>
      <c r="H422" s="332"/>
      <c r="I422" s="632"/>
      <c r="J422" s="188">
        <f t="shared" si="85"/>
        <v>1</v>
      </c>
      <c r="K422" s="605">
        <f>VLOOKUP($B422,calcR2TableLOB2CSAT,$E$282,FALSE)</f>
        <v>0.74585013550552337</v>
      </c>
      <c r="L422" s="525" t="s">
        <v>8079</v>
      </c>
      <c r="M422" s="525"/>
      <c r="N422" s="525"/>
      <c r="O422" s="525"/>
      <c r="P422" s="525"/>
      <c r="Q422" s="525"/>
      <c r="R422" s="525"/>
      <c r="S422" s="525"/>
      <c r="T422" s="525"/>
      <c r="U422" s="525"/>
    </row>
    <row r="423" spans="1:21">
      <c r="A423" s="478"/>
      <c r="D423" s="188"/>
      <c r="E423" s="605"/>
      <c r="F423" s="525"/>
      <c r="G423" s="525"/>
      <c r="H423" s="332"/>
      <c r="I423" s="632"/>
      <c r="J423" s="188"/>
      <c r="K423" s="605"/>
      <c r="L423" s="525"/>
      <c r="M423" s="525"/>
      <c r="N423" s="525"/>
      <c r="O423" s="525"/>
      <c r="P423" s="525"/>
      <c r="Q423" s="525"/>
      <c r="R423" s="525"/>
      <c r="S423" s="525"/>
      <c r="T423" s="525"/>
      <c r="U423" s="525"/>
    </row>
    <row r="424" spans="1:21">
      <c r="A424" s="478"/>
      <c r="D424" s="188"/>
      <c r="E424" s="605"/>
      <c r="F424" s="525"/>
      <c r="G424" s="525"/>
      <c r="H424" s="332"/>
      <c r="I424" s="632"/>
      <c r="J424" s="188"/>
      <c r="K424" s="605"/>
      <c r="L424" s="525"/>
      <c r="M424" s="525"/>
      <c r="N424" s="525"/>
      <c r="O424" s="525"/>
      <c r="P424" s="525"/>
      <c r="Q424" s="525"/>
      <c r="R424" s="525"/>
      <c r="S424" s="525"/>
      <c r="T424" s="525"/>
      <c r="U424" s="525"/>
    </row>
    <row r="425" spans="1:21">
      <c r="A425" s="188"/>
      <c r="B425" s="188"/>
      <c r="F425" s="281"/>
      <c r="G425" s="281"/>
      <c r="H425" s="332"/>
      <c r="I425" s="332"/>
      <c r="L425" s="281"/>
      <c r="M425" s="281"/>
      <c r="N425" s="281"/>
      <c r="O425" s="281"/>
      <c r="P425" s="281"/>
      <c r="Q425" s="281"/>
      <c r="R425" s="281"/>
      <c r="S425" s="281"/>
      <c r="T425" s="281"/>
      <c r="U425" s="281"/>
    </row>
    <row r="426" spans="1:21">
      <c r="A426" s="188" t="s">
        <v>4924</v>
      </c>
      <c r="B426" s="188"/>
      <c r="D426" s="8" t="s">
        <v>4729</v>
      </c>
      <c r="E426" s="603"/>
      <c r="F426" s="281"/>
      <c r="G426" s="281"/>
      <c r="H426" s="332"/>
      <c r="I426" s="630"/>
      <c r="J426" s="8" t="s">
        <v>4729</v>
      </c>
      <c r="K426" s="603"/>
      <c r="L426" s="281"/>
      <c r="M426" s="281"/>
      <c r="N426" s="281"/>
      <c r="O426" s="281"/>
      <c r="P426" s="281"/>
      <c r="Q426" s="281"/>
      <c r="R426" s="281"/>
      <c r="S426" s="281"/>
      <c r="T426" s="281"/>
      <c r="U426" s="281"/>
    </row>
    <row r="427" spans="1:21">
      <c r="A427" s="188" t="s">
        <v>4924</v>
      </c>
      <c r="B427" s="188"/>
      <c r="D427" s="188" t="s">
        <v>2980</v>
      </c>
      <c r="E427" s="605">
        <f>(E409*$E$405+E418*$E$406)/($E$405+$E$406)</f>
        <v>1.6012526096033416E-2</v>
      </c>
      <c r="F427" s="525" t="s">
        <v>8080</v>
      </c>
      <c r="G427" s="525"/>
      <c r="H427" s="332"/>
      <c r="I427" s="632"/>
      <c r="J427" s="188" t="s">
        <v>2980</v>
      </c>
      <c r="K427" s="605">
        <f>(K409*$K$405+K418*$K$406)/($K$405+$K$406)</f>
        <v>3.5020876826722371E-2</v>
      </c>
      <c r="L427" s="525" t="s">
        <v>8081</v>
      </c>
      <c r="M427" s="525"/>
      <c r="N427" s="525"/>
      <c r="O427" s="525"/>
      <c r="P427" s="525"/>
      <c r="Q427" s="525"/>
      <c r="R427" s="525"/>
      <c r="S427" s="525"/>
      <c r="T427" s="525"/>
      <c r="U427" s="525"/>
    </row>
    <row r="428" spans="1:21">
      <c r="A428" s="188" t="s">
        <v>4924</v>
      </c>
      <c r="B428" s="188"/>
      <c r="D428" s="188" t="s">
        <v>1615</v>
      </c>
      <c r="E428" s="605">
        <f t="shared" ref="E428:E430" si="86">(E410*$E$405+E419*$E$406)/($E$405+$E$406)</f>
        <v>-2.8016701461377868E-2</v>
      </c>
      <c r="F428" s="525" t="s">
        <v>8082</v>
      </c>
      <c r="G428" s="525"/>
      <c r="H428" s="332"/>
      <c r="I428" s="632"/>
      <c r="J428" s="188" t="s">
        <v>1615</v>
      </c>
      <c r="K428" s="605">
        <f t="shared" ref="K428:K430" si="87">(K410*$K$405+K419*$K$406)/($K$405+$K$406)</f>
        <v>-8.0584551148225481E-3</v>
      </c>
      <c r="L428" s="525" t="s">
        <v>8083</v>
      </c>
      <c r="M428" s="525"/>
      <c r="N428" s="525"/>
      <c r="O428" s="525"/>
      <c r="P428" s="525"/>
      <c r="Q428" s="525"/>
      <c r="R428" s="525"/>
      <c r="S428" s="525"/>
      <c r="T428" s="525"/>
      <c r="U428" s="525"/>
    </row>
    <row r="429" spans="1:21">
      <c r="A429" s="188" t="s">
        <v>4924</v>
      </c>
      <c r="B429" s="188"/>
      <c r="D429" s="188" t="s">
        <v>489</v>
      </c>
      <c r="E429" s="605">
        <f t="shared" si="86"/>
        <v>1.3851356993736959E-2</v>
      </c>
      <c r="F429" s="525" t="s">
        <v>8084</v>
      </c>
      <c r="G429" s="525"/>
      <c r="H429" s="332"/>
      <c r="I429" s="632"/>
      <c r="J429" s="188" t="s">
        <v>489</v>
      </c>
      <c r="K429" s="605">
        <f t="shared" si="87"/>
        <v>-3.4275655762269855E-4</v>
      </c>
      <c r="L429" s="525" t="s">
        <v>8085</v>
      </c>
      <c r="M429" s="525"/>
      <c r="N429" s="525"/>
      <c r="O429" s="525"/>
      <c r="P429" s="525"/>
      <c r="Q429" s="525"/>
      <c r="R429" s="525"/>
      <c r="S429" s="525"/>
      <c r="T429" s="525"/>
      <c r="U429" s="525"/>
    </row>
    <row r="430" spans="1:21">
      <c r="A430" s="188" t="s">
        <v>4924</v>
      </c>
      <c r="B430" s="188"/>
      <c r="D430" s="188" t="s">
        <v>4351</v>
      </c>
      <c r="E430" s="605">
        <f t="shared" si="86"/>
        <v>4.8468475991649308E-3</v>
      </c>
      <c r="F430" s="525" t="s">
        <v>8086</v>
      </c>
      <c r="G430" s="525"/>
      <c r="H430" s="332"/>
      <c r="I430" s="632"/>
      <c r="J430" s="188" t="s">
        <v>4351</v>
      </c>
      <c r="K430" s="605">
        <f t="shared" si="87"/>
        <v>-1.2957008743497008E-3</v>
      </c>
      <c r="L430" s="525" t="s">
        <v>8087</v>
      </c>
      <c r="M430" s="525"/>
      <c r="N430" s="525"/>
      <c r="O430" s="525"/>
      <c r="P430" s="525"/>
      <c r="Q430" s="525"/>
      <c r="R430" s="525"/>
      <c r="S430" s="525"/>
      <c r="T430" s="525"/>
      <c r="U430" s="525"/>
    </row>
    <row r="431" spans="1:21">
      <c r="A431" s="188" t="s">
        <v>4924</v>
      </c>
      <c r="B431" s="188"/>
      <c r="D431" s="188" t="s">
        <v>2981</v>
      </c>
      <c r="E431" s="605">
        <f>INDEX(cbalCSAT,3)</f>
        <v>0.75397217118997917</v>
      </c>
      <c r="F431" s="525" t="s">
        <v>8088</v>
      </c>
      <c r="G431" s="525"/>
      <c r="H431" s="332"/>
      <c r="I431" s="632"/>
      <c r="J431" s="188" t="s">
        <v>2981</v>
      </c>
      <c r="K431" s="605">
        <f>INDEX(cbalR2CSAT,3)</f>
        <v>0.7748023985179231</v>
      </c>
      <c r="L431" s="525" t="s">
        <v>8089</v>
      </c>
      <c r="M431" s="525"/>
      <c r="N431" s="525"/>
      <c r="O431" s="525"/>
      <c r="P431" s="525"/>
      <c r="Q431" s="525"/>
      <c r="R431" s="525"/>
      <c r="S431" s="525"/>
      <c r="T431" s="525"/>
      <c r="U431" s="525"/>
    </row>
    <row r="432" spans="1:21">
      <c r="A432" s="188" t="s">
        <v>4924</v>
      </c>
      <c r="B432" s="188"/>
      <c r="D432" s="188"/>
      <c r="E432" s="605"/>
      <c r="F432" s="525"/>
      <c r="G432" s="525"/>
      <c r="H432" s="332"/>
      <c r="I432" s="632"/>
      <c r="J432" s="188"/>
      <c r="K432" s="605"/>
      <c r="L432" s="525"/>
      <c r="M432" s="525"/>
      <c r="N432" s="525"/>
      <c r="O432" s="525"/>
      <c r="P432" s="525"/>
      <c r="Q432" s="525"/>
      <c r="R432" s="525"/>
      <c r="S432" s="525"/>
      <c r="T432" s="525"/>
      <c r="U432" s="525"/>
    </row>
    <row r="433" spans="1:21">
      <c r="A433" s="188" t="s">
        <v>4924</v>
      </c>
      <c r="B433" s="188"/>
      <c r="D433" s="188"/>
      <c r="E433" s="605"/>
      <c r="F433" s="525"/>
      <c r="G433" s="525"/>
      <c r="H433" s="332"/>
      <c r="I433" s="632"/>
      <c r="J433" s="188"/>
      <c r="K433" s="605"/>
      <c r="L433" s="525"/>
      <c r="M433" s="525"/>
      <c r="N433" s="525"/>
      <c r="O433" s="525"/>
      <c r="P433" s="525"/>
      <c r="Q433" s="525"/>
      <c r="R433" s="525"/>
      <c r="S433" s="525"/>
      <c r="T433" s="525"/>
      <c r="U433" s="525"/>
    </row>
    <row r="434" spans="1:21">
      <c r="A434" s="188" t="s">
        <v>4924</v>
      </c>
      <c r="B434" s="188"/>
      <c r="F434" s="281"/>
      <c r="G434" s="281"/>
      <c r="H434" s="332"/>
      <c r="I434" s="332"/>
      <c r="L434" s="281"/>
      <c r="M434" s="281"/>
      <c r="N434" s="281"/>
      <c r="O434" s="281"/>
      <c r="P434" s="281"/>
      <c r="Q434" s="281"/>
      <c r="R434" s="281"/>
      <c r="S434" s="281"/>
      <c r="T434" s="281"/>
      <c r="U434" s="281"/>
    </row>
    <row r="435" spans="1:21">
      <c r="A435" s="461"/>
      <c r="D435" s="8">
        <v>3</v>
      </c>
      <c r="E435" s="8">
        <v>5</v>
      </c>
      <c r="F435" s="281"/>
      <c r="G435" s="281"/>
      <c r="H435" s="332"/>
      <c r="I435" s="332"/>
      <c r="J435" s="8">
        <v>3</v>
      </c>
      <c r="K435" s="8">
        <v>5</v>
      </c>
      <c r="L435" s="281"/>
      <c r="M435" s="281"/>
      <c r="N435" s="281"/>
      <c r="O435" s="281"/>
      <c r="P435" s="281"/>
      <c r="Q435" s="281"/>
      <c r="R435" s="281"/>
      <c r="S435" s="281"/>
      <c r="T435" s="281"/>
      <c r="U435" s="281"/>
    </row>
    <row r="436" spans="1:21">
      <c r="A436" s="461"/>
      <c r="D436" s="8" t="s">
        <v>4352</v>
      </c>
      <c r="E436" s="603"/>
      <c r="F436" s="281"/>
      <c r="G436" s="281"/>
      <c r="H436" s="332"/>
      <c r="I436" s="630"/>
      <c r="J436" s="8" t="s">
        <v>4352</v>
      </c>
      <c r="K436" s="603"/>
      <c r="L436" s="281"/>
      <c r="M436" s="281"/>
      <c r="N436" s="281"/>
      <c r="O436" s="281"/>
      <c r="P436" s="281"/>
      <c r="Q436" s="281"/>
      <c r="R436" s="281"/>
      <c r="S436" s="281"/>
      <c r="T436" s="281"/>
      <c r="U436" s="281"/>
    </row>
    <row r="437" spans="1:21">
      <c r="A437" s="461"/>
      <c r="B437" s="8">
        <v>3</v>
      </c>
      <c r="D437" s="188" t="str">
        <f t="shared" ref="D437:D442" si="88">VLOOKUP($B437,calcTableLOB1Stars,D$42,FALSE)</f>
        <v>DOO Actions</v>
      </c>
      <c r="E437" s="605">
        <f t="shared" ref="E437:E442" si="89">VLOOKUP($B437,calcTableLOB1Stars,$E$301,FALSE)</f>
        <v>5.0000000000000044E-2</v>
      </c>
      <c r="F437" s="525"/>
      <c r="G437" s="525"/>
      <c r="H437" s="332"/>
      <c r="I437" s="632"/>
      <c r="J437" s="188" t="str">
        <f t="shared" ref="J437:J442" si="90">VLOOKUP($B437,calcR2TableLOB1Stars,J$42,FALSE)</f>
        <v>DOO Actions</v>
      </c>
      <c r="K437" s="605">
        <f t="shared" ref="K437:K442" si="91">VLOOKUP($B437,calcR2TableLOB1Stars,$E$301,FALSE)</f>
        <v>1.5000000000000013E-2</v>
      </c>
      <c r="L437" s="525" t="s">
        <v>8090</v>
      </c>
      <c r="M437" s="525"/>
      <c r="N437" s="525"/>
      <c r="O437" s="525"/>
      <c r="P437" s="525"/>
      <c r="Q437" s="525"/>
      <c r="R437" s="525"/>
      <c r="S437" s="525"/>
      <c r="T437" s="525"/>
      <c r="U437" s="525"/>
    </row>
    <row r="438" spans="1:21">
      <c r="A438" s="461"/>
      <c r="B438" s="8">
        <v>4</v>
      </c>
      <c r="D438" s="188" t="str">
        <f t="shared" si="88"/>
        <v>DOO Utilzation</v>
      </c>
      <c r="E438" s="605">
        <f t="shared" si="89"/>
        <v>0</v>
      </c>
      <c r="F438" s="525"/>
      <c r="G438" s="525"/>
      <c r="H438" s="332"/>
      <c r="I438" s="632"/>
      <c r="J438" s="188" t="str">
        <f t="shared" si="90"/>
        <v>DOO Utilzation</v>
      </c>
      <c r="K438" s="605">
        <f t="shared" si="91"/>
        <v>-1.7500000000000016E-2</v>
      </c>
      <c r="L438" s="525" t="s">
        <v>8091</v>
      </c>
      <c r="M438" s="525"/>
      <c r="N438" s="525"/>
      <c r="O438" s="525"/>
      <c r="P438" s="525"/>
      <c r="Q438" s="525"/>
      <c r="R438" s="525"/>
      <c r="S438" s="525"/>
      <c r="T438" s="525"/>
      <c r="U438" s="525"/>
    </row>
    <row r="439" spans="1:21">
      <c r="A439" s="461"/>
      <c r="B439" s="8">
        <v>5</v>
      </c>
      <c r="D439" s="188" t="str">
        <f t="shared" si="88"/>
        <v>Missed Visits</v>
      </c>
      <c r="E439" s="605">
        <f t="shared" si="89"/>
        <v>-0.02</v>
      </c>
      <c r="F439" s="525"/>
      <c r="G439" s="525"/>
      <c r="H439" s="332"/>
      <c r="I439" s="632"/>
      <c r="J439" s="188" t="str">
        <f t="shared" si="90"/>
        <v>Missed Visits</v>
      </c>
      <c r="K439" s="605">
        <f t="shared" si="91"/>
        <v>-0.01</v>
      </c>
      <c r="L439" s="525" t="s">
        <v>8092</v>
      </c>
      <c r="M439" s="525"/>
      <c r="N439" s="525"/>
      <c r="O439" s="525"/>
      <c r="P439" s="525"/>
      <c r="Q439" s="525"/>
      <c r="R439" s="525"/>
      <c r="S439" s="525"/>
      <c r="T439" s="525"/>
      <c r="U439" s="525"/>
    </row>
    <row r="440" spans="1:21">
      <c r="A440" s="461"/>
      <c r="B440" s="8">
        <v>6</v>
      </c>
      <c r="D440" s="188" t="str">
        <f t="shared" si="88"/>
        <v xml:space="preserve">Clinical Utilzation </v>
      </c>
      <c r="E440" s="605">
        <f t="shared" si="89"/>
        <v>0</v>
      </c>
      <c r="F440" s="525"/>
      <c r="G440" s="525"/>
      <c r="H440" s="332"/>
      <c r="I440" s="632"/>
      <c r="J440" s="188" t="str">
        <f t="shared" si="90"/>
        <v xml:space="preserve">Clinical Utilzation </v>
      </c>
      <c r="K440" s="605">
        <f t="shared" si="91"/>
        <v>0</v>
      </c>
      <c r="L440" s="525" t="s">
        <v>8093</v>
      </c>
      <c r="M440" s="525"/>
      <c r="N440" s="525"/>
      <c r="O440" s="525"/>
      <c r="P440" s="525"/>
      <c r="Q440" s="525"/>
      <c r="R440" s="525"/>
      <c r="S440" s="525"/>
      <c r="T440" s="525"/>
      <c r="U440" s="525"/>
    </row>
    <row r="441" spans="1:21">
      <c r="A441" s="461"/>
      <c r="B441" s="8">
        <v>7</v>
      </c>
      <c r="D441" s="188" t="str">
        <f t="shared" si="88"/>
        <v>Employee Engagement</v>
      </c>
      <c r="E441" s="605">
        <f t="shared" si="89"/>
        <v>1.0199999999999987E-2</v>
      </c>
      <c r="F441" s="525"/>
      <c r="G441" s="525"/>
      <c r="H441" s="332"/>
      <c r="I441" s="632"/>
      <c r="J441" s="188" t="str">
        <f t="shared" si="90"/>
        <v>Employee Engagement</v>
      </c>
      <c r="K441" s="605">
        <f t="shared" si="91"/>
        <v>-2.6000000000000246E-3</v>
      </c>
      <c r="L441" s="525" t="s">
        <v>8094</v>
      </c>
      <c r="M441" s="525"/>
      <c r="N441" s="525"/>
      <c r="O441" s="525"/>
      <c r="P441" s="525"/>
      <c r="Q441" s="525"/>
      <c r="R441" s="525"/>
      <c r="S441" s="525"/>
      <c r="T441" s="525"/>
      <c r="U441" s="525"/>
    </row>
    <row r="442" spans="1:21">
      <c r="A442" s="461"/>
      <c r="B442" s="8">
        <v>9</v>
      </c>
      <c r="D442" s="188" t="str">
        <f t="shared" si="88"/>
        <v>Clinical Quality</v>
      </c>
      <c r="E442" s="605">
        <f t="shared" si="89"/>
        <v>0.82020000000000004</v>
      </c>
      <c r="F442" s="525"/>
      <c r="G442" s="525"/>
      <c r="H442" s="332"/>
      <c r="I442" s="632"/>
      <c r="J442" s="188">
        <f t="shared" si="90"/>
        <v>1</v>
      </c>
      <c r="K442" s="605">
        <f t="shared" si="91"/>
        <v>0.74979999999999991</v>
      </c>
      <c r="L442" s="525" t="s">
        <v>8095</v>
      </c>
      <c r="M442" s="525"/>
      <c r="N442" s="525"/>
      <c r="O442" s="525"/>
      <c r="P442" s="525"/>
      <c r="Q442" s="525"/>
      <c r="R442" s="525"/>
      <c r="S442" s="525"/>
      <c r="T442" s="525"/>
      <c r="U442" s="525"/>
    </row>
    <row r="443" spans="1:21">
      <c r="A443" s="461"/>
      <c r="D443" s="188"/>
      <c r="E443" s="605"/>
      <c r="F443" s="525"/>
      <c r="G443" s="525"/>
      <c r="H443" s="332"/>
      <c r="I443" s="632"/>
      <c r="J443" s="188"/>
      <c r="K443" s="605"/>
      <c r="L443" s="525"/>
      <c r="M443" s="525"/>
      <c r="N443" s="525"/>
      <c r="O443" s="525"/>
      <c r="P443" s="525"/>
      <c r="Q443" s="525"/>
      <c r="R443" s="525"/>
      <c r="S443" s="525"/>
      <c r="T443" s="525"/>
      <c r="U443" s="525"/>
    </row>
    <row r="444" spans="1:21">
      <c r="A444" s="478"/>
      <c r="D444" s="8">
        <v>3</v>
      </c>
      <c r="E444" s="8">
        <v>5</v>
      </c>
      <c r="F444" s="281"/>
      <c r="G444" s="281"/>
      <c r="H444" s="332"/>
      <c r="I444" s="332"/>
      <c r="J444" s="8">
        <v>3</v>
      </c>
      <c r="K444" s="8">
        <v>5</v>
      </c>
      <c r="L444" s="281"/>
      <c r="M444" s="281"/>
      <c r="N444" s="281"/>
      <c r="O444" s="281"/>
      <c r="P444" s="281"/>
      <c r="Q444" s="281"/>
      <c r="R444" s="281"/>
      <c r="S444" s="281"/>
      <c r="T444" s="281"/>
      <c r="U444" s="281"/>
    </row>
    <row r="445" spans="1:21">
      <c r="A445" s="478"/>
      <c r="D445" s="8" t="s">
        <v>4352</v>
      </c>
      <c r="E445" s="603"/>
      <c r="F445" s="281"/>
      <c r="G445" s="281"/>
      <c r="H445" s="332"/>
      <c r="I445" s="630"/>
      <c r="J445" s="8" t="s">
        <v>4352</v>
      </c>
      <c r="K445" s="603"/>
      <c r="L445" s="281"/>
      <c r="M445" s="281"/>
      <c r="N445" s="281"/>
      <c r="O445" s="281"/>
      <c r="P445" s="281"/>
      <c r="Q445" s="281"/>
      <c r="R445" s="281"/>
      <c r="S445" s="281"/>
      <c r="T445" s="281"/>
      <c r="U445" s="281"/>
    </row>
    <row r="446" spans="1:21">
      <c r="A446" s="478"/>
      <c r="B446" s="8">
        <v>3</v>
      </c>
      <c r="D446" s="188" t="str">
        <f t="shared" ref="D446:D451" si="92">VLOOKUP($B446,calcTableLOB2Stars,D$42,FALSE)</f>
        <v>DOO Actions</v>
      </c>
      <c r="E446" s="605">
        <f t="shared" ref="E446:E451" si="93">VLOOKUP($B446,calcTableLOB2Stars,$E$310,FALSE)</f>
        <v>6.0000000000000053E-2</v>
      </c>
      <c r="F446" s="525"/>
      <c r="G446" s="525"/>
      <c r="H446" s="332"/>
      <c r="I446" s="632"/>
      <c r="J446" s="188" t="str">
        <f t="shared" ref="J446:J451" si="94">VLOOKUP($B446,calcR2TableLOB2Stars,J$42,FALSE)</f>
        <v>DOO Actions</v>
      </c>
      <c r="K446" s="605">
        <f t="shared" ref="K446:K451" si="95">VLOOKUP($B446,calcR2TableLOB2Stars,$E$310,FALSE)</f>
        <v>1.5000000000000013E-2</v>
      </c>
      <c r="L446" s="525" t="s">
        <v>8096</v>
      </c>
      <c r="M446" s="525"/>
      <c r="N446" s="525"/>
      <c r="O446" s="525"/>
      <c r="P446" s="525"/>
      <c r="Q446" s="525"/>
      <c r="R446" s="525"/>
      <c r="S446" s="525"/>
      <c r="T446" s="525"/>
      <c r="U446" s="525"/>
    </row>
    <row r="447" spans="1:21">
      <c r="A447" s="478"/>
      <c r="B447" s="8">
        <v>4</v>
      </c>
      <c r="D447" s="188" t="str">
        <f t="shared" si="92"/>
        <v>DOO Utilzation</v>
      </c>
      <c r="E447" s="605">
        <f t="shared" si="93"/>
        <v>0</v>
      </c>
      <c r="F447" s="525"/>
      <c r="G447" s="525"/>
      <c r="H447" s="332"/>
      <c r="I447" s="632"/>
      <c r="J447" s="188" t="str">
        <f t="shared" si="94"/>
        <v>DOO Utilzation</v>
      </c>
      <c r="K447" s="605">
        <f t="shared" si="95"/>
        <v>-7.5000000000000067E-3</v>
      </c>
      <c r="L447" s="525" t="s">
        <v>8097</v>
      </c>
      <c r="M447" s="525"/>
      <c r="N447" s="525"/>
      <c r="O447" s="525"/>
      <c r="P447" s="525"/>
      <c r="Q447" s="525"/>
      <c r="R447" s="525"/>
      <c r="S447" s="525"/>
      <c r="T447" s="525"/>
      <c r="U447" s="525"/>
    </row>
    <row r="448" spans="1:21">
      <c r="A448" s="478"/>
      <c r="B448" s="8">
        <v>5</v>
      </c>
      <c r="D448" s="188" t="str">
        <f t="shared" si="92"/>
        <v>Missed Visits</v>
      </c>
      <c r="E448" s="605">
        <f t="shared" si="93"/>
        <v>-0.03</v>
      </c>
      <c r="F448" s="525"/>
      <c r="G448" s="525"/>
      <c r="H448" s="332"/>
      <c r="I448" s="632"/>
      <c r="J448" s="188" t="str">
        <f t="shared" si="94"/>
        <v>Missed Visits</v>
      </c>
      <c r="K448" s="605">
        <f t="shared" si="95"/>
        <v>-0.02</v>
      </c>
      <c r="L448" s="525" t="s">
        <v>8098</v>
      </c>
      <c r="M448" s="525"/>
      <c r="N448" s="525"/>
      <c r="O448" s="525"/>
      <c r="P448" s="525"/>
      <c r="Q448" s="525"/>
      <c r="R448" s="525"/>
      <c r="S448" s="525"/>
      <c r="T448" s="525"/>
      <c r="U448" s="525"/>
    </row>
    <row r="449" spans="1:21">
      <c r="A449" s="478"/>
      <c r="B449" s="8">
        <v>6</v>
      </c>
      <c r="D449" s="188">
        <f t="shared" si="92"/>
        <v>0</v>
      </c>
      <c r="E449" s="605">
        <f t="shared" si="93"/>
        <v>0</v>
      </c>
      <c r="F449" s="525"/>
      <c r="G449" s="525"/>
      <c r="H449" s="332"/>
      <c r="I449" s="632"/>
      <c r="J449" s="188">
        <f t="shared" si="94"/>
        <v>0</v>
      </c>
      <c r="K449" s="605">
        <f t="shared" si="95"/>
        <v>0</v>
      </c>
      <c r="L449" s="525" t="s">
        <v>8099</v>
      </c>
      <c r="M449" s="525"/>
      <c r="N449" s="525"/>
      <c r="O449" s="525"/>
      <c r="P449" s="525"/>
      <c r="Q449" s="525"/>
      <c r="R449" s="525"/>
      <c r="S449" s="525"/>
      <c r="T449" s="525"/>
      <c r="U449" s="525"/>
    </row>
    <row r="450" spans="1:21">
      <c r="A450" s="478"/>
      <c r="B450" s="8">
        <v>7</v>
      </c>
      <c r="D450" s="188" t="str">
        <f t="shared" si="92"/>
        <v>Employee Engagement</v>
      </c>
      <c r="E450" s="605">
        <f t="shared" si="93"/>
        <v>2.4000000000000021E-2</v>
      </c>
      <c r="F450" s="525"/>
      <c r="G450" s="525"/>
      <c r="H450" s="332"/>
      <c r="I450" s="632"/>
      <c r="J450" s="188" t="str">
        <f t="shared" si="94"/>
        <v>Employee Engagement</v>
      </c>
      <c r="K450" s="605">
        <f t="shared" si="95"/>
        <v>9.7663000649816922E-4</v>
      </c>
      <c r="L450" s="525" t="s">
        <v>8100</v>
      </c>
      <c r="M450" s="525"/>
      <c r="N450" s="525"/>
      <c r="O450" s="525"/>
      <c r="P450" s="525"/>
      <c r="Q450" s="525"/>
      <c r="R450" s="525"/>
      <c r="S450" s="525"/>
      <c r="T450" s="525"/>
      <c r="U450" s="525"/>
    </row>
    <row r="451" spans="1:21">
      <c r="A451" s="478"/>
      <c r="B451" s="8">
        <v>9</v>
      </c>
      <c r="D451" s="188" t="str">
        <f t="shared" si="92"/>
        <v>Clinical Quality</v>
      </c>
      <c r="E451" s="605">
        <f t="shared" si="93"/>
        <v>0.754</v>
      </c>
      <c r="F451" s="525"/>
      <c r="G451" s="525"/>
      <c r="H451" s="332"/>
      <c r="I451" s="632"/>
      <c r="J451" s="188" t="str">
        <f t="shared" si="94"/>
        <v>Clinical Quality</v>
      </c>
      <c r="K451" s="605">
        <f t="shared" si="95"/>
        <v>0.74217663000649803</v>
      </c>
      <c r="L451" s="525" t="s">
        <v>8101</v>
      </c>
      <c r="M451" s="525"/>
      <c r="N451" s="525"/>
      <c r="O451" s="525"/>
      <c r="P451" s="525"/>
      <c r="Q451" s="525"/>
      <c r="R451" s="525"/>
      <c r="S451" s="525"/>
      <c r="T451" s="525"/>
      <c r="U451" s="525"/>
    </row>
    <row r="452" spans="1:21">
      <c r="A452" s="478"/>
      <c r="D452" s="188"/>
      <c r="E452" s="605"/>
      <c r="F452" s="525"/>
      <c r="G452" s="525"/>
      <c r="H452" s="332"/>
      <c r="I452" s="632"/>
      <c r="J452" s="188"/>
      <c r="K452" s="605"/>
      <c r="L452" s="525"/>
      <c r="M452" s="525"/>
      <c r="N452" s="525"/>
      <c r="O452" s="525"/>
      <c r="P452" s="525"/>
      <c r="Q452" s="525"/>
      <c r="R452" s="525"/>
      <c r="S452" s="525"/>
      <c r="T452" s="525"/>
      <c r="U452" s="525"/>
    </row>
    <row r="453" spans="1:21">
      <c r="A453" s="478"/>
      <c r="F453" s="281"/>
      <c r="G453" s="281"/>
      <c r="H453" s="332"/>
      <c r="I453" s="332"/>
      <c r="L453" s="281"/>
      <c r="M453" s="281"/>
      <c r="N453" s="281"/>
      <c r="O453" s="281"/>
      <c r="P453" s="281"/>
      <c r="Q453" s="281"/>
      <c r="R453" s="281"/>
      <c r="S453" s="281"/>
      <c r="T453" s="281"/>
      <c r="U453" s="281"/>
    </row>
    <row r="454" spans="1:21">
      <c r="A454" s="188" t="s">
        <v>4924</v>
      </c>
      <c r="B454" s="188"/>
      <c r="F454" s="281"/>
      <c r="G454" s="281"/>
      <c r="H454" s="332"/>
      <c r="I454" s="332"/>
      <c r="L454" s="281"/>
      <c r="M454" s="281"/>
      <c r="N454" s="281"/>
      <c r="O454" s="281"/>
      <c r="P454" s="281"/>
      <c r="Q454" s="281"/>
      <c r="R454" s="281"/>
      <c r="S454" s="281"/>
      <c r="T454" s="281"/>
      <c r="U454" s="281"/>
    </row>
    <row r="455" spans="1:21">
      <c r="A455" s="188" t="s">
        <v>4924</v>
      </c>
      <c r="B455" s="188"/>
      <c r="D455" s="8" t="s">
        <v>4352</v>
      </c>
      <c r="E455" s="603"/>
      <c r="F455" s="281"/>
      <c r="G455" s="281"/>
      <c r="H455" s="332"/>
      <c r="I455" s="630"/>
      <c r="J455" s="8" t="s">
        <v>4352</v>
      </c>
      <c r="K455" s="603"/>
      <c r="L455" s="281"/>
      <c r="M455" s="281"/>
      <c r="N455" s="281"/>
      <c r="O455" s="281"/>
      <c r="P455" s="281"/>
      <c r="Q455" s="281"/>
      <c r="R455" s="281"/>
      <c r="S455" s="281"/>
      <c r="T455" s="281"/>
      <c r="U455" s="281"/>
    </row>
    <row r="456" spans="1:21">
      <c r="A456" s="188" t="s">
        <v>4924</v>
      </c>
      <c r="B456" s="188"/>
      <c r="D456" s="188" t="s">
        <v>2980</v>
      </c>
      <c r="E456" s="605">
        <f>(E437*$E$405+E446*$E$406)/($E$405+$E$406)</f>
        <v>5.5991649269311113E-2</v>
      </c>
      <c r="F456" s="525" t="s">
        <v>8102</v>
      </c>
      <c r="G456" s="525"/>
      <c r="H456" s="332"/>
      <c r="I456" s="632"/>
      <c r="J456" s="188" t="s">
        <v>2980</v>
      </c>
      <c r="K456" s="605">
        <f>(K437*$K$405+K446*$K$406)/($K$405+$K$406)</f>
        <v>1.5000000000000015E-2</v>
      </c>
      <c r="L456" s="525" t="s">
        <v>8103</v>
      </c>
      <c r="M456" s="525"/>
      <c r="N456" s="525"/>
      <c r="O456" s="525"/>
      <c r="P456" s="525"/>
      <c r="Q456" s="525"/>
      <c r="R456" s="525"/>
      <c r="S456" s="525"/>
      <c r="T456" s="525"/>
      <c r="U456" s="525"/>
    </row>
    <row r="457" spans="1:21">
      <c r="A457" s="188" t="s">
        <v>4924</v>
      </c>
      <c r="B457" s="188"/>
      <c r="D457" s="188" t="s">
        <v>491</v>
      </c>
      <c r="E457" s="605">
        <f t="shared" ref="E457:E460" si="96">(E438*$E$405+E447*$E$406)/($E$405+$E$406)</f>
        <v>0</v>
      </c>
      <c r="F457" s="525" t="s">
        <v>8104</v>
      </c>
      <c r="G457" s="525"/>
      <c r="H457" s="332"/>
      <c r="I457" s="632"/>
      <c r="J457" s="188" t="s">
        <v>491</v>
      </c>
      <c r="K457" s="605">
        <f t="shared" ref="K457:K460" si="97">(K438*$K$405+K447*$K$406)/($K$405+$K$406)</f>
        <v>-1.1508350730688946E-2</v>
      </c>
      <c r="L457" s="525" t="s">
        <v>8105</v>
      </c>
      <c r="M457" s="525"/>
      <c r="N457" s="525"/>
      <c r="O457" s="525"/>
      <c r="P457" s="525"/>
      <c r="Q457" s="525"/>
      <c r="R457" s="525"/>
      <c r="S457" s="525"/>
      <c r="T457" s="525"/>
      <c r="U457" s="525"/>
    </row>
    <row r="458" spans="1:21">
      <c r="A458" s="188" t="s">
        <v>4924</v>
      </c>
      <c r="B458" s="188"/>
      <c r="D458" s="188" t="s">
        <v>1615</v>
      </c>
      <c r="E458" s="605">
        <f t="shared" si="96"/>
        <v>-2.5991649269311062E-2</v>
      </c>
      <c r="F458" s="525" t="s">
        <v>8106</v>
      </c>
      <c r="G458" s="525"/>
      <c r="H458" s="332"/>
      <c r="I458" s="632"/>
      <c r="J458" s="188" t="s">
        <v>1615</v>
      </c>
      <c r="K458" s="605">
        <f t="shared" si="97"/>
        <v>-1.5991649269311063E-2</v>
      </c>
      <c r="L458" s="525" t="s">
        <v>8107</v>
      </c>
      <c r="M458" s="525"/>
      <c r="N458" s="525"/>
      <c r="O458" s="525"/>
      <c r="P458" s="525"/>
      <c r="Q458" s="525"/>
      <c r="R458" s="525"/>
      <c r="S458" s="525"/>
      <c r="T458" s="525"/>
      <c r="U458" s="525"/>
    </row>
    <row r="459" spans="1:21">
      <c r="A459" s="188" t="s">
        <v>4924</v>
      </c>
      <c r="B459" s="188"/>
      <c r="D459" s="188" t="s">
        <v>3351</v>
      </c>
      <c r="E459" s="605">
        <f t="shared" si="96"/>
        <v>0</v>
      </c>
      <c r="F459" s="525" t="s">
        <v>8108</v>
      </c>
      <c r="G459" s="525"/>
      <c r="H459" s="332"/>
      <c r="I459" s="632"/>
      <c r="J459" s="188" t="s">
        <v>3351</v>
      </c>
      <c r="K459" s="605">
        <f t="shared" si="97"/>
        <v>0</v>
      </c>
      <c r="L459" s="525" t="s">
        <v>8109</v>
      </c>
      <c r="M459" s="525"/>
      <c r="N459" s="525"/>
      <c r="O459" s="525"/>
      <c r="P459" s="525"/>
      <c r="Q459" s="525"/>
      <c r="R459" s="525"/>
      <c r="S459" s="525"/>
      <c r="T459" s="525"/>
      <c r="U459" s="525"/>
    </row>
    <row r="460" spans="1:21">
      <c r="A460" s="188" t="s">
        <v>4924</v>
      </c>
      <c r="B460" s="188"/>
      <c r="D460" s="188" t="s">
        <v>489</v>
      </c>
      <c r="E460" s="605">
        <f t="shared" si="96"/>
        <v>1.8468475991649278E-2</v>
      </c>
      <c r="F460" s="525" t="s">
        <v>8110</v>
      </c>
      <c r="G460" s="525"/>
      <c r="H460" s="332"/>
      <c r="I460" s="632"/>
      <c r="J460" s="188" t="s">
        <v>489</v>
      </c>
      <c r="K460" s="605">
        <f t="shared" si="97"/>
        <v>-4.5700874349693151E-4</v>
      </c>
      <c r="L460" s="525" t="s">
        <v>8111</v>
      </c>
      <c r="M460" s="525"/>
      <c r="N460" s="525"/>
      <c r="O460" s="525"/>
      <c r="P460" s="525"/>
      <c r="Q460" s="525"/>
      <c r="R460" s="525"/>
      <c r="S460" s="525"/>
      <c r="T460" s="525"/>
      <c r="U460" s="525"/>
    </row>
    <row r="461" spans="1:21">
      <c r="A461" s="188" t="s">
        <v>4924</v>
      </c>
      <c r="B461" s="188"/>
      <c r="D461" s="188" t="s">
        <v>2981</v>
      </c>
      <c r="E461" s="605">
        <f>INDEX(cbalStars,3)</f>
        <v>0.75818935281837141</v>
      </c>
      <c r="F461" s="525" t="s">
        <v>8112</v>
      </c>
      <c r="G461" s="525"/>
      <c r="H461" s="332"/>
      <c r="I461" s="632"/>
      <c r="J461" s="188" t="s">
        <v>2981</v>
      </c>
      <c r="K461" s="605">
        <f>INDEX(cbalR2Stars,3)</f>
        <v>0.7452323440748746</v>
      </c>
      <c r="L461" s="525" t="s">
        <v>8113</v>
      </c>
      <c r="M461" s="525"/>
      <c r="N461" s="525"/>
      <c r="O461" s="525"/>
      <c r="P461" s="525"/>
      <c r="Q461" s="525"/>
      <c r="R461" s="525"/>
      <c r="S461" s="525"/>
      <c r="T461" s="525"/>
      <c r="U461" s="525"/>
    </row>
    <row r="462" spans="1:21">
      <c r="A462" s="188" t="s">
        <v>4924</v>
      </c>
      <c r="B462" s="188"/>
      <c r="D462" s="188"/>
      <c r="E462" s="605"/>
      <c r="F462" s="525"/>
      <c r="G462" s="525"/>
      <c r="H462" s="332"/>
      <c r="I462" s="632"/>
      <c r="J462" s="188"/>
      <c r="K462" s="605"/>
      <c r="L462" s="525"/>
      <c r="M462" s="525"/>
      <c r="N462" s="525"/>
      <c r="O462" s="525"/>
      <c r="P462" s="525"/>
      <c r="Q462" s="525"/>
      <c r="R462" s="525"/>
      <c r="S462" s="525"/>
      <c r="T462" s="525"/>
      <c r="U462" s="525"/>
    </row>
    <row r="463" spans="1:21">
      <c r="A463" s="188" t="s">
        <v>4924</v>
      </c>
      <c r="B463" s="188"/>
      <c r="F463" s="281"/>
      <c r="G463" s="281"/>
      <c r="H463" s="332"/>
      <c r="I463" s="332"/>
      <c r="L463" s="281"/>
      <c r="M463" s="281"/>
      <c r="N463" s="281"/>
      <c r="O463" s="281"/>
      <c r="P463" s="281"/>
      <c r="Q463" s="281"/>
      <c r="R463" s="281"/>
      <c r="S463" s="281"/>
      <c r="T463" s="281"/>
      <c r="U463" s="281"/>
    </row>
    <row r="464" spans="1:21">
      <c r="A464" s="461"/>
      <c r="D464" s="8">
        <v>3</v>
      </c>
      <c r="E464" s="8">
        <v>5</v>
      </c>
      <c r="F464" s="281"/>
      <c r="G464" s="281"/>
      <c r="H464" s="332"/>
      <c r="I464" s="332"/>
      <c r="J464" s="8">
        <v>3</v>
      </c>
      <c r="K464" s="8">
        <v>5</v>
      </c>
      <c r="L464" s="281"/>
      <c r="M464" s="281"/>
      <c r="N464" s="281"/>
      <c r="O464" s="281"/>
      <c r="P464" s="281"/>
      <c r="Q464" s="281"/>
      <c r="R464" s="281"/>
      <c r="S464" s="281"/>
      <c r="T464" s="281"/>
      <c r="U464" s="281"/>
    </row>
    <row r="465" spans="1:21">
      <c r="A465" s="461"/>
      <c r="D465" s="8" t="s">
        <v>489</v>
      </c>
      <c r="E465" s="603"/>
      <c r="F465" s="281"/>
      <c r="G465" s="281"/>
      <c r="H465" s="332"/>
      <c r="I465" s="630"/>
      <c r="J465" s="8" t="s">
        <v>489</v>
      </c>
      <c r="K465" s="603"/>
      <c r="L465" s="281"/>
      <c r="M465" s="281"/>
      <c r="N465" s="281"/>
      <c r="O465" s="281"/>
      <c r="P465" s="281"/>
      <c r="Q465" s="281"/>
      <c r="R465" s="281"/>
      <c r="S465" s="281"/>
      <c r="T465" s="281"/>
      <c r="U465" s="281"/>
    </row>
    <row r="466" spans="1:21">
      <c r="A466" s="461"/>
      <c r="B466" s="8">
        <v>3</v>
      </c>
      <c r="D466" s="188" t="str">
        <f>VLOOKUP($B466,calcTableLOB1ESAT,D$42,FALSE)</f>
        <v>DOO Actions</v>
      </c>
      <c r="E466" s="605">
        <f>VLOOKUP($B466,calcTableLOB1ESAT,$E$330,FALSE)</f>
        <v>1.0500000000000009E-2</v>
      </c>
      <c r="F466" s="525"/>
      <c r="G466" s="525"/>
      <c r="H466" s="332"/>
      <c r="I466" s="632"/>
      <c r="J466" s="188" t="str">
        <f>VLOOKUP($B466,calcR2TableLOB1ESAT,J$42,FALSE)</f>
        <v>DOO Actions</v>
      </c>
      <c r="K466" s="605">
        <f>VLOOKUP($B466,calcR2TableLOB1ESAT,$E$330,FALSE)</f>
        <v>3.5000000000000027E-3</v>
      </c>
      <c r="L466" s="525" t="s">
        <v>8114</v>
      </c>
      <c r="M466" s="525"/>
      <c r="N466" s="525"/>
      <c r="O466" s="525"/>
      <c r="P466" s="525"/>
      <c r="Q466" s="525"/>
      <c r="R466" s="525"/>
      <c r="S466" s="525"/>
      <c r="T466" s="525"/>
      <c r="U466" s="525"/>
    </row>
    <row r="467" spans="1:21">
      <c r="A467" s="461"/>
      <c r="B467" s="8">
        <v>4</v>
      </c>
      <c r="D467" s="188" t="str">
        <f>VLOOKUP($B467,calcTableLOB1ESAT,D$42,FALSE)</f>
        <v>People Development Time</v>
      </c>
      <c r="E467" s="605">
        <f>VLOOKUP($B467,calcTableLOB1ESAT,$E$330,FALSE)</f>
        <v>1.4999999999999999E-2</v>
      </c>
      <c r="F467" s="525"/>
      <c r="G467" s="525"/>
      <c r="H467" s="332"/>
      <c r="I467" s="632"/>
      <c r="J467" s="188" t="str">
        <f>VLOOKUP($B467,calcR2TableLOB1ESAT,J$42,FALSE)</f>
        <v>People Development Time</v>
      </c>
      <c r="K467" s="605">
        <f>VLOOKUP($B467,calcR2TableLOB1ESAT,$E$330,FALSE)</f>
        <v>2.5000000000000001E-2</v>
      </c>
      <c r="L467" s="525" t="s">
        <v>8115</v>
      </c>
      <c r="M467" s="525"/>
      <c r="N467" s="525"/>
      <c r="O467" s="525"/>
      <c r="P467" s="525"/>
      <c r="Q467" s="525"/>
      <c r="R467" s="525"/>
      <c r="S467" s="525"/>
      <c r="T467" s="525"/>
      <c r="U467" s="525"/>
    </row>
    <row r="468" spans="1:21">
      <c r="A468" s="461"/>
      <c r="B468" s="8">
        <v>5</v>
      </c>
      <c r="D468" s="188" t="str">
        <f>VLOOKUP($B468,calcTableLOB1ESAT,D$42,FALSE)</f>
        <v>DOO Utilzation</v>
      </c>
      <c r="E468" s="605">
        <f>VLOOKUP($B468,calcTableLOB1ESAT,$E$330,FALSE)</f>
        <v>0</v>
      </c>
      <c r="F468" s="525"/>
      <c r="G468" s="525"/>
      <c r="H468" s="332"/>
      <c r="I468" s="632"/>
      <c r="J468" s="188" t="str">
        <f>VLOOKUP($B468,calcR2TableLOB1ESAT,J$42,FALSE)</f>
        <v>DOO Utilzation</v>
      </c>
      <c r="K468" s="605">
        <f>VLOOKUP($B468,calcR2TableLOB1ESAT,$E$330,FALSE)</f>
        <v>-3.5000000000000031E-2</v>
      </c>
      <c r="L468" s="525" t="s">
        <v>8116</v>
      </c>
      <c r="M468" s="525"/>
      <c r="N468" s="525"/>
      <c r="O468" s="525"/>
      <c r="P468" s="525"/>
      <c r="Q468" s="525"/>
      <c r="R468" s="525"/>
      <c r="S468" s="525"/>
      <c r="T468" s="525"/>
      <c r="U468" s="525"/>
    </row>
    <row r="469" spans="1:21">
      <c r="A469" s="461"/>
      <c r="B469" s="8">
        <v>6</v>
      </c>
      <c r="D469" s="188" t="str">
        <f>VLOOKUP($B469,calcTableLOB1ESAT,D$42,FALSE)</f>
        <v>DOO Staff Modification</v>
      </c>
      <c r="E469" s="605">
        <f>VLOOKUP($B469,calcTableLOB1ESAT,$E$330,FALSE)</f>
        <v>0</v>
      </c>
      <c r="F469" s="525"/>
      <c r="G469" s="525"/>
      <c r="H469" s="332"/>
      <c r="I469" s="632"/>
      <c r="J469" s="188" t="str">
        <f>VLOOKUP($B469,calcR2TableLOB1ESAT,J$42,FALSE)</f>
        <v>DOO Staff Modification</v>
      </c>
      <c r="K469" s="605">
        <f>VLOOKUP($B469,calcR2TableLOB1ESAT,$E$330,FALSE)</f>
        <v>0</v>
      </c>
      <c r="L469" s="525" t="s">
        <v>8116</v>
      </c>
      <c r="M469" s="525"/>
      <c r="N469" s="525"/>
      <c r="O469" s="525"/>
      <c r="P469" s="525"/>
      <c r="Q469" s="525"/>
      <c r="R469" s="525"/>
      <c r="S469" s="525"/>
      <c r="T469" s="525"/>
      <c r="U469" s="525"/>
    </row>
    <row r="470" spans="1:21">
      <c r="A470" s="461"/>
      <c r="B470" s="8">
        <v>7</v>
      </c>
      <c r="D470" s="188" t="str">
        <f>VLOOKUP($B470,calcTableLOB1ESAT,D$42,FALSE)</f>
        <v>Employee Engagement</v>
      </c>
      <c r="E470" s="605">
        <f>VLOOKUP($B470,calcTableLOB1ESAT,$E$330,FALSE)</f>
        <v>0.77549999999999997</v>
      </c>
      <c r="F470" s="525"/>
      <c r="G470" s="525"/>
      <c r="H470" s="332"/>
      <c r="I470" s="632"/>
      <c r="J470" s="188">
        <f>VLOOKUP($B470,calcR2TableLOB1ESAT,J$42,FALSE)</f>
        <v>1</v>
      </c>
      <c r="K470" s="605">
        <f>VLOOKUP($B470,calcR2TableLOB1ESAT,$E$330,FALSE)</f>
        <v>0.73699999999999988</v>
      </c>
      <c r="L470" s="525" t="s">
        <v>8117</v>
      </c>
      <c r="M470" s="525"/>
      <c r="N470" s="525"/>
      <c r="O470" s="525"/>
      <c r="P470" s="525"/>
      <c r="Q470" s="525"/>
      <c r="R470" s="525"/>
      <c r="S470" s="525"/>
      <c r="T470" s="525"/>
      <c r="U470" s="525"/>
    </row>
    <row r="471" spans="1:21">
      <c r="A471" s="461"/>
      <c r="D471" s="188"/>
      <c r="E471" s="605"/>
      <c r="F471" s="525"/>
      <c r="G471" s="525"/>
      <c r="H471" s="332"/>
      <c r="I471" s="632"/>
      <c r="J471" s="188"/>
      <c r="K471" s="605"/>
      <c r="L471" s="525"/>
      <c r="M471" s="525"/>
      <c r="N471" s="525"/>
      <c r="O471" s="525"/>
      <c r="P471" s="525"/>
      <c r="Q471" s="525"/>
      <c r="R471" s="525"/>
      <c r="S471" s="525"/>
      <c r="T471" s="525"/>
      <c r="U471" s="525"/>
    </row>
    <row r="472" spans="1:21">
      <c r="A472" s="461"/>
      <c r="D472" s="188"/>
      <c r="E472" s="605"/>
      <c r="F472" s="525"/>
      <c r="G472" s="525"/>
      <c r="H472" s="332"/>
      <c r="I472" s="632"/>
      <c r="J472" s="188"/>
      <c r="K472" s="605"/>
      <c r="L472" s="525"/>
      <c r="M472" s="525"/>
      <c r="N472" s="525"/>
      <c r="O472" s="525"/>
      <c r="P472" s="525"/>
      <c r="Q472" s="525"/>
      <c r="R472" s="525"/>
      <c r="S472" s="525"/>
      <c r="T472" s="525"/>
      <c r="U472" s="525"/>
    </row>
    <row r="473" spans="1:21">
      <c r="A473" s="461"/>
      <c r="D473" s="188"/>
      <c r="E473" s="605"/>
      <c r="F473" s="525"/>
      <c r="G473" s="525"/>
      <c r="H473" s="332"/>
      <c r="I473" s="632"/>
      <c r="J473" s="188"/>
      <c r="K473" s="605"/>
      <c r="L473" s="525"/>
      <c r="M473" s="525"/>
      <c r="N473" s="525"/>
      <c r="O473" s="525"/>
      <c r="P473" s="525"/>
      <c r="Q473" s="525"/>
      <c r="R473" s="525"/>
      <c r="S473" s="525"/>
      <c r="T473" s="525"/>
      <c r="U473" s="525"/>
    </row>
    <row r="474" spans="1:21">
      <c r="A474" s="478"/>
      <c r="D474" s="8">
        <v>3</v>
      </c>
      <c r="E474" s="8">
        <v>5</v>
      </c>
      <c r="F474" s="281"/>
      <c r="G474" s="281"/>
      <c r="H474" s="332"/>
      <c r="I474" s="332"/>
      <c r="J474" s="8">
        <v>3</v>
      </c>
      <c r="K474" s="8">
        <v>5</v>
      </c>
      <c r="L474" s="281"/>
      <c r="M474" s="281"/>
      <c r="N474" s="281"/>
      <c r="O474" s="281"/>
      <c r="P474" s="281"/>
      <c r="Q474" s="281"/>
      <c r="R474" s="281"/>
      <c r="S474" s="281"/>
      <c r="T474" s="281"/>
      <c r="U474" s="281"/>
    </row>
    <row r="475" spans="1:21">
      <c r="A475" s="478"/>
      <c r="D475" s="8" t="s">
        <v>489</v>
      </c>
      <c r="E475" s="603"/>
      <c r="F475" s="281"/>
      <c r="G475" s="281"/>
      <c r="H475" s="332"/>
      <c r="I475" s="630"/>
      <c r="J475" s="8" t="s">
        <v>489</v>
      </c>
      <c r="K475" s="603"/>
      <c r="L475" s="281"/>
      <c r="M475" s="281"/>
      <c r="N475" s="281"/>
      <c r="O475" s="281"/>
      <c r="P475" s="281"/>
      <c r="Q475" s="281"/>
      <c r="R475" s="281"/>
      <c r="S475" s="281"/>
      <c r="T475" s="281"/>
      <c r="U475" s="281"/>
    </row>
    <row r="476" spans="1:21">
      <c r="A476" s="478"/>
      <c r="B476" s="8">
        <v>3</v>
      </c>
      <c r="D476" s="188" t="str">
        <f>VLOOKUP($B476,calcTableLOB2ESAT,D$42,FALSE)</f>
        <v>DOO Actions</v>
      </c>
      <c r="E476" s="605">
        <f>VLOOKUP($B476,calcTableLOB2ESAT,$E$340,FALSE)</f>
        <v>3.5000000000000031E-2</v>
      </c>
      <c r="F476" s="525"/>
      <c r="G476" s="525"/>
      <c r="H476" s="332"/>
      <c r="I476" s="632"/>
      <c r="J476" s="188" t="str">
        <f>VLOOKUP($B476,calcR2TableLOB2ESAT,J$42,FALSE)</f>
        <v>DOO Actions</v>
      </c>
      <c r="K476" s="605">
        <f>VLOOKUP($B476,calcR2TableLOB2ESAT,$E$340,FALSE)</f>
        <v>2.8000000000000021E-2</v>
      </c>
      <c r="L476" s="525" t="s">
        <v>8118</v>
      </c>
      <c r="M476" s="525"/>
      <c r="N476" s="525"/>
      <c r="O476" s="525"/>
      <c r="P476" s="525"/>
      <c r="Q476" s="525"/>
      <c r="R476" s="525"/>
      <c r="S476" s="525"/>
      <c r="T476" s="525"/>
      <c r="U476" s="525"/>
    </row>
    <row r="477" spans="1:21">
      <c r="A477" s="478"/>
      <c r="B477" s="8">
        <v>4</v>
      </c>
      <c r="D477" s="188" t="str">
        <f>VLOOKUP($B477,calcTableLOB2ESAT,D$42,FALSE)</f>
        <v>People Development Time</v>
      </c>
      <c r="E477" s="605">
        <f>VLOOKUP($B477,calcTableLOB2ESAT,$E$340,FALSE)</f>
        <v>2.5000000000000001E-2</v>
      </c>
      <c r="F477" s="525"/>
      <c r="G477" s="525"/>
      <c r="H477" s="332"/>
      <c r="I477" s="632"/>
      <c r="J477" s="188" t="str">
        <f>VLOOKUP($B477,calcR2TableLOB2ESAT,J$42,FALSE)</f>
        <v>People Development Time</v>
      </c>
      <c r="K477" s="605">
        <f>VLOOKUP($B477,calcR2TableLOB2ESAT,$E$340,FALSE)</f>
        <v>0.04</v>
      </c>
      <c r="L477" s="525" t="s">
        <v>8119</v>
      </c>
      <c r="M477" s="525"/>
      <c r="N477" s="525"/>
      <c r="O477" s="525"/>
      <c r="P477" s="525"/>
      <c r="Q477" s="525"/>
      <c r="R477" s="525"/>
      <c r="S477" s="525"/>
      <c r="T477" s="525"/>
      <c r="U477" s="525"/>
    </row>
    <row r="478" spans="1:21">
      <c r="A478" s="478"/>
      <c r="B478" s="8">
        <v>5</v>
      </c>
      <c r="D478" s="188" t="str">
        <f>VLOOKUP($B478,calcTableLOB2ESAT,D$42,FALSE)</f>
        <v>DOO Utilzation</v>
      </c>
      <c r="E478" s="605">
        <f>VLOOKUP($B478,calcTableLOB2ESAT,$E$340,FALSE)</f>
        <v>0</v>
      </c>
      <c r="F478" s="525"/>
      <c r="G478" s="525"/>
      <c r="H478" s="332"/>
      <c r="I478" s="632"/>
      <c r="J478" s="188" t="str">
        <f>VLOOKUP($B478,calcR2TableLOB2ESAT,J$42,FALSE)</f>
        <v>DOO Utilzation</v>
      </c>
      <c r="K478" s="605">
        <f>VLOOKUP($B478,calcR2TableLOB2ESAT,$E$340,FALSE)</f>
        <v>-1.5000000000000013E-2</v>
      </c>
      <c r="L478" s="525" t="s">
        <v>8120</v>
      </c>
      <c r="M478" s="525"/>
      <c r="N478" s="525"/>
      <c r="O478" s="525"/>
      <c r="P478" s="525"/>
      <c r="Q478" s="525"/>
      <c r="R478" s="525"/>
      <c r="S478" s="525"/>
      <c r="T478" s="525"/>
      <c r="U478" s="525"/>
    </row>
    <row r="479" spans="1:21">
      <c r="A479" s="478"/>
      <c r="B479" s="8">
        <v>6</v>
      </c>
      <c r="D479" s="188" t="str">
        <f>VLOOKUP($B479,calcTableLOB2ESAT,D$42,FALSE)</f>
        <v>DOO Staff Modification</v>
      </c>
      <c r="E479" s="605">
        <f>VLOOKUP($B479,calcTableLOB2ESAT,$E$340,FALSE)</f>
        <v>0</v>
      </c>
      <c r="F479" s="525"/>
      <c r="G479" s="525"/>
      <c r="H479" s="332"/>
      <c r="I479" s="632"/>
      <c r="J479" s="188" t="str">
        <f>VLOOKUP($B479,calcR2TableLOB2ESAT,J$42,FALSE)</f>
        <v>DOO Staff Modification</v>
      </c>
      <c r="K479" s="605">
        <f>VLOOKUP($B479,calcR2TableLOB2ESAT,$E$340,FALSE)</f>
        <v>0</v>
      </c>
      <c r="L479" s="525" t="s">
        <v>8120</v>
      </c>
      <c r="M479" s="525"/>
      <c r="N479" s="525"/>
      <c r="O479" s="525"/>
      <c r="P479" s="525"/>
      <c r="Q479" s="525"/>
      <c r="R479" s="525"/>
      <c r="S479" s="525"/>
      <c r="T479" s="525"/>
      <c r="U479" s="525"/>
    </row>
    <row r="480" spans="1:21">
      <c r="A480" s="478"/>
      <c r="B480" s="8">
        <v>7</v>
      </c>
      <c r="D480" s="188" t="str">
        <f>VLOOKUP($B480,calcTableLOB2ESAT,D$42,FALSE)</f>
        <v>Employee Engagement</v>
      </c>
      <c r="E480" s="605">
        <f>VLOOKUP($B480,calcTableLOB2ESAT,$E$340,FALSE)</f>
        <v>0.71000000000000008</v>
      </c>
      <c r="F480" s="525"/>
      <c r="G480" s="525"/>
      <c r="H480" s="332"/>
      <c r="I480" s="632"/>
      <c r="J480" s="188">
        <f>VLOOKUP($B480,calcR2TableLOB2ESAT,J$42,FALSE)</f>
        <v>1</v>
      </c>
      <c r="K480" s="605">
        <f>VLOOKUP($B480,calcR2TableLOB2ESAT,$E$340,FALSE)</f>
        <v>0.70544157501624549</v>
      </c>
      <c r="L480" s="525" t="s">
        <v>8121</v>
      </c>
      <c r="M480" s="525"/>
      <c r="N480" s="525"/>
      <c r="O480" s="525"/>
      <c r="P480" s="525"/>
      <c r="Q480" s="525"/>
      <c r="R480" s="525"/>
      <c r="S480" s="525"/>
      <c r="T480" s="525"/>
      <c r="U480" s="525"/>
    </row>
    <row r="481" spans="1:21">
      <c r="A481" s="478"/>
      <c r="D481" s="188"/>
      <c r="E481" s="605"/>
      <c r="F481" s="525"/>
      <c r="G481" s="525"/>
      <c r="H481" s="332"/>
      <c r="I481" s="632"/>
      <c r="J481" s="188"/>
      <c r="K481" s="605"/>
      <c r="L481" s="525"/>
      <c r="M481" s="525"/>
      <c r="N481" s="525"/>
      <c r="O481" s="525"/>
      <c r="P481" s="525"/>
      <c r="Q481" s="525"/>
      <c r="R481" s="525"/>
      <c r="S481" s="525"/>
      <c r="T481" s="525"/>
      <c r="U481" s="525"/>
    </row>
    <row r="482" spans="1:21">
      <c r="A482" s="478"/>
      <c r="D482" s="188"/>
      <c r="E482" s="605"/>
      <c r="F482" s="525"/>
      <c r="G482" s="525"/>
      <c r="H482" s="332"/>
      <c r="I482" s="632"/>
      <c r="J482" s="188"/>
      <c r="K482" s="605"/>
      <c r="L482" s="525"/>
      <c r="M482" s="525"/>
      <c r="N482" s="525"/>
      <c r="O482" s="525"/>
      <c r="P482" s="525"/>
      <c r="Q482" s="525"/>
      <c r="R482" s="525"/>
      <c r="S482" s="525"/>
      <c r="T482" s="525"/>
      <c r="U482" s="525"/>
    </row>
    <row r="483" spans="1:21">
      <c r="A483" s="478"/>
      <c r="D483" s="188"/>
      <c r="E483" s="605"/>
      <c r="F483" s="525"/>
      <c r="G483" s="525"/>
      <c r="H483" s="332"/>
      <c r="I483" s="632"/>
      <c r="J483" s="188"/>
      <c r="K483" s="605"/>
      <c r="L483" s="525"/>
      <c r="M483" s="525"/>
      <c r="N483" s="525"/>
      <c r="O483" s="525"/>
      <c r="P483" s="525"/>
      <c r="Q483" s="525"/>
      <c r="R483" s="525"/>
      <c r="S483" s="525"/>
      <c r="T483" s="525"/>
      <c r="U483" s="525"/>
    </row>
    <row r="484" spans="1:21">
      <c r="A484" s="188" t="s">
        <v>4924</v>
      </c>
      <c r="B484" s="188"/>
      <c r="F484" s="281"/>
      <c r="G484" s="281"/>
      <c r="H484" s="332"/>
      <c r="I484" s="332"/>
      <c r="L484" s="281"/>
      <c r="M484" s="281"/>
      <c r="N484" s="281"/>
      <c r="O484" s="281"/>
      <c r="P484" s="281"/>
      <c r="Q484" s="281"/>
      <c r="R484" s="281"/>
      <c r="S484" s="281"/>
      <c r="T484" s="281"/>
      <c r="U484" s="281"/>
    </row>
    <row r="485" spans="1:21">
      <c r="A485" s="188" t="s">
        <v>4924</v>
      </c>
      <c r="B485" s="188"/>
      <c r="D485" s="8" t="s">
        <v>489</v>
      </c>
      <c r="E485" s="603"/>
      <c r="F485" s="281"/>
      <c r="G485" s="281"/>
      <c r="H485" s="332"/>
      <c r="I485" s="630"/>
      <c r="J485" s="8" t="s">
        <v>489</v>
      </c>
      <c r="K485" s="603"/>
      <c r="L485" s="281"/>
      <c r="M485" s="281"/>
      <c r="N485" s="281"/>
      <c r="O485" s="281"/>
      <c r="P485" s="281"/>
      <c r="Q485" s="281"/>
      <c r="R485" s="281"/>
      <c r="S485" s="281"/>
      <c r="T485" s="281"/>
      <c r="U485" s="281"/>
    </row>
    <row r="486" spans="1:21">
      <c r="A486" s="188" t="s">
        <v>4924</v>
      </c>
      <c r="B486" s="188"/>
      <c r="D486" s="188" t="s">
        <v>2980</v>
      </c>
      <c r="E486" s="605">
        <f>(E466*$E$405+E476*$E$406)/($E$405+$E$406)</f>
        <v>2.5179540709812133E-2</v>
      </c>
      <c r="F486" s="525" t="s">
        <v>8122</v>
      </c>
      <c r="G486" s="525"/>
      <c r="H486" s="332"/>
      <c r="I486" s="632"/>
      <c r="J486" s="188" t="s">
        <v>2980</v>
      </c>
      <c r="K486" s="605">
        <f>(K466*$K$405+K476*$K$406)/($K$405+$K$406)</f>
        <v>1.8179540709812123E-2</v>
      </c>
      <c r="L486" s="525" t="s">
        <v>8123</v>
      </c>
      <c r="M486" s="525"/>
      <c r="N486" s="525"/>
      <c r="O486" s="525"/>
      <c r="P486" s="525"/>
      <c r="Q486" s="525"/>
      <c r="R486" s="525"/>
      <c r="S486" s="525"/>
      <c r="T486" s="525"/>
      <c r="U486" s="525"/>
    </row>
    <row r="487" spans="1:21">
      <c r="A487" s="188" t="s">
        <v>4924</v>
      </c>
      <c r="B487" s="188"/>
      <c r="D487" s="188" t="s">
        <v>4639</v>
      </c>
      <c r="E487" s="605">
        <f>(E467*$E$405+E477*$E$406)/($E$405+$E$406)</f>
        <v>2.0991649269311068E-2</v>
      </c>
      <c r="F487" s="525" t="s">
        <v>8124</v>
      </c>
      <c r="G487" s="525"/>
      <c r="H487" s="332"/>
      <c r="I487" s="632"/>
      <c r="J487" s="188" t="s">
        <v>4639</v>
      </c>
      <c r="K487" s="605">
        <f>(K467*$K$405+K477*$K$406)/($K$405+$K$406)</f>
        <v>3.3987473903966593E-2</v>
      </c>
      <c r="L487" s="525" t="s">
        <v>8125</v>
      </c>
      <c r="M487" s="525"/>
      <c r="N487" s="525"/>
      <c r="O487" s="525"/>
      <c r="P487" s="525"/>
      <c r="Q487" s="525"/>
      <c r="R487" s="525"/>
      <c r="S487" s="525"/>
      <c r="T487" s="525"/>
      <c r="U487" s="525"/>
    </row>
    <row r="488" spans="1:21">
      <c r="A488" s="188" t="s">
        <v>4924</v>
      </c>
      <c r="B488" s="188"/>
      <c r="D488" s="188" t="s">
        <v>491</v>
      </c>
      <c r="E488" s="605">
        <f>(E468*$E$405+E478*$E$406)/($E$405+$E$406)</f>
        <v>0</v>
      </c>
      <c r="F488" s="525" t="s">
        <v>8126</v>
      </c>
      <c r="G488" s="525"/>
      <c r="H488" s="332"/>
      <c r="I488" s="632"/>
      <c r="J488" s="188" t="s">
        <v>491</v>
      </c>
      <c r="K488" s="605">
        <f>(K468*$K$405+K478*$K$406)/($K$405+$K$406)</f>
        <v>-2.3016701461377891E-2</v>
      </c>
      <c r="L488" s="525" t="s">
        <v>8127</v>
      </c>
      <c r="M488" s="525"/>
      <c r="N488" s="525"/>
      <c r="O488" s="525"/>
      <c r="P488" s="525"/>
      <c r="Q488" s="525"/>
      <c r="R488" s="525"/>
      <c r="S488" s="525"/>
      <c r="T488" s="525"/>
      <c r="U488" s="525"/>
    </row>
    <row r="489" spans="1:21">
      <c r="A489" s="188" t="s">
        <v>4924</v>
      </c>
      <c r="B489" s="188"/>
      <c r="D489" s="188" t="s">
        <v>8223</v>
      </c>
      <c r="E489" s="605">
        <f>(E469*$E$405+E479*$E$406)/($E$405+$E$406)</f>
        <v>0</v>
      </c>
      <c r="F489" s="525" t="s">
        <v>8230</v>
      </c>
      <c r="G489" s="525"/>
      <c r="H489" s="332"/>
      <c r="I489" s="632"/>
      <c r="J489" s="188" t="s">
        <v>8223</v>
      </c>
      <c r="K489" s="605">
        <f>(K469*$K$405+K479*$K$406)/($K$405+$K$406)</f>
        <v>0</v>
      </c>
      <c r="L489" s="525" t="s">
        <v>8231</v>
      </c>
      <c r="M489" s="525"/>
      <c r="N489" s="525"/>
      <c r="O489" s="525"/>
      <c r="P489" s="525"/>
      <c r="Q489" s="525"/>
      <c r="R489" s="525"/>
      <c r="S489" s="525"/>
      <c r="T489" s="525"/>
      <c r="U489" s="525"/>
    </row>
    <row r="490" spans="1:21">
      <c r="A490" s="188" t="s">
        <v>4924</v>
      </c>
      <c r="B490" s="188"/>
      <c r="D490" s="188" t="s">
        <v>2981</v>
      </c>
      <c r="E490" s="605">
        <f>INDEX(cbalESAT,3)</f>
        <v>0.72324999999999995</v>
      </c>
      <c r="F490" s="525" t="s">
        <v>8128</v>
      </c>
      <c r="G490" s="525"/>
      <c r="H490" s="332"/>
      <c r="I490" s="632"/>
      <c r="J490" s="188" t="s">
        <v>2981</v>
      </c>
      <c r="K490" s="605">
        <f>INDEX(cbalR2ESAT,3)</f>
        <v>0.72122078750812268</v>
      </c>
      <c r="L490" s="525" t="s">
        <v>8129</v>
      </c>
      <c r="M490" s="525"/>
      <c r="N490" s="525"/>
      <c r="O490" s="525"/>
      <c r="P490" s="525"/>
      <c r="Q490" s="525"/>
      <c r="R490" s="525"/>
      <c r="S490" s="525"/>
      <c r="T490" s="525"/>
      <c r="U490" s="525"/>
    </row>
    <row r="491" spans="1:21">
      <c r="A491" s="188" t="s">
        <v>4924</v>
      </c>
      <c r="B491" s="188"/>
      <c r="D491" s="188"/>
      <c r="E491" s="605"/>
      <c r="F491" s="525"/>
      <c r="G491" s="525"/>
      <c r="H491" s="332"/>
      <c r="I491" s="632"/>
      <c r="J491" s="188"/>
      <c r="K491" s="605"/>
      <c r="L491" s="525"/>
      <c r="M491" s="525"/>
      <c r="N491" s="525"/>
      <c r="O491" s="525"/>
      <c r="P491" s="525"/>
      <c r="Q491" s="525"/>
      <c r="R491" s="525"/>
      <c r="S491" s="525"/>
      <c r="T491" s="525"/>
      <c r="U491" s="525"/>
    </row>
    <row r="492" spans="1:21">
      <c r="A492" s="188" t="s">
        <v>4924</v>
      </c>
      <c r="B492" s="188"/>
      <c r="D492" s="188"/>
      <c r="E492" s="605"/>
      <c r="F492" s="525"/>
      <c r="G492" s="525"/>
      <c r="H492" s="332"/>
      <c r="I492" s="632"/>
      <c r="J492" s="188"/>
      <c r="K492" s="605"/>
      <c r="L492" s="525"/>
      <c r="M492" s="525"/>
      <c r="N492" s="525"/>
      <c r="O492" s="525"/>
      <c r="P492" s="525"/>
      <c r="Q492" s="525"/>
      <c r="R492" s="525"/>
      <c r="S492" s="525"/>
      <c r="T492" s="525"/>
      <c r="U492" s="525"/>
    </row>
    <row r="493" spans="1:21">
      <c r="A493" s="188" t="s">
        <v>4924</v>
      </c>
      <c r="B493" s="188"/>
      <c r="D493" s="188"/>
      <c r="E493" s="605"/>
      <c r="F493" s="525"/>
      <c r="G493" s="525"/>
      <c r="H493" s="332"/>
      <c r="I493" s="632"/>
      <c r="J493" s="188"/>
      <c r="K493" s="605"/>
      <c r="L493" s="525"/>
      <c r="M493" s="525"/>
      <c r="N493" s="525"/>
      <c r="O493" s="525"/>
      <c r="P493" s="525"/>
      <c r="Q493" s="525"/>
      <c r="R493" s="525"/>
      <c r="S493" s="525"/>
      <c r="T493" s="525"/>
      <c r="U493" s="525"/>
    </row>
    <row r="494" spans="1:21">
      <c r="A494" s="188" t="s">
        <v>4924</v>
      </c>
      <c r="B494" s="188"/>
      <c r="F494" s="281"/>
      <c r="G494" s="281"/>
      <c r="H494" s="332"/>
      <c r="I494" s="332"/>
      <c r="L494" s="281"/>
      <c r="M494" s="281"/>
      <c r="N494" s="281"/>
      <c r="O494" s="281"/>
      <c r="P494" s="281"/>
      <c r="Q494" s="281"/>
      <c r="R494" s="281"/>
      <c r="S494" s="281"/>
      <c r="T494" s="281"/>
      <c r="U494" s="281"/>
    </row>
    <row r="495" spans="1:21">
      <c r="A495" s="188" t="s">
        <v>4924</v>
      </c>
      <c r="B495" s="188"/>
      <c r="F495" s="281"/>
      <c r="G495" s="281"/>
      <c r="H495" s="332"/>
      <c r="I495" s="332"/>
      <c r="L495" s="281"/>
      <c r="M495" s="281"/>
      <c r="N495" s="281"/>
      <c r="O495" s="281"/>
      <c r="P495" s="281"/>
      <c r="Q495" s="281"/>
      <c r="R495" s="281"/>
      <c r="S495" s="281"/>
      <c r="T495" s="281"/>
      <c r="U495" s="281"/>
    </row>
    <row r="496" spans="1:21">
      <c r="A496" s="188" t="s">
        <v>4924</v>
      </c>
      <c r="B496" s="188"/>
      <c r="D496" s="8" t="s">
        <v>341</v>
      </c>
      <c r="E496" s="603"/>
      <c r="F496" s="281"/>
      <c r="G496" s="281"/>
      <c r="H496" s="332"/>
      <c r="I496" s="630"/>
      <c r="J496" s="8" t="s">
        <v>341</v>
      </c>
      <c r="K496" s="603"/>
      <c r="L496" s="281"/>
      <c r="M496" s="281"/>
      <c r="N496" s="281"/>
      <c r="O496" s="281"/>
      <c r="P496" s="281"/>
      <c r="Q496" s="281"/>
      <c r="R496" s="281"/>
      <c r="S496" s="281"/>
      <c r="T496" s="281"/>
      <c r="U496" s="281"/>
    </row>
    <row r="497" spans="1:21">
      <c r="A497" s="188" t="s">
        <v>4924</v>
      </c>
      <c r="B497" s="188"/>
      <c r="D497" s="188" t="str">
        <f>nmEmp1</f>
        <v>Skilled Nursing</v>
      </c>
      <c r="E497" s="604">
        <f>INDEX(finPNLEmp1Cost,3)</f>
        <v>3322044.4876796282</v>
      </c>
      <c r="F497" s="525" t="s">
        <v>8130</v>
      </c>
      <c r="G497" s="525"/>
      <c r="H497" s="332"/>
      <c r="I497" s="631"/>
      <c r="J497" s="188" t="str">
        <f>nmEmp1</f>
        <v>Skilled Nursing</v>
      </c>
      <c r="K497" s="604">
        <f>INDEX(finR2PNLEmp1Cost,3)</f>
        <v>3207427.9615113311</v>
      </c>
      <c r="L497" s="525" t="s">
        <v>8131</v>
      </c>
      <c r="M497" s="525"/>
      <c r="N497" s="525"/>
      <c r="O497" s="525"/>
      <c r="P497" s="525"/>
      <c r="Q497" s="525"/>
      <c r="R497" s="525"/>
      <c r="S497" s="525"/>
      <c r="T497" s="525"/>
      <c r="U497" s="525"/>
    </row>
    <row r="498" spans="1:21">
      <c r="A498" s="188" t="s">
        <v>4924</v>
      </c>
      <c r="B498" s="188"/>
      <c r="D498" s="188" t="str">
        <f>nmEmp2</f>
        <v>Occupational Therapy</v>
      </c>
      <c r="E498" s="604">
        <f>INDEX(finPNLEmp2Cost,3)</f>
        <v>804637.25490663107</v>
      </c>
      <c r="F498" s="525" t="s">
        <v>8132</v>
      </c>
      <c r="G498" s="525"/>
      <c r="H498" s="332"/>
      <c r="I498" s="631"/>
      <c r="J498" s="188" t="str">
        <f>nmEmp2</f>
        <v>Occupational Therapy</v>
      </c>
      <c r="K498" s="604">
        <f>INDEX(finR2PNLEmp2Cost,3)</f>
        <v>781540.67938136531</v>
      </c>
      <c r="L498" s="525" t="s">
        <v>8133</v>
      </c>
      <c r="M498" s="525"/>
      <c r="N498" s="525"/>
      <c r="O498" s="525"/>
      <c r="P498" s="525"/>
      <c r="Q498" s="525"/>
      <c r="R498" s="525"/>
      <c r="S498" s="525"/>
      <c r="T498" s="525"/>
      <c r="U498" s="525"/>
    </row>
    <row r="499" spans="1:21">
      <c r="A499" s="188" t="s">
        <v>4924</v>
      </c>
      <c r="B499" s="188"/>
      <c r="D499" s="188" t="str">
        <f>nmEmp3</f>
        <v>Physical Therapy</v>
      </c>
      <c r="E499" s="604">
        <f>INDEX(finPNLEmp3Cost,3)</f>
        <v>2766117.2280000001</v>
      </c>
      <c r="F499" s="525" t="s">
        <v>8134</v>
      </c>
      <c r="G499" s="525"/>
      <c r="H499" s="332"/>
      <c r="I499" s="631"/>
      <c r="J499" s="188" t="str">
        <f>nmEmp3</f>
        <v>Physical Therapy</v>
      </c>
      <c r="K499" s="604">
        <f>INDEX(finR2PNLEmp3Cost,3)</f>
        <v>2683125.1120494022</v>
      </c>
      <c r="L499" s="525" t="s">
        <v>8135</v>
      </c>
      <c r="M499" s="525"/>
      <c r="N499" s="525"/>
      <c r="O499" s="525"/>
      <c r="P499" s="525"/>
      <c r="Q499" s="525"/>
      <c r="R499" s="525"/>
      <c r="S499" s="525"/>
      <c r="T499" s="525"/>
      <c r="U499" s="525"/>
    </row>
    <row r="500" spans="1:21">
      <c r="A500" s="188" t="s">
        <v>4924</v>
      </c>
      <c r="B500" s="188"/>
      <c r="D500" s="188" t="s">
        <v>343</v>
      </c>
      <c r="E500" s="604">
        <f>INDEX(finPNLGrossProfit,3)</f>
        <v>6776476.0294137411</v>
      </c>
      <c r="F500" s="525" t="s">
        <v>8136</v>
      </c>
      <c r="G500" s="525"/>
      <c r="H500" s="332"/>
      <c r="I500" s="631"/>
      <c r="J500" s="188" t="s">
        <v>343</v>
      </c>
      <c r="K500" s="604">
        <f>INDEX(finR2PNLGrossProfit,3)</f>
        <v>6997181.2470579017</v>
      </c>
      <c r="L500" s="525" t="s">
        <v>8137</v>
      </c>
      <c r="M500" s="525"/>
      <c r="N500" s="525"/>
      <c r="O500" s="525"/>
      <c r="P500" s="525"/>
      <c r="Q500" s="525"/>
      <c r="R500" s="525"/>
      <c r="S500" s="525"/>
      <c r="T500" s="525"/>
      <c r="U500" s="525"/>
    </row>
    <row r="501" spans="1:21">
      <c r="A501" s="188" t="s">
        <v>4924</v>
      </c>
      <c r="B501" s="188"/>
      <c r="D501" s="188" t="s">
        <v>341</v>
      </c>
      <c r="E501" s="605">
        <f>INDEX(finPNLGrossMargin,3)</f>
        <v>0.49574509470427225</v>
      </c>
      <c r="F501" s="525" t="s">
        <v>8138</v>
      </c>
      <c r="G501" s="525"/>
      <c r="H501" s="332"/>
      <c r="I501" s="632"/>
      <c r="J501" s="188" t="s">
        <v>341</v>
      </c>
      <c r="K501" s="605">
        <f>INDEX(finR2PNLGrossMargin,3)</f>
        <v>0.5118911754323402</v>
      </c>
      <c r="L501" s="525" t="s">
        <v>8139</v>
      </c>
      <c r="M501" s="525"/>
      <c r="N501" s="525"/>
      <c r="O501" s="525"/>
      <c r="P501" s="525"/>
      <c r="Q501" s="525"/>
      <c r="R501" s="525"/>
      <c r="S501" s="525"/>
      <c r="T501" s="525"/>
      <c r="U501" s="525"/>
    </row>
    <row r="502" spans="1:21">
      <c r="A502" s="188" t="s">
        <v>4924</v>
      </c>
      <c r="B502" s="188"/>
      <c r="F502" s="281"/>
      <c r="G502" s="281"/>
      <c r="H502" s="332"/>
      <c r="I502" s="332"/>
      <c r="L502" s="281"/>
      <c r="M502" s="281"/>
      <c r="N502" s="281"/>
      <c r="O502" s="281"/>
      <c r="P502" s="281"/>
      <c r="Q502" s="281"/>
      <c r="R502" s="281"/>
      <c r="S502" s="281"/>
      <c r="T502" s="281"/>
      <c r="U502" s="281"/>
    </row>
    <row r="503" spans="1:21">
      <c r="A503" s="188" t="s">
        <v>4924</v>
      </c>
      <c r="B503" s="188"/>
      <c r="F503" s="281"/>
      <c r="G503" s="281"/>
      <c r="H503" s="332"/>
      <c r="I503" s="332"/>
      <c r="L503" s="281"/>
      <c r="M503" s="281"/>
      <c r="N503" s="281"/>
      <c r="O503" s="281"/>
      <c r="P503" s="281"/>
      <c r="Q503" s="281"/>
      <c r="R503" s="281"/>
      <c r="S503" s="281"/>
      <c r="T503" s="281"/>
      <c r="U503" s="281"/>
    </row>
    <row r="504" spans="1:21">
      <c r="A504" s="188" t="s">
        <v>4924</v>
      </c>
      <c r="B504" s="188"/>
      <c r="D504" s="8" t="s">
        <v>4801</v>
      </c>
      <c r="E504" s="603"/>
      <c r="F504" s="281"/>
      <c r="G504" s="281"/>
      <c r="H504" s="332"/>
      <c r="I504" s="630"/>
      <c r="J504" s="8" t="s">
        <v>4801</v>
      </c>
      <c r="K504" s="603"/>
      <c r="L504" s="281"/>
      <c r="M504" s="281"/>
      <c r="N504" s="281"/>
      <c r="O504" s="281"/>
      <c r="P504" s="281"/>
      <c r="Q504" s="281"/>
      <c r="R504" s="281"/>
      <c r="S504" s="281"/>
      <c r="T504" s="281"/>
      <c r="U504" s="281"/>
    </row>
    <row r="505" spans="1:21">
      <c r="A505" s="188" t="s">
        <v>4924</v>
      </c>
      <c r="B505" s="188"/>
      <c r="D505" s="188" t="str">
        <f>nmEmp1&amp;" Capacity"</f>
        <v>Skilled Nursing Capacity</v>
      </c>
      <c r="E505" s="604">
        <f>INDEX(calcLOB1Emp1Capacity,3)+INDEX(calcLOB2Emp1Capacity,3)</f>
        <v>44507.047547892544</v>
      </c>
      <c r="F505" s="525" t="s">
        <v>8140</v>
      </c>
      <c r="G505" s="525"/>
      <c r="H505" s="332"/>
      <c r="I505" s="631"/>
      <c r="J505" s="188" t="str">
        <f>nmEmp1&amp;" Capacity"</f>
        <v>Skilled Nursing Capacity</v>
      </c>
      <c r="K505" s="604">
        <f>INDEX(calcR2LOB1Emp1Capacity,3)+INDEX(calcR2LOB2Emp1Capacity,3)</f>
        <v>43129.042162838552</v>
      </c>
      <c r="L505" s="525" t="s">
        <v>8141</v>
      </c>
      <c r="M505" s="525"/>
      <c r="N505" s="525"/>
      <c r="O505" s="525"/>
      <c r="P505" s="525"/>
      <c r="Q505" s="525"/>
      <c r="R505" s="525"/>
      <c r="S505" s="525"/>
      <c r="T505" s="525"/>
      <c r="U505" s="525"/>
    </row>
    <row r="506" spans="1:21">
      <c r="A506" s="188" t="s">
        <v>4924</v>
      </c>
      <c r="B506" s="188"/>
      <c r="D506" s="188" t="str">
        <f>nmEmp1&amp;" Demand"</f>
        <v>Skilled Nursing Demand</v>
      </c>
      <c r="E506" s="604">
        <f>INDEX(calcLOB1Emp1Visits,3)+INDEX(calcLOB2Emp1Visits,3)</f>
        <v>47696.4</v>
      </c>
      <c r="F506" s="525" t="s">
        <v>8142</v>
      </c>
      <c r="G506" s="525"/>
      <c r="H506" s="332"/>
      <c r="I506" s="631"/>
      <c r="J506" s="188" t="str">
        <f>nmEmp1&amp;" Demand"</f>
        <v>Skilled Nursing Demand</v>
      </c>
      <c r="K506" s="604">
        <f>INDEX(calcR2LOB1Emp1Visits,3)+INDEX(calcR2LOB2Emp1Visits,3)</f>
        <v>47696.4</v>
      </c>
      <c r="L506" s="525" t="s">
        <v>8143</v>
      </c>
      <c r="M506" s="525"/>
      <c r="N506" s="525"/>
      <c r="O506" s="525"/>
      <c r="P506" s="525"/>
      <c r="Q506" s="525"/>
      <c r="R506" s="525"/>
      <c r="S506" s="525"/>
      <c r="T506" s="525"/>
      <c r="U506" s="525"/>
    </row>
    <row r="507" spans="1:21">
      <c r="A507" s="188" t="s">
        <v>4924</v>
      </c>
      <c r="B507" s="188"/>
      <c r="D507" s="188" t="str">
        <f>nmEmp2&amp;" Capacity"</f>
        <v>Occupational Therapy Capacity</v>
      </c>
      <c r="E507" s="604">
        <f>INDEX(calcLOB1Emp2Capacity,3)+INDEX(calcLOB2Emp2Capacity,3)</f>
        <v>9008.510109603907</v>
      </c>
      <c r="F507" s="525" t="s">
        <v>8144</v>
      </c>
      <c r="G507" s="525"/>
      <c r="H507" s="332"/>
      <c r="I507" s="631"/>
      <c r="J507" s="188" t="str">
        <f>nmEmp2&amp;" Capacity"</f>
        <v>Occupational Therapy Capacity</v>
      </c>
      <c r="K507" s="604">
        <f>INDEX(calcR2LOB1Emp2Capacity,3)+INDEX(calcR2LOB2Emp2Capacity,3)</f>
        <v>8754.4526117959558</v>
      </c>
      <c r="L507" s="525" t="s">
        <v>8145</v>
      </c>
      <c r="M507" s="525"/>
      <c r="N507" s="525"/>
      <c r="O507" s="525"/>
      <c r="P507" s="525"/>
      <c r="Q507" s="525"/>
      <c r="R507" s="525"/>
      <c r="S507" s="525"/>
      <c r="T507" s="525"/>
      <c r="U507" s="525"/>
    </row>
    <row r="508" spans="1:21">
      <c r="A508" s="188" t="s">
        <v>4924</v>
      </c>
      <c r="B508" s="188"/>
      <c r="D508" s="188" t="str">
        <f>nmEmp2&amp;" Demand"</f>
        <v>Occupational Therapy Demand</v>
      </c>
      <c r="E508" s="604">
        <f>INDEX(calcLOB1Emp2Visits,3)+INDEX(calcLOB2Emp2Visits,3)</f>
        <v>8164.8</v>
      </c>
      <c r="F508" s="525" t="s">
        <v>8146</v>
      </c>
      <c r="G508" s="525"/>
      <c r="H508" s="332"/>
      <c r="I508" s="631"/>
      <c r="J508" s="188" t="str">
        <f>nmEmp2&amp;" Demand"</f>
        <v>Occupational Therapy Demand</v>
      </c>
      <c r="K508" s="604">
        <f>INDEX(calcR2LOB1Emp2Visits,3)+INDEX(calcR2LOB2Emp2Visits,3)</f>
        <v>8164.8</v>
      </c>
      <c r="L508" s="525" t="s">
        <v>8147</v>
      </c>
      <c r="M508" s="525"/>
      <c r="N508" s="525"/>
      <c r="O508" s="525"/>
      <c r="P508" s="525"/>
      <c r="Q508" s="525"/>
      <c r="R508" s="525"/>
      <c r="S508" s="525"/>
      <c r="T508" s="525"/>
      <c r="U508" s="525"/>
    </row>
    <row r="509" spans="1:21">
      <c r="A509" s="188" t="s">
        <v>4924</v>
      </c>
      <c r="B509" s="188"/>
      <c r="D509" s="188" t="str">
        <f>nmEmp3&amp;" Capacity"</f>
        <v>Physical Therapy Capacity</v>
      </c>
      <c r="E509" s="604">
        <f>INDEX(calcLOB1Emp3Capacity,3)+INDEX(calcLOB2Emp3Capacity,3)</f>
        <v>30212.193402061854</v>
      </c>
      <c r="F509" s="525" t="s">
        <v>8148</v>
      </c>
      <c r="G509" s="525"/>
      <c r="H509" s="332"/>
      <c r="I509" s="631"/>
      <c r="J509" s="188" t="str">
        <f>nmEmp3&amp;" Capacity"</f>
        <v>Physical Therapy Capacity</v>
      </c>
      <c r="K509" s="604">
        <f>INDEX(calcR2LOB1Emp3Capacity,3)+INDEX(calcR2LOB2Emp3Capacity,3)</f>
        <v>29365.335076035353</v>
      </c>
      <c r="L509" s="525" t="s">
        <v>8149</v>
      </c>
      <c r="M509" s="525"/>
      <c r="N509" s="525"/>
      <c r="O509" s="525"/>
      <c r="P509" s="525"/>
      <c r="Q509" s="525"/>
      <c r="R509" s="525"/>
      <c r="S509" s="525"/>
      <c r="T509" s="525"/>
      <c r="U509" s="525"/>
    </row>
    <row r="510" spans="1:21">
      <c r="A510" s="188" t="s">
        <v>4924</v>
      </c>
      <c r="B510" s="188"/>
      <c r="D510" s="188" t="str">
        <f>nmEmp3&amp;" Demand"</f>
        <v>Physical Therapy Demand</v>
      </c>
      <c r="E510" s="604">
        <f>INDEX(calcLOB1Emp3Visits,3)+INDEX(calcLOB2Emp3Visits,3)</f>
        <v>29443.200000000001</v>
      </c>
      <c r="F510" s="525" t="s">
        <v>8150</v>
      </c>
      <c r="G510" s="525"/>
      <c r="H510" s="332"/>
      <c r="I510" s="631"/>
      <c r="J510" s="188" t="str">
        <f>nmEmp3&amp;" Demand"</f>
        <v>Physical Therapy Demand</v>
      </c>
      <c r="K510" s="604">
        <f>INDEX(calcR2LOB1Emp3Visits,3)+INDEX(calcR2LOB2Emp3Visits,3)</f>
        <v>29443.200000000001</v>
      </c>
      <c r="L510" s="525" t="s">
        <v>8151</v>
      </c>
      <c r="M510" s="525"/>
      <c r="N510" s="525"/>
      <c r="O510" s="525"/>
      <c r="P510" s="525"/>
      <c r="Q510" s="525"/>
      <c r="R510" s="525"/>
      <c r="S510" s="525"/>
      <c r="T510" s="525"/>
      <c r="U510" s="525"/>
    </row>
    <row r="511" spans="1:21">
      <c r="A511" s="188" t="s">
        <v>4924</v>
      </c>
      <c r="B511" s="188"/>
      <c r="D511" s="188" t="s">
        <v>4808</v>
      </c>
      <c r="E511" s="605">
        <f>1-(E505+E507+E509)/(E506+E508+E510)</f>
        <v>1.84826215346654E-2</v>
      </c>
      <c r="F511" s="525" t="s">
        <v>8152</v>
      </c>
      <c r="G511" s="525"/>
      <c r="H511" s="332"/>
      <c r="I511" s="632"/>
      <c r="J511" s="188" t="s">
        <v>4808</v>
      </c>
      <c r="K511" s="605">
        <f>1-(K505+K507+K509)/(K506+K508+K510)</f>
        <v>4.7542332509579177E-2</v>
      </c>
      <c r="L511" s="525" t="s">
        <v>8153</v>
      </c>
      <c r="M511" s="525"/>
      <c r="N511" s="525"/>
      <c r="O511" s="525"/>
      <c r="P511" s="525"/>
      <c r="Q511" s="525"/>
      <c r="R511" s="525"/>
      <c r="S511" s="525"/>
      <c r="T511" s="525"/>
      <c r="U511" s="525"/>
    </row>
    <row r="512" spans="1:21">
      <c r="A512" s="188" t="s">
        <v>4924</v>
      </c>
      <c r="B512" s="188"/>
      <c r="H512" s="332"/>
      <c r="I512" s="332"/>
    </row>
    <row r="513" spans="1:21">
      <c r="A513" s="188" t="s">
        <v>4924</v>
      </c>
      <c r="B513" s="188"/>
      <c r="H513" s="332"/>
      <c r="I513" s="332"/>
    </row>
    <row r="514" spans="1:21">
      <c r="A514" s="188" t="s">
        <v>4924</v>
      </c>
      <c r="B514" s="188"/>
      <c r="D514" s="8" t="s">
        <v>4814</v>
      </c>
      <c r="E514" s="603"/>
      <c r="F514" s="281"/>
      <c r="G514" s="281"/>
      <c r="H514" s="332"/>
      <c r="I514" s="630"/>
      <c r="J514" s="8" t="s">
        <v>4814</v>
      </c>
      <c r="K514" s="603"/>
      <c r="L514" s="281"/>
      <c r="M514" s="281"/>
      <c r="N514" s="281"/>
      <c r="O514" s="281"/>
      <c r="P514" s="281"/>
      <c r="Q514" s="281"/>
      <c r="R514" s="281"/>
      <c r="S514" s="281"/>
      <c r="T514" s="281"/>
      <c r="U514" s="281"/>
    </row>
    <row r="515" spans="1:21">
      <c r="A515" s="188" t="s">
        <v>4924</v>
      </c>
      <c r="B515" s="188"/>
      <c r="D515" s="188" t="s">
        <v>407</v>
      </c>
      <c r="E515" s="604">
        <f>INDEX(finPNLServiceCost,3)</f>
        <v>6892798.9705862589</v>
      </c>
      <c r="F515" s="525" t="s">
        <v>8154</v>
      </c>
      <c r="G515" s="525"/>
      <c r="H515" s="332"/>
      <c r="I515" s="631"/>
      <c r="J515" s="188" t="s">
        <v>407</v>
      </c>
      <c r="K515" s="604">
        <f>INDEX(finR2PNLServiceCost,3)</f>
        <v>6672093.7529420983</v>
      </c>
      <c r="L515" s="525" t="s">
        <v>8155</v>
      </c>
      <c r="M515" s="525"/>
      <c r="N515" s="525"/>
      <c r="O515" s="525"/>
      <c r="P515" s="525"/>
      <c r="Q515" s="525"/>
      <c r="R515" s="525"/>
      <c r="S515" s="525"/>
      <c r="T515" s="525"/>
      <c r="U515" s="525"/>
    </row>
    <row r="516" spans="1:21">
      <c r="A516" s="188" t="s">
        <v>4924</v>
      </c>
      <c r="B516" s="188"/>
      <c r="D516" s="188" t="s">
        <v>4714</v>
      </c>
      <c r="E516" s="604">
        <f>INDEX(finPNLEmpOverhead,3)</f>
        <v>4233250</v>
      </c>
      <c r="F516" s="525" t="s">
        <v>8156</v>
      </c>
      <c r="G516" s="525"/>
      <c r="H516" s="332"/>
      <c r="I516" s="631"/>
      <c r="J516" s="188" t="s">
        <v>4714</v>
      </c>
      <c r="K516" s="604">
        <f>INDEX(finR2PNLEmpOverhead,3)</f>
        <v>4346912.5</v>
      </c>
      <c r="L516" s="525" t="s">
        <v>8157</v>
      </c>
      <c r="M516" s="525"/>
      <c r="N516" s="525"/>
      <c r="O516" s="525"/>
      <c r="P516" s="525"/>
      <c r="Q516" s="525"/>
      <c r="R516" s="525"/>
      <c r="S516" s="525"/>
      <c r="T516" s="525"/>
      <c r="U516" s="525"/>
    </row>
    <row r="517" spans="1:21">
      <c r="A517" s="188" t="s">
        <v>4924</v>
      </c>
      <c r="B517" s="188"/>
      <c r="D517" s="188" t="s">
        <v>487</v>
      </c>
      <c r="E517" s="604">
        <f>INDEX(finPNLOpProfit,3)</f>
        <v>2543226.0294137411</v>
      </c>
      <c r="F517" s="525" t="s">
        <v>8158</v>
      </c>
      <c r="G517" s="525"/>
      <c r="H517" s="332"/>
      <c r="I517" s="631"/>
      <c r="J517" s="188" t="s">
        <v>487</v>
      </c>
      <c r="K517" s="604">
        <f>INDEX(finR2PNLOpProfit,3)</f>
        <v>2650268.7470579017</v>
      </c>
      <c r="L517" s="525" t="s">
        <v>8159</v>
      </c>
      <c r="M517" s="525"/>
      <c r="N517" s="525"/>
      <c r="O517" s="525"/>
      <c r="P517" s="525"/>
      <c r="Q517" s="525"/>
      <c r="R517" s="525"/>
      <c r="S517" s="525"/>
      <c r="T517" s="525"/>
      <c r="U517" s="525"/>
    </row>
    <row r="518" spans="1:21">
      <c r="A518" s="188" t="s">
        <v>4924</v>
      </c>
      <c r="B518" s="188"/>
      <c r="D518" s="188" t="s">
        <v>4716</v>
      </c>
      <c r="E518" s="605">
        <f>INDEX(finPNLOpMargin,3)</f>
        <v>0.18605420034447628</v>
      </c>
      <c r="F518" s="525" t="s">
        <v>8160</v>
      </c>
      <c r="G518" s="525"/>
      <c r="H518" s="332"/>
      <c r="I518" s="632"/>
      <c r="J518" s="188" t="s">
        <v>4716</v>
      </c>
      <c r="K518" s="605">
        <f>INDEX(finR2PNLOpMargin,3)</f>
        <v>0.19388509976263568</v>
      </c>
      <c r="L518" s="525" t="s">
        <v>8161</v>
      </c>
      <c r="M518" s="525"/>
      <c r="N518" s="525"/>
      <c r="O518" s="525"/>
      <c r="P518" s="525"/>
      <c r="Q518" s="525"/>
      <c r="R518" s="525"/>
      <c r="S518" s="525"/>
      <c r="T518" s="525"/>
      <c r="U518" s="525"/>
    </row>
    <row r="519" spans="1:21">
      <c r="A519" s="188" t="s">
        <v>4924</v>
      </c>
      <c r="B519" s="188"/>
      <c r="D519" s="188"/>
      <c r="E519" s="605"/>
      <c r="G519" s="525"/>
      <c r="H519" s="332"/>
      <c r="I519" s="632"/>
      <c r="J519" s="188"/>
      <c r="K519" s="605"/>
      <c r="L519" s="525"/>
      <c r="M519" s="525"/>
      <c r="N519" s="525"/>
      <c r="O519" s="525"/>
      <c r="P519" s="525"/>
      <c r="Q519" s="525"/>
      <c r="R519" s="525"/>
      <c r="S519" s="525"/>
      <c r="T519" s="525"/>
      <c r="U519" s="525"/>
    </row>
  </sheetData>
  <dataValidations disablePrompts="1" count="1">
    <dataValidation type="whole" allowBlank="1" showInputMessage="1" showErrorMessage="1" errorTitle="Number of Teams" error="Please enter a valid number of teams: a whole number between 1 and 10, inclusive." sqref="D15">
      <formula1>1</formula1>
      <formula2>10</formula2>
    </dataValidation>
  </dataValidations>
  <pageMargins left="0.7" right="0.7" top="0.75" bottom="0.75" header="0.3" footer="0.3"/>
  <pageSetup paperSize="9" orientation="portrait" r:id="rId1"/>
  <cellWatches>
    <cellWatch r="E46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fbSimSizeColumns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1250950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D2:K344"/>
  <sheetViews>
    <sheetView topLeftCell="A140" workbookViewId="0">
      <selection activeCell="E153" sqref="E153"/>
    </sheetView>
  </sheetViews>
  <sheetFormatPr defaultRowHeight="10"/>
  <cols>
    <col min="1" max="1" width="13.6640625" customWidth="1"/>
    <col min="4" max="4" width="31.33203125" customWidth="1"/>
    <col min="5" max="5" width="14.6640625" customWidth="1"/>
    <col min="10" max="10" width="33.44140625" customWidth="1"/>
    <col min="11" max="11" width="25" style="381" customWidth="1"/>
  </cols>
  <sheetData>
    <row r="2" spans="4:11" ht="10.5">
      <c r="D2" s="67" t="s">
        <v>475</v>
      </c>
      <c r="J2" s="67" t="s">
        <v>476</v>
      </c>
    </row>
    <row r="3" spans="4:11">
      <c r="D3" t="s">
        <v>4434</v>
      </c>
      <c r="E3" s="381">
        <f>tlOutputfinSeg1Rev_R1</f>
        <v>10148464.800000001</v>
      </c>
      <c r="J3" t="s">
        <v>4437</v>
      </c>
      <c r="K3" s="381">
        <f>tlOutputfinSeg1Rev_R2</f>
        <v>10425240</v>
      </c>
    </row>
    <row r="4" spans="4:11">
      <c r="D4" t="s">
        <v>4435</v>
      </c>
      <c r="E4" s="381">
        <f>tlOutputfinSeg2Rev_R1</f>
        <v>1016929.2</v>
      </c>
      <c r="J4" t="s">
        <v>4438</v>
      </c>
      <c r="K4" s="381">
        <f>tlOutputfinSeg2Rev_R2</f>
        <v>1043298</v>
      </c>
    </row>
    <row r="5" spans="4:11">
      <c r="D5" t="s">
        <v>4436</v>
      </c>
      <c r="E5" s="381">
        <f>tlOutputfinSeg3Rev_R1</f>
        <v>1629930</v>
      </c>
      <c r="J5" t="s">
        <v>4439</v>
      </c>
      <c r="K5" s="381">
        <f>tlOutputfinSeg3Rev_R2</f>
        <v>1664880</v>
      </c>
    </row>
    <row r="6" spans="4:11">
      <c r="D6" t="s">
        <v>477</v>
      </c>
      <c r="E6" s="381">
        <f>tlOutputfinRev_R1</f>
        <v>12795324</v>
      </c>
      <c r="J6" t="s">
        <v>479</v>
      </c>
      <c r="K6" s="381">
        <f>tlOutputfinRev_R2</f>
        <v>13133418</v>
      </c>
    </row>
    <row r="7" spans="4:11">
      <c r="D7" t="s">
        <v>2788</v>
      </c>
      <c r="E7" s="381">
        <f>tlOutputfinServiceCost_R1</f>
        <v>6132813.9461233709</v>
      </c>
      <c r="J7" t="s">
        <v>2791</v>
      </c>
      <c r="K7" s="381">
        <f>tlOutputfinServiceCost_R2</f>
        <v>5558256.1719274502</v>
      </c>
    </row>
    <row r="8" spans="4:11">
      <c r="D8" t="s">
        <v>4711</v>
      </c>
      <c r="E8" s="381">
        <f>tlOutputfinGrossMargin_R1</f>
        <v>0.52069881574523857</v>
      </c>
      <c r="J8" t="s">
        <v>4712</v>
      </c>
      <c r="K8" s="381">
        <f>tlOutputfinGrossMargin_R2</f>
        <v>0.57678525331886565</v>
      </c>
    </row>
    <row r="9" spans="4:11">
      <c r="D9" t="s">
        <v>2789</v>
      </c>
      <c r="E9" s="381">
        <f>tlOutputfinEmpOverhead_R1</f>
        <v>4623875</v>
      </c>
      <c r="J9" t="s">
        <v>2792</v>
      </c>
      <c r="K9" s="381">
        <f>tlOutputfinEmpOverhead_R2</f>
        <v>5150843.75</v>
      </c>
    </row>
    <row r="10" spans="4:11">
      <c r="D10" t="s">
        <v>478</v>
      </c>
      <c r="E10" s="381">
        <f>tlOutputfinTotalExp_R1</f>
        <v>10756688.946123371</v>
      </c>
      <c r="J10" t="s">
        <v>480</v>
      </c>
      <c r="K10" s="381">
        <f>tlOutputfinTotalExp_R2</f>
        <v>10709099.92192745</v>
      </c>
    </row>
    <row r="11" spans="4:11">
      <c r="D11" t="s">
        <v>2790</v>
      </c>
      <c r="E11" s="381">
        <f>tlOutputfinOpProfit_R1</f>
        <v>2038635.0538766291</v>
      </c>
      <c r="J11" t="s">
        <v>2793</v>
      </c>
      <c r="K11" s="381">
        <f>tlOutputfinOpProfit_R2</f>
        <v>2424318.0780725498</v>
      </c>
    </row>
    <row r="12" spans="4:11">
      <c r="D12" t="s">
        <v>2775</v>
      </c>
      <c r="E12" s="381">
        <f>tlOutputfinOpMargin_R1</f>
        <v>0.15932656757082736</v>
      </c>
      <c r="J12" t="s">
        <v>2794</v>
      </c>
      <c r="K12" s="381">
        <f>tlOutputfinOpMargin_R2</f>
        <v>0.18459155705487709</v>
      </c>
    </row>
    <row r="13" spans="4:11">
      <c r="D13" t="s">
        <v>581</v>
      </c>
      <c r="E13" s="381">
        <f>tlOutputR1Event1</f>
        <v>0</v>
      </c>
      <c r="J13" t="s">
        <v>585</v>
      </c>
      <c r="K13">
        <f>tlOutputR2Event1</f>
        <v>0</v>
      </c>
    </row>
    <row r="14" spans="4:11">
      <c r="D14" t="s">
        <v>582</v>
      </c>
      <c r="E14" s="381">
        <f>tlOutputR1Event2</f>
        <v>0</v>
      </c>
      <c r="J14" t="s">
        <v>586</v>
      </c>
      <c r="K14">
        <f>tlOutputR2Event2</f>
        <v>0</v>
      </c>
    </row>
    <row r="15" spans="4:11">
      <c r="D15" t="s">
        <v>583</v>
      </c>
      <c r="E15" s="381">
        <f>tlOutputR1Event3</f>
        <v>0</v>
      </c>
      <c r="J15" t="s">
        <v>587</v>
      </c>
      <c r="K15">
        <f>tlOutputR2Event3</f>
        <v>0</v>
      </c>
    </row>
    <row r="16" spans="4:11">
      <c r="D16" t="s">
        <v>4428</v>
      </c>
      <c r="E16" s="381">
        <f>tlOutputfinLOB1Seg1Rev_R1</f>
        <v>5006556</v>
      </c>
      <c r="J16" t="s">
        <v>7881</v>
      </c>
      <c r="K16" s="381">
        <f>tlOutputfinLOB1Seg1Rev_R2</f>
        <v>5106024</v>
      </c>
    </row>
    <row r="17" spans="4:11">
      <c r="D17" t="s">
        <v>4429</v>
      </c>
      <c r="E17" s="381">
        <f>tlOutputfinLOB1Seg2Rev_R1</f>
        <v>779610</v>
      </c>
      <c r="J17" t="s">
        <v>7882</v>
      </c>
      <c r="K17" s="381">
        <f>tlOutputfinLOB1Seg2Rev_R2</f>
        <v>779610</v>
      </c>
    </row>
    <row r="18" spans="4:11">
      <c r="D18" t="s">
        <v>4430</v>
      </c>
      <c r="E18" s="381">
        <f>tlOutputfinLOB1Seg3Rev_R1</f>
        <v>1547280</v>
      </c>
      <c r="J18" t="s">
        <v>7883</v>
      </c>
      <c r="K18" s="381">
        <f>tlOutputfinLOB1Seg3Rev_R2</f>
        <v>1565700</v>
      </c>
    </row>
    <row r="19" spans="4:11">
      <c r="D19" t="s">
        <v>2776</v>
      </c>
      <c r="E19" s="381">
        <f>tlOutputfinLOB1Rev_R1</f>
        <v>7333446</v>
      </c>
      <c r="J19" t="s">
        <v>7884</v>
      </c>
      <c r="K19" s="381">
        <f>tlOutputfinLOB1Rev_R2</f>
        <v>7451334</v>
      </c>
    </row>
    <row r="20" spans="4:11">
      <c r="D20" t="s">
        <v>2782</v>
      </c>
      <c r="E20" s="381">
        <f>tlOutputfinLOB1ServiceCost_R1</f>
        <v>3681123.1135499999</v>
      </c>
      <c r="J20" t="s">
        <v>7885</v>
      </c>
      <c r="K20" s="381">
        <f>tlOutputfinLOB1ServiceCost_R2</f>
        <v>3197474.164277419</v>
      </c>
    </row>
    <row r="21" spans="4:11">
      <c r="D21" t="s">
        <v>4709</v>
      </c>
      <c r="E21" s="381">
        <f>tlOutputfinLOB1GrossMargin_R1</f>
        <v>0.49803637832064218</v>
      </c>
      <c r="J21" t="s">
        <v>7886</v>
      </c>
      <c r="K21" s="381">
        <f>tlOutputfinLOB1GrossMargin_R2</f>
        <v>0.5708856743936831</v>
      </c>
    </row>
    <row r="22" spans="4:11">
      <c r="D22" t="s">
        <v>2783</v>
      </c>
      <c r="E22" s="381">
        <f>tlOutputfinLOB1EmpOverhead_R1</f>
        <v>2516000</v>
      </c>
      <c r="J22" t="s">
        <v>7887</v>
      </c>
      <c r="K22" s="381">
        <f>tlOutputfinLOB1EmpOverhead_R2</f>
        <v>2516000</v>
      </c>
    </row>
    <row r="23" spans="4:11">
      <c r="D23" t="s">
        <v>2777</v>
      </c>
      <c r="E23" s="381">
        <f>tlOutputfinLOB1TotalExp_R1</f>
        <v>6197123.1135499999</v>
      </c>
      <c r="J23" t="s">
        <v>7888</v>
      </c>
      <c r="K23" s="381">
        <f>tlOutputfinLOB1TotalExp_R2</f>
        <v>5713474.1642774194</v>
      </c>
    </row>
    <row r="24" spans="4:11">
      <c r="D24" t="s">
        <v>2784</v>
      </c>
      <c r="E24" s="381">
        <f>tlOutputfinLOB1OpProfit_R1</f>
        <v>1136322.8864500001</v>
      </c>
      <c r="J24" t="s">
        <v>7889</v>
      </c>
      <c r="K24" s="381">
        <f>tlOutputfinLOB1OpProfit_R2</f>
        <v>1737859.8357225806</v>
      </c>
    </row>
    <row r="25" spans="4:11">
      <c r="D25" t="s">
        <v>2778</v>
      </c>
      <c r="E25" s="381">
        <f>tlOutputfinLOB1OpMargin_R1</f>
        <v>0.15495074027271763</v>
      </c>
      <c r="J25" t="s">
        <v>7890</v>
      </c>
      <c r="K25" s="381">
        <f>tlOutputfinLOB1OpMargin_R2</f>
        <v>0.23322801470482743</v>
      </c>
    </row>
    <row r="26" spans="4:11">
      <c r="D26" t="s">
        <v>744</v>
      </c>
      <c r="E26" s="381">
        <f>tlInputLOB1SpecProg1_R1</f>
        <v>0</v>
      </c>
      <c r="J26" t="s">
        <v>745</v>
      </c>
      <c r="K26" s="381">
        <f>tlInputLOB1SpecProg1_R2</f>
        <v>0</v>
      </c>
    </row>
    <row r="27" spans="4:11">
      <c r="D27" t="s">
        <v>746</v>
      </c>
      <c r="E27" s="381">
        <f>tlInputLOB1SpecProg2_R1</f>
        <v>0</v>
      </c>
      <c r="J27" t="s">
        <v>747</v>
      </c>
      <c r="K27" s="381">
        <f>tlInputLOB1SpecProg2_R2</f>
        <v>0</v>
      </c>
    </row>
    <row r="28" spans="4:11">
      <c r="D28" t="s">
        <v>748</v>
      </c>
      <c r="E28" s="381">
        <f>tlInputLOB1SpecProg3_R1</f>
        <v>0</v>
      </c>
      <c r="J28" t="s">
        <v>749</v>
      </c>
      <c r="K28" s="381">
        <f>tlInputLOB1SpecProg3_R2</f>
        <v>0</v>
      </c>
    </row>
    <row r="29" spans="4:11">
      <c r="D29" t="s">
        <v>750</v>
      </c>
      <c r="E29" s="381">
        <f>tlInputLOB1SpecProg4_R1</f>
        <v>0</v>
      </c>
      <c r="J29" t="s">
        <v>751</v>
      </c>
      <c r="K29" s="381">
        <f>tlInputLOB1SpecProg4_R2</f>
        <v>0</v>
      </c>
    </row>
    <row r="30" spans="4:11">
      <c r="D30" t="s">
        <v>759</v>
      </c>
      <c r="E30" s="381">
        <f>tlInputLOB1DOOAdjTime2_R1</f>
        <v>0</v>
      </c>
      <c r="J30" t="s">
        <v>762</v>
      </c>
      <c r="K30" s="381">
        <f>tlInputLOB1DOOAdjTime2_R2</f>
        <v>0</v>
      </c>
    </row>
    <row r="31" spans="4:11">
      <c r="D31" t="s">
        <v>765</v>
      </c>
      <c r="E31" s="381">
        <f>tlInputLOB1DOOAdjTime3_R1</f>
        <v>0</v>
      </c>
      <c r="J31" t="s">
        <v>768</v>
      </c>
      <c r="K31" s="381">
        <f>tlInputLOB1DOOAdjTime3_R2</f>
        <v>0</v>
      </c>
    </row>
    <row r="32" spans="4:11">
      <c r="D32" t="s">
        <v>771</v>
      </c>
      <c r="E32" s="381">
        <f>tlInputLOB1DOOAdjTime4_R1</f>
        <v>0</v>
      </c>
      <c r="J32" t="s">
        <v>774</v>
      </c>
      <c r="K32" s="381">
        <f>tlInputLOB1DOOAdjTime4_R2</f>
        <v>0</v>
      </c>
    </row>
    <row r="33" spans="4:11">
      <c r="D33" t="s">
        <v>777</v>
      </c>
      <c r="E33" s="381">
        <f>tlInputLOB1DOOAdjTime5_R1</f>
        <v>0</v>
      </c>
      <c r="J33" t="s">
        <v>780</v>
      </c>
      <c r="K33" s="381">
        <f>tlInputLOB1DOOAdjTime5_R2</f>
        <v>0</v>
      </c>
    </row>
    <row r="34" spans="4:11">
      <c r="D34" t="s">
        <v>783</v>
      </c>
      <c r="E34" s="381">
        <f>tlInputLOB1DOOAdjTime6_R1</f>
        <v>0</v>
      </c>
      <c r="J34" t="s">
        <v>786</v>
      </c>
      <c r="K34" s="381">
        <f>tlInputLOB1DOOAdjTime6_R2</f>
        <v>0</v>
      </c>
    </row>
    <row r="35" spans="4:11">
      <c r="D35" t="s">
        <v>754</v>
      </c>
      <c r="E35" s="381">
        <f>tlOutputLOB1DOOPlanTime1_R1</f>
        <v>0.8</v>
      </c>
      <c r="J35" t="s">
        <v>757</v>
      </c>
      <c r="K35" s="381">
        <f>tlOutputLOB1DOOPlanTime1_R2</f>
        <v>0.74</v>
      </c>
    </row>
    <row r="36" spans="4:11">
      <c r="D36" t="s">
        <v>760</v>
      </c>
      <c r="E36" s="381">
        <f>tlOutputLOB1DOOPlanTime2_R1</f>
        <v>0</v>
      </c>
      <c r="J36" t="s">
        <v>763</v>
      </c>
      <c r="K36" s="381">
        <f>tlOutputLOB1DOOPlanTime2_R2</f>
        <v>0</v>
      </c>
    </row>
    <row r="37" spans="4:11">
      <c r="D37" t="s">
        <v>766</v>
      </c>
      <c r="E37" s="381">
        <f>tlOutputLOB1DOOPlanTime3_R1</f>
        <v>0</v>
      </c>
      <c r="J37" t="s">
        <v>769</v>
      </c>
      <c r="K37" s="381">
        <f>tlOutputLOB1DOOPlanTime3_R2</f>
        <v>0</v>
      </c>
    </row>
    <row r="38" spans="4:11">
      <c r="D38" t="s">
        <v>772</v>
      </c>
      <c r="E38" s="381">
        <f>tlOutputLOB1DOOPlanTime4_R1</f>
        <v>0</v>
      </c>
      <c r="J38" t="s">
        <v>775</v>
      </c>
      <c r="K38" s="381">
        <f>tlOutputLOB1DOOPlanTime4_R2</f>
        <v>0</v>
      </c>
    </row>
    <row r="39" spans="4:11">
      <c r="D39" t="s">
        <v>778</v>
      </c>
      <c r="E39" s="381">
        <f>tlOutputLOB1DOOPlanTime5_R1</f>
        <v>0</v>
      </c>
      <c r="J39" t="s">
        <v>781</v>
      </c>
      <c r="K39" s="381">
        <f>tlOutputLOB1DOOPlanTime5_R2</f>
        <v>0</v>
      </c>
    </row>
    <row r="40" spans="4:11">
      <c r="D40" t="s">
        <v>784</v>
      </c>
      <c r="E40" s="381">
        <f>tlOutputLOB1DOOPlanTime6_R1</f>
        <v>0</v>
      </c>
      <c r="J40" t="s">
        <v>787</v>
      </c>
      <c r="K40" s="381">
        <f>tlOutputLOB1DOOPlanTime6_R2</f>
        <v>0</v>
      </c>
    </row>
    <row r="41" spans="4:11">
      <c r="D41" t="s">
        <v>789</v>
      </c>
      <c r="E41" s="381">
        <f>tlOutputLOB1DOOTotalPlanTime_R1</f>
        <v>0.8</v>
      </c>
      <c r="J41" t="s">
        <v>791</v>
      </c>
      <c r="K41" s="381">
        <f>tlOutputLOB1DOOTotalPlanTime_R2</f>
        <v>0.74</v>
      </c>
    </row>
    <row r="42" spans="4:11">
      <c r="D42" t="s">
        <v>812</v>
      </c>
      <c r="E42" s="381">
        <f>tlInputLOB1Prod1Seg1Adj_R1</f>
        <v>121</v>
      </c>
      <c r="J42" t="s">
        <v>818</v>
      </c>
      <c r="K42" s="381">
        <f>tlInputLOB1Prod1Seg1Adj_R2</f>
        <v>123</v>
      </c>
    </row>
    <row r="43" spans="4:11">
      <c r="D43" t="s">
        <v>824</v>
      </c>
      <c r="E43" s="381">
        <f>tlInputLOB1Prod1Seg2Adj_R1</f>
        <v>21</v>
      </c>
      <c r="J43" t="s">
        <v>830</v>
      </c>
      <c r="K43" s="381">
        <f>tlInputLOB1Prod1Seg2Adj_R2</f>
        <v>21</v>
      </c>
    </row>
    <row r="44" spans="4:11">
      <c r="D44" t="s">
        <v>836</v>
      </c>
      <c r="E44" s="381">
        <f>tlInputLOB1Prod1Seg3Adj_R1</f>
        <v>67</v>
      </c>
      <c r="J44" t="s">
        <v>842</v>
      </c>
      <c r="K44" s="381">
        <f>tlInputLOB1Prod1Seg3Adj_R2</f>
        <v>68</v>
      </c>
    </row>
    <row r="45" spans="4:11">
      <c r="D45" t="s">
        <v>848</v>
      </c>
      <c r="E45" s="381">
        <f>tlInputLOB1Prod2Seg1Adj_R1</f>
        <v>30</v>
      </c>
      <c r="J45" t="s">
        <v>854</v>
      </c>
      <c r="K45" s="381">
        <f>tlInputLOB1Prod2Seg1Adj_R2</f>
        <v>31</v>
      </c>
    </row>
    <row r="46" spans="4:11">
      <c r="D46" t="s">
        <v>860</v>
      </c>
      <c r="E46" s="381">
        <f>tlInputLOB1Prod2Seg2Adj_R1</f>
        <v>5</v>
      </c>
      <c r="J46" t="s">
        <v>866</v>
      </c>
      <c r="K46" s="381">
        <f>tlInputLOB1Prod2Seg2Adj_R2</f>
        <v>5</v>
      </c>
    </row>
    <row r="47" spans="4:11">
      <c r="D47" t="s">
        <v>872</v>
      </c>
      <c r="E47" s="381">
        <f>tlInputLOB1Prod2Seg3Adj_R1</f>
        <v>17</v>
      </c>
      <c r="J47" t="s">
        <v>878</v>
      </c>
      <c r="K47" s="381">
        <f>tlInputLOB1Prod2Seg3Adj_R2</f>
        <v>17</v>
      </c>
    </row>
    <row r="48" spans="4:11">
      <c r="D48" t="s">
        <v>5020</v>
      </c>
      <c r="E48" s="381">
        <f>tlOutputLOB1Prod1Seg1Budget_R1</f>
        <v>127</v>
      </c>
      <c r="J48" t="s">
        <v>5027</v>
      </c>
      <c r="K48" s="381">
        <f>tlOutputLOB1Prod1Seg1Budget_R2</f>
        <v>129</v>
      </c>
    </row>
    <row r="49" spans="4:11">
      <c r="D49" t="s">
        <v>5021</v>
      </c>
      <c r="E49" s="381">
        <f>tlOutputLOB1Prod1Seg2Budget_R1</f>
        <v>22</v>
      </c>
      <c r="J49" t="s">
        <v>5028</v>
      </c>
      <c r="K49" s="381">
        <f>tlOutputLOB1Prod1Seg2Budget_R2</f>
        <v>22</v>
      </c>
    </row>
    <row r="50" spans="4:11">
      <c r="D50" t="s">
        <v>5022</v>
      </c>
      <c r="E50" s="381">
        <f>tlOutputLOB1Prod1Seg3Budget_R1</f>
        <v>70</v>
      </c>
      <c r="J50" t="s">
        <v>5029</v>
      </c>
      <c r="K50" s="381">
        <f>tlOutputLOB1Prod1Seg3Budget_R2</f>
        <v>71</v>
      </c>
    </row>
    <row r="51" spans="4:11">
      <c r="D51" t="s">
        <v>5023</v>
      </c>
      <c r="E51" s="381">
        <f>tlOutputLOB1Prod2Seg1Budget_R1</f>
        <v>32</v>
      </c>
      <c r="J51" t="s">
        <v>5030</v>
      </c>
      <c r="K51" s="381">
        <f>tlOutputLOB1Prod2Seg1Budget_R2</f>
        <v>32</v>
      </c>
    </row>
    <row r="52" spans="4:11">
      <c r="D52" t="s">
        <v>5024</v>
      </c>
      <c r="E52" s="381">
        <f>tlOutputLOB1Prod2Seg2Budget_R1</f>
        <v>6</v>
      </c>
      <c r="J52" t="s">
        <v>5031</v>
      </c>
      <c r="K52" s="381">
        <f>tlOutputLOB1Prod2Seg2Budget_R2</f>
        <v>6</v>
      </c>
    </row>
    <row r="53" spans="4:11">
      <c r="D53" t="s">
        <v>5025</v>
      </c>
      <c r="E53" s="381">
        <f>tlOutputLOB1Prod2Seg3Budget_R1</f>
        <v>18</v>
      </c>
      <c r="J53" t="s">
        <v>5032</v>
      </c>
      <c r="K53" s="381">
        <f>tlOutputLOB1Prod2Seg3Budget_R2</f>
        <v>18</v>
      </c>
    </row>
    <row r="54" spans="4:11">
      <c r="D54" s="795" t="s">
        <v>7848</v>
      </c>
      <c r="E54" s="381">
        <f>tlOutputmmLOB1Driver1Explain</f>
        <v>-1.3052213305553898E-3</v>
      </c>
      <c r="J54" s="795" t="s">
        <v>8477</v>
      </c>
      <c r="K54" s="381">
        <f>tlOutputmmR2LOB1Driver1Explain</f>
        <v>-1.5653478816411572E-2</v>
      </c>
    </row>
    <row r="55" spans="4:11">
      <c r="D55" s="795" t="s">
        <v>7849</v>
      </c>
      <c r="E55" s="381">
        <f>tlOutputmmLOB1Driver2Explain</f>
        <v>1.71290940725237E-2</v>
      </c>
      <c r="J55" s="795" t="s">
        <v>8478</v>
      </c>
      <c r="K55" s="381">
        <f>tlOutputmmR2LOB1Driver2Explain</f>
        <v>1.7088421778434248E-3</v>
      </c>
    </row>
    <row r="56" spans="4:11">
      <c r="D56" s="795" t="s">
        <v>7850</v>
      </c>
      <c r="E56" s="381">
        <f>tlOutputmmLOB1Driver3Explain</f>
        <v>-1.1045075418182906E-3</v>
      </c>
      <c r="J56" s="795" t="s">
        <v>8479</v>
      </c>
      <c r="K56" s="381">
        <f>tlOutputmmR2LOB1Driver3Explain</f>
        <v>-1.2517978545950755E-4</v>
      </c>
    </row>
    <row r="57" spans="4:11">
      <c r="D57" t="s">
        <v>7851</v>
      </c>
      <c r="E57" s="381">
        <f>tlOutputmmLOB1MarketShare</f>
        <v>0.34805269853348336</v>
      </c>
      <c r="J57" t="s">
        <v>8480</v>
      </c>
      <c r="K57" s="381">
        <f>tlOutputmmR2LOB1MarketShare</f>
        <v>0.31926140582756879</v>
      </c>
    </row>
    <row r="58" spans="4:11">
      <c r="D58" t="s">
        <v>4761</v>
      </c>
      <c r="E58" s="381">
        <f>tlOutputLOB1Emp1Utilization_R1</f>
        <v>-0.12595755214253779</v>
      </c>
      <c r="J58" t="s">
        <v>4762</v>
      </c>
      <c r="K58" s="381">
        <f>tlOutputLOB1Emp1Utilization_R2</f>
        <v>-0.30552855678251811</v>
      </c>
    </row>
    <row r="59" spans="4:11">
      <c r="D59" t="s">
        <v>4763</v>
      </c>
      <c r="E59" s="381">
        <f>tlOutputLOB1Emp2Utilization_R1</f>
        <v>-0.14833286138097668</v>
      </c>
      <c r="J59" t="s">
        <v>4764</v>
      </c>
      <c r="K59" s="381">
        <f>tlOutputLOB1Emp2Utilization_R2</f>
        <v>-0.34151936698138696</v>
      </c>
    </row>
    <row r="60" spans="4:11">
      <c r="D60" t="s">
        <v>4765</v>
      </c>
      <c r="E60" s="381">
        <f>tlOutputLOB1Emp3Utilization_R1</f>
        <v>-0.15269748550721718</v>
      </c>
      <c r="J60" t="s">
        <v>4766</v>
      </c>
      <c r="K60" s="381">
        <f>tlOutputLOB1Emp3Utilization_R2</f>
        <v>-0.34254958870981644</v>
      </c>
    </row>
    <row r="61" spans="4:11">
      <c r="D61" t="s">
        <v>2831</v>
      </c>
      <c r="E61" s="381" t="str">
        <f>tlInputLOB1Cln11Dis_R1</f>
        <v>Open</v>
      </c>
      <c r="J61" t="s">
        <v>2833</v>
      </c>
      <c r="K61" s="381" t="str">
        <f>tlInputLOB1Cln11Dis_R2</f>
        <v>Open</v>
      </c>
    </row>
    <row r="62" spans="4:11">
      <c r="D62" t="s">
        <v>2868</v>
      </c>
      <c r="E62" s="381" t="str">
        <f>tlInputLOB1Cln12Dis_R1</f>
        <v>Open</v>
      </c>
      <c r="J62" t="s">
        <v>2870</v>
      </c>
      <c r="K62" s="381" t="str">
        <f>tlInputLOB1Cln12Dis_R2</f>
        <v>Open</v>
      </c>
    </row>
    <row r="63" spans="4:11">
      <c r="D63" t="s">
        <v>2832</v>
      </c>
      <c r="E63" s="381" t="str">
        <f>tlInputLOB1Cln11Status_R1</f>
        <v>Open</v>
      </c>
      <c r="J63" t="s">
        <v>2834</v>
      </c>
      <c r="K63" s="381" t="str">
        <f>tlInputLOB1Cln11Status_R2</f>
        <v>Open</v>
      </c>
    </row>
    <row r="64" spans="4:11">
      <c r="D64" t="s">
        <v>2869</v>
      </c>
      <c r="E64" s="381" t="str">
        <f>tlInputLOB1Cln12Status_R1</f>
        <v>Open</v>
      </c>
      <c r="J64" t="s">
        <v>2871</v>
      </c>
      <c r="K64" s="381" t="str">
        <f>tlInputLOB1Cln12Status_R2</f>
        <v>Open</v>
      </c>
    </row>
    <row r="65" spans="4:11">
      <c r="D65" t="s">
        <v>880</v>
      </c>
      <c r="E65" s="381">
        <f>tlInputLOB1Cln1Mtng_R1</f>
        <v>0</v>
      </c>
      <c r="J65" t="s">
        <v>891</v>
      </c>
      <c r="K65" s="381">
        <f>tlInputLOB1Cln1Mtng_R2</f>
        <v>0</v>
      </c>
    </row>
    <row r="66" spans="4:11">
      <c r="D66" t="s">
        <v>902</v>
      </c>
      <c r="E66" s="381">
        <f>tlInputLOB1Cln2Mtng_R1</f>
        <v>0</v>
      </c>
      <c r="J66" t="s">
        <v>913</v>
      </c>
      <c r="K66" s="381">
        <f>tlInputLOB1Cln2Mtng_R2</f>
        <v>0</v>
      </c>
    </row>
    <row r="67" spans="4:11">
      <c r="D67" t="s">
        <v>924</v>
      </c>
      <c r="E67" s="381">
        <f>tlInputLOB1Cln3Mtng_R1</f>
        <v>0</v>
      </c>
      <c r="J67" t="s">
        <v>935</v>
      </c>
      <c r="K67" s="381">
        <f>tlInputLOB1Cln3Mtng_R2</f>
        <v>0</v>
      </c>
    </row>
    <row r="68" spans="4:11">
      <c r="D68" t="s">
        <v>946</v>
      </c>
      <c r="E68" s="381">
        <f>tlInputLOB1Cln4Mtng_R1</f>
        <v>0</v>
      </c>
      <c r="J68" t="s">
        <v>957</v>
      </c>
      <c r="K68" s="381">
        <f>tlInputLOB1Cln4Mtng_R2</f>
        <v>0</v>
      </c>
    </row>
    <row r="69" spans="4:11">
      <c r="D69" t="s">
        <v>968</v>
      </c>
      <c r="E69" s="381">
        <f>tlInputLOB1Cln5Mtng_R1</f>
        <v>0</v>
      </c>
      <c r="J69" t="s">
        <v>979</v>
      </c>
      <c r="K69" s="381">
        <f>tlInputLOB1Cln5Mtng_R2</f>
        <v>0</v>
      </c>
    </row>
    <row r="70" spans="4:11">
      <c r="D70" t="s">
        <v>990</v>
      </c>
      <c r="E70" s="381">
        <f>tlInputLOB1Cln6Mtng_R1</f>
        <v>0</v>
      </c>
      <c r="J70" t="s">
        <v>1001</v>
      </c>
      <c r="K70" s="381">
        <f>tlInputLOB1Cln6Mtng_R2</f>
        <v>0</v>
      </c>
    </row>
    <row r="71" spans="4:11">
      <c r="D71" t="s">
        <v>1012</v>
      </c>
      <c r="E71" s="381">
        <f>tlInputLOB1Cln7Mtng_R1</f>
        <v>0</v>
      </c>
      <c r="J71" t="s">
        <v>1023</v>
      </c>
      <c r="K71" s="381">
        <f>tlInputLOB1Cln7Mtng_R2</f>
        <v>0</v>
      </c>
    </row>
    <row r="72" spans="4:11">
      <c r="D72" t="s">
        <v>1034</v>
      </c>
      <c r="E72" s="381">
        <f>tlInputLOB1Cln8Mtng_R1</f>
        <v>0</v>
      </c>
      <c r="J72" t="s">
        <v>1045</v>
      </c>
      <c r="K72" s="381">
        <f>tlInputLOB1Cln8Mtng_R2</f>
        <v>0</v>
      </c>
    </row>
    <row r="73" spans="4:11">
      <c r="D73" t="s">
        <v>1056</v>
      </c>
      <c r="E73" s="381">
        <f>tlInputLOB1Cln9Mtng_R1</f>
        <v>0</v>
      </c>
      <c r="J73" t="s">
        <v>1067</v>
      </c>
      <c r="K73" s="381">
        <f>tlInputLOB1Cln9Mtng_R2</f>
        <v>0</v>
      </c>
    </row>
    <row r="74" spans="4:11">
      <c r="D74" t="s">
        <v>1078</v>
      </c>
      <c r="E74" s="381">
        <f>tlInputLOB1Cln10Mtng_R1</f>
        <v>0</v>
      </c>
      <c r="J74" t="s">
        <v>1089</v>
      </c>
      <c r="K74" s="381">
        <f>tlInputLOB1Cln10Mtng_R2</f>
        <v>0</v>
      </c>
    </row>
    <row r="75" spans="4:11">
      <c r="D75" t="s">
        <v>3367</v>
      </c>
      <c r="E75" s="381">
        <f>tlInputLOB1Cln11Mtng_R1</f>
        <v>0</v>
      </c>
      <c r="J75" t="s">
        <v>3371</v>
      </c>
      <c r="K75" s="381">
        <f>tlInputLOB1Cln11Mtng_R2</f>
        <v>0</v>
      </c>
    </row>
    <row r="76" spans="4:11">
      <c r="D76" t="s">
        <v>3369</v>
      </c>
      <c r="E76" s="381">
        <f>tlInputLOB1Cln12Mtng_R1</f>
        <v>0</v>
      </c>
      <c r="J76" t="s">
        <v>3373</v>
      </c>
      <c r="K76" s="381">
        <f>tlInputLOB1Cln12Mtng_R2</f>
        <v>0</v>
      </c>
    </row>
    <row r="77" spans="4:11">
      <c r="D77" t="s">
        <v>3104</v>
      </c>
      <c r="E77" s="381" t="str">
        <f>tlInputLOB1Cln1Text_R1</f>
        <v>Enter feedback here</v>
      </c>
      <c r="J77" t="s">
        <v>3114</v>
      </c>
      <c r="K77" s="381" t="str">
        <f>tlInputLOB1Cln1Text_R2</f>
        <v>Enter feedback here</v>
      </c>
    </row>
    <row r="78" spans="4:11">
      <c r="D78" t="s">
        <v>3105</v>
      </c>
      <c r="E78" s="381" t="str">
        <f>tlInputLOB1Cln2Text_R1</f>
        <v>Enter feedback here</v>
      </c>
      <c r="J78" t="s">
        <v>3115</v>
      </c>
      <c r="K78" s="381" t="str">
        <f>tlInputLOB1Cln2Text_R2</f>
        <v>Enter feedback here</v>
      </c>
    </row>
    <row r="79" spans="4:11">
      <c r="D79" t="s">
        <v>3106</v>
      </c>
      <c r="E79" s="381" t="str">
        <f>tlInputLOB1Cln3Text_R1</f>
        <v>Enter feedback here</v>
      </c>
      <c r="J79" t="s">
        <v>3116</v>
      </c>
      <c r="K79" s="381" t="str">
        <f>tlInputLOB1Cln3Text_R2</f>
        <v>Enter feedback here</v>
      </c>
    </row>
    <row r="80" spans="4:11">
      <c r="D80" t="s">
        <v>3107</v>
      </c>
      <c r="E80" s="381" t="str">
        <f>tlInputLOB1Cln4Text_R1</f>
        <v>Enter feedback here</v>
      </c>
      <c r="J80" t="s">
        <v>3117</v>
      </c>
      <c r="K80" s="381" t="str">
        <f>tlInputLOB1Cln4Text_R2</f>
        <v>Enter feedback here</v>
      </c>
    </row>
    <row r="81" spans="4:11">
      <c r="D81" t="s">
        <v>3108</v>
      </c>
      <c r="E81" s="381" t="str">
        <f>tlInputLOB1Cln5Text_R1</f>
        <v>Enter feedback here</v>
      </c>
      <c r="J81" t="s">
        <v>3118</v>
      </c>
      <c r="K81" s="381" t="str">
        <f>tlInputLOB1Cln5Text_R2</f>
        <v>Enter feedback here</v>
      </c>
    </row>
    <row r="82" spans="4:11">
      <c r="D82" t="s">
        <v>3109</v>
      </c>
      <c r="E82" s="381" t="str">
        <f>tlInputLOB1Cln6Text_R1</f>
        <v>Enter feedback here</v>
      </c>
      <c r="J82" t="s">
        <v>3119</v>
      </c>
      <c r="K82" s="381" t="str">
        <f>tlInputLOB1Cln6Text_R2</f>
        <v>Enter feedback here</v>
      </c>
    </row>
    <row r="83" spans="4:11">
      <c r="D83" t="s">
        <v>3110</v>
      </c>
      <c r="E83" s="381" t="str">
        <f>tlInputLOB1Cln7Text_R1</f>
        <v>Enter feedback here</v>
      </c>
      <c r="J83" t="s">
        <v>3120</v>
      </c>
      <c r="K83" s="381" t="str">
        <f>tlInputLOB1Cln7Text_R2</f>
        <v>Enter feedback here</v>
      </c>
    </row>
    <row r="84" spans="4:11">
      <c r="D84" t="s">
        <v>3111</v>
      </c>
      <c r="E84" s="381" t="str">
        <f>tlInputLOB1Cln8Text_R1</f>
        <v>Enter feedback here</v>
      </c>
      <c r="J84" t="s">
        <v>3121</v>
      </c>
      <c r="K84" s="381" t="str">
        <f>tlInputLOB1Cln8Text_R2</f>
        <v>Enter feedback here</v>
      </c>
    </row>
    <row r="85" spans="4:11">
      <c r="D85" t="s">
        <v>3112</v>
      </c>
      <c r="E85" s="381" t="str">
        <f>tlInputLOB1Cln9Text_R1</f>
        <v>Enter feedback here</v>
      </c>
      <c r="J85" t="s">
        <v>3122</v>
      </c>
      <c r="K85" s="381" t="str">
        <f>tlInputLOB1Cln9Text_R2</f>
        <v>Enter feedback here</v>
      </c>
    </row>
    <row r="86" spans="4:11">
      <c r="D86" t="s">
        <v>3113</v>
      </c>
      <c r="E86" s="381" t="str">
        <f>tlInputLOB1Cln10Text_R1</f>
        <v>Enter feedback here</v>
      </c>
      <c r="J86" t="s">
        <v>3123</v>
      </c>
      <c r="K86" s="381" t="str">
        <f>tlInputLOB1Cln10Text_R2</f>
        <v>Enter feedback here</v>
      </c>
    </row>
    <row r="87" spans="4:11">
      <c r="D87" t="s">
        <v>3368</v>
      </c>
      <c r="E87" s="381" t="str">
        <f>tlInputLOB1Cln11Text_R1</f>
        <v>Enter feedback here</v>
      </c>
      <c r="J87" t="s">
        <v>3372</v>
      </c>
      <c r="K87" s="381" t="str">
        <f>tlInputLOB1Cln11Text_R2</f>
        <v>Enter feedback here</v>
      </c>
    </row>
    <row r="88" spans="4:11">
      <c r="D88" t="s">
        <v>3370</v>
      </c>
      <c r="E88" s="381" t="str">
        <f>tlInputLOB1Cln12Text_R1</f>
        <v>Enter feedback here</v>
      </c>
      <c r="J88" t="s">
        <v>3374</v>
      </c>
      <c r="K88" s="381" t="str">
        <f>tlInputLOB1Cln12Text_R2</f>
        <v>Enter feedback here</v>
      </c>
    </row>
    <row r="89" spans="4:11">
      <c r="D89" t="s">
        <v>3375</v>
      </c>
      <c r="E89" s="381">
        <f>tlInputLOB1Cln1WeekProdMod_R1</f>
        <v>0</v>
      </c>
      <c r="J89" t="s">
        <v>3387</v>
      </c>
      <c r="K89" s="381">
        <f>tlInputLOB1Cln1WeekProdMod_R2</f>
        <v>0</v>
      </c>
    </row>
    <row r="90" spans="4:11">
      <c r="D90" t="s">
        <v>3376</v>
      </c>
      <c r="E90" s="381">
        <f>tlInputLOB1Cln2WeekProdMod_R1</f>
        <v>0</v>
      </c>
      <c r="J90" t="s">
        <v>3388</v>
      </c>
      <c r="K90" s="381">
        <f>tlInputLOB1Cln2WeekProdMod_R2</f>
        <v>0</v>
      </c>
    </row>
    <row r="91" spans="4:11">
      <c r="D91" t="s">
        <v>3377</v>
      </c>
      <c r="E91" s="381">
        <f>tlInputLOB1Cln3WeekProdMod_R1</f>
        <v>0</v>
      </c>
      <c r="J91" t="s">
        <v>3389</v>
      </c>
      <c r="K91" s="381">
        <f>tlInputLOB1Cln3WeekProdMod_R2</f>
        <v>0</v>
      </c>
    </row>
    <row r="92" spans="4:11">
      <c r="D92" t="s">
        <v>3378</v>
      </c>
      <c r="E92" s="381">
        <f>tlInputLOB1Cln4WeekProdMod_R1</f>
        <v>0</v>
      </c>
      <c r="J92" t="s">
        <v>3390</v>
      </c>
      <c r="K92" s="381">
        <f>tlInputLOB1Cln4WeekProdMod_R2</f>
        <v>0</v>
      </c>
    </row>
    <row r="93" spans="4:11">
      <c r="D93" t="s">
        <v>3379</v>
      </c>
      <c r="E93" s="381">
        <f>tlInputLOB1Cln5WeekProdMod_R1</f>
        <v>0</v>
      </c>
      <c r="J93" t="s">
        <v>3391</v>
      </c>
      <c r="K93" s="381">
        <f>tlInputLOB1Cln5WeekProdMod_R2</f>
        <v>0</v>
      </c>
    </row>
    <row r="94" spans="4:11">
      <c r="D94" t="s">
        <v>3380</v>
      </c>
      <c r="E94" s="381">
        <f>tlInputLOB1Cln6WeekProdMod_R1</f>
        <v>0</v>
      </c>
      <c r="J94" t="s">
        <v>3392</v>
      </c>
      <c r="K94" s="381">
        <f>tlInputLOB1Cln6WeekProdMod_R2</f>
        <v>0</v>
      </c>
    </row>
    <row r="95" spans="4:11">
      <c r="D95" t="s">
        <v>3381</v>
      </c>
      <c r="E95" s="381">
        <f>tlInputLOB1Cln7WeekProdMod_R1</f>
        <v>0</v>
      </c>
      <c r="J95" t="s">
        <v>3393</v>
      </c>
      <c r="K95" s="381">
        <f>tlInputLOB1Cln7WeekProdMod_R2</f>
        <v>0</v>
      </c>
    </row>
    <row r="96" spans="4:11">
      <c r="D96" t="s">
        <v>3382</v>
      </c>
      <c r="E96" s="381">
        <f>tlInputLOB1Cln8WeekProdMod_R1</f>
        <v>0</v>
      </c>
      <c r="J96" t="s">
        <v>3394</v>
      </c>
      <c r="K96" s="381">
        <f>tlInputLOB1Cln8WeekProdMod_R2</f>
        <v>0</v>
      </c>
    </row>
    <row r="97" spans="4:11">
      <c r="D97" t="s">
        <v>3383</v>
      </c>
      <c r="E97" s="381">
        <f>tlInputLOB1Cln9WeekProdMod_R1</f>
        <v>0</v>
      </c>
      <c r="J97" t="s">
        <v>3395</v>
      </c>
      <c r="K97" s="381">
        <f>tlInputLOB1Cln9WeekProdMod_R2</f>
        <v>0</v>
      </c>
    </row>
    <row r="98" spans="4:11">
      <c r="D98" t="s">
        <v>3384</v>
      </c>
      <c r="E98" s="381">
        <f>tlInputLOB1Cln10WeekProdMod_R1</f>
        <v>0</v>
      </c>
      <c r="J98" t="s">
        <v>3396</v>
      </c>
      <c r="K98" s="381">
        <f>tlInputLOB1Cln10WeekProdMod_R2</f>
        <v>0</v>
      </c>
    </row>
    <row r="99" spans="4:11">
      <c r="D99" t="s">
        <v>3385</v>
      </c>
      <c r="E99" s="381">
        <f>tlInputLOB1Cln11WeekProdMod_R1</f>
        <v>0</v>
      </c>
      <c r="J99" t="s">
        <v>3397</v>
      </c>
      <c r="K99" s="381">
        <f>tlInputLOB1Cln11WeekProdMod_R2</f>
        <v>0</v>
      </c>
    </row>
    <row r="100" spans="4:11">
      <c r="D100" t="s">
        <v>3386</v>
      </c>
      <c r="E100" s="381">
        <f>tlInputLOB1Cln12WeekProdMod_R1</f>
        <v>0</v>
      </c>
      <c r="J100" t="s">
        <v>3398</v>
      </c>
      <c r="K100" s="381">
        <f>tlInputLOB1Cln12WeekProdMod_R2</f>
        <v>0</v>
      </c>
    </row>
    <row r="101" spans="4:11">
      <c r="D101" t="s">
        <v>886</v>
      </c>
      <c r="E101" s="381">
        <f>tlOutputLOB1Cln1WeekProdProj_R1</f>
        <v>27</v>
      </c>
      <c r="J101" t="s">
        <v>897</v>
      </c>
      <c r="K101" s="381">
        <f>tlOutputLOB1Cln1WeekProdProj_R2</f>
        <v>27</v>
      </c>
    </row>
    <row r="102" spans="4:11">
      <c r="D102" t="s">
        <v>908</v>
      </c>
      <c r="E102" s="381">
        <f>tlOutputLOB1Cln2WeekProdProj_R1</f>
        <v>24</v>
      </c>
      <c r="J102" t="s">
        <v>919</v>
      </c>
      <c r="K102" s="381">
        <f>tlOutputLOB1Cln2WeekProdProj_R2</f>
        <v>24</v>
      </c>
    </row>
    <row r="103" spans="4:11">
      <c r="D103" t="s">
        <v>930</v>
      </c>
      <c r="E103" s="381">
        <f>tlOutputLOB1Cln3WeekProdProj_R1</f>
        <v>12.526315789473685</v>
      </c>
      <c r="J103" t="s">
        <v>941</v>
      </c>
      <c r="K103" s="381">
        <f>tlOutputLOB1Cln3WeekProdProj_R2</f>
        <v>12.526315789473685</v>
      </c>
    </row>
    <row r="104" spans="4:11">
      <c r="D104" t="s">
        <v>952</v>
      </c>
      <c r="E104" s="381">
        <f>tlOutputLOB1Cln4WeekProdProj_R1</f>
        <v>33</v>
      </c>
      <c r="J104" t="s">
        <v>963</v>
      </c>
      <c r="K104" s="381">
        <f>tlOutputLOB1Cln4WeekProdProj_R2</f>
        <v>33</v>
      </c>
    </row>
    <row r="105" spans="4:11">
      <c r="D105" t="s">
        <v>974</v>
      </c>
      <c r="E105" s="381">
        <f>tlOutputLOB1Cln5WeekProdProj_R1</f>
        <v>17.52577319587629</v>
      </c>
      <c r="J105" t="s">
        <v>985</v>
      </c>
      <c r="K105" s="381">
        <f>tlOutputLOB1Cln5WeekProdProj_R2</f>
        <v>17.52577319587629</v>
      </c>
    </row>
    <row r="106" spans="4:11">
      <c r="D106" t="s">
        <v>996</v>
      </c>
      <c r="E106" s="381">
        <f>tlOutputLOB1Cln6WeekProdProj_R1</f>
        <v>30</v>
      </c>
      <c r="J106" t="s">
        <v>1007</v>
      </c>
      <c r="K106" s="381">
        <f>tlOutputLOB1Cln6WeekProdProj_R2</f>
        <v>30</v>
      </c>
    </row>
    <row r="107" spans="4:11">
      <c r="D107" t="s">
        <v>1018</v>
      </c>
      <c r="E107" s="381">
        <f>tlOutputLOB1Cln7WeekProdProj_R1</f>
        <v>28</v>
      </c>
      <c r="J107" t="s">
        <v>1029</v>
      </c>
      <c r="K107" s="381">
        <f>tlOutputLOB1Cln7WeekProdProj_R2</f>
        <v>28</v>
      </c>
    </row>
    <row r="108" spans="4:11">
      <c r="D108" t="s">
        <v>1040</v>
      </c>
      <c r="E108" s="381">
        <f>tlOutputLOB1Cln8WeekProdProj_R1</f>
        <v>29</v>
      </c>
      <c r="J108" t="s">
        <v>1051</v>
      </c>
      <c r="K108" s="381">
        <f>tlOutputLOB1Cln8WeekProdProj_R2</f>
        <v>29</v>
      </c>
    </row>
    <row r="109" spans="4:11">
      <c r="D109" t="s">
        <v>1062</v>
      </c>
      <c r="E109" s="381">
        <f>tlOutputLOB1Cln9WeekProdProj_R1</f>
        <v>15.773195876288661</v>
      </c>
      <c r="J109" t="s">
        <v>1073</v>
      </c>
      <c r="K109" s="381">
        <f>tlOutputLOB1Cln9WeekProdProj_R2</f>
        <v>15.773195876288661</v>
      </c>
    </row>
    <row r="110" spans="4:11">
      <c r="D110" t="s">
        <v>1084</v>
      </c>
      <c r="E110" s="381">
        <f>tlOutputLOB1Cln10WeekProdProj_R1</f>
        <v>25.05263157894737</v>
      </c>
      <c r="J110" t="s">
        <v>1095</v>
      </c>
      <c r="K110" s="381">
        <f>tlOutputLOB1Cln10WeekProdProj_R2</f>
        <v>25.05263157894737</v>
      </c>
    </row>
    <row r="111" spans="4:11">
      <c r="D111" t="s">
        <v>2818</v>
      </c>
      <c r="E111" s="381">
        <f>tlOutputLOB1Cln11WeekProdProj_R1</f>
        <v>0</v>
      </c>
      <c r="J111" t="s">
        <v>2826</v>
      </c>
      <c r="K111" s="381">
        <f>tlOutputLOB1Cln11WeekProdProj_R2</f>
        <v>0</v>
      </c>
    </row>
    <row r="112" spans="4:11">
      <c r="D112" t="s">
        <v>2875</v>
      </c>
      <c r="E112" s="381">
        <f>tlOutputLOB1Cln12WeekProdProj_R1</f>
        <v>0</v>
      </c>
      <c r="J112" t="s">
        <v>2883</v>
      </c>
      <c r="K112" s="381">
        <f>tlOutputLOB1Cln12WeekProdProj_R2</f>
        <v>0</v>
      </c>
    </row>
    <row r="113" spans="4:11">
      <c r="D113" t="s">
        <v>4431</v>
      </c>
      <c r="E113" s="381">
        <f>tlOutputfinLOB2Seg1Rev_R1</f>
        <v>5141908.8000000007</v>
      </c>
      <c r="J113" t="s">
        <v>7891</v>
      </c>
      <c r="K113" s="381">
        <f>tlOutputfinLOB2Seg1Rev_R2</f>
        <v>5319216.0000000009</v>
      </c>
    </row>
    <row r="114" spans="4:11">
      <c r="D114" t="s">
        <v>4432</v>
      </c>
      <c r="E114" s="381">
        <f>tlOutputfinLOB2Seg2Rev_R1</f>
        <v>237319.2</v>
      </c>
      <c r="J114" t="s">
        <v>7892</v>
      </c>
      <c r="K114" s="381">
        <f>tlOutputfinLOB2Seg2Rev_R2</f>
        <v>263688</v>
      </c>
    </row>
    <row r="115" spans="4:11">
      <c r="D115" t="s">
        <v>4433</v>
      </c>
      <c r="E115" s="381">
        <f>tlOutputfinLOB2Seg3Rev_R1</f>
        <v>82650</v>
      </c>
      <c r="J115" t="s">
        <v>7893</v>
      </c>
      <c r="K115" s="381">
        <f>tlOutputfinLOB2Seg3Rev_R2</f>
        <v>99180</v>
      </c>
    </row>
    <row r="116" spans="4:11">
      <c r="D116" t="s">
        <v>2779</v>
      </c>
      <c r="E116" s="381">
        <f>tlOutputfinLOB2Rev_R1</f>
        <v>5461878.0000000009</v>
      </c>
      <c r="J116" t="s">
        <v>7894</v>
      </c>
      <c r="K116" s="381">
        <f>tlOutputfinLOB2Rev_R2</f>
        <v>5682084.0000000009</v>
      </c>
    </row>
    <row r="117" spans="4:11">
      <c r="D117" t="s">
        <v>2785</v>
      </c>
      <c r="E117" s="381">
        <f>tlOutputfinLOB2ServiceCost_R1</f>
        <v>2451690.8325733705</v>
      </c>
      <c r="J117" t="s">
        <v>7895</v>
      </c>
      <c r="K117" s="381">
        <f>tlOutputfinLOB2ServiceCost_R2</f>
        <v>2360782.0076500308</v>
      </c>
    </row>
    <row r="118" spans="4:11">
      <c r="D118" t="s">
        <v>4710</v>
      </c>
      <c r="E118" s="381">
        <f>tlOutputfinLOB2GrossMargin_R1</f>
        <v>0.55112676764779989</v>
      </c>
      <c r="J118" t="s">
        <v>7896</v>
      </c>
      <c r="K118" s="381">
        <f>tlOutputfinLOB2GrossMargin_R2</f>
        <v>0.58452180438549828</v>
      </c>
    </row>
    <row r="119" spans="4:11">
      <c r="D119" t="s">
        <v>2786</v>
      </c>
      <c r="E119" s="381">
        <f>tlOutputfinLOB2EmpOverhead_R1</f>
        <v>2107875</v>
      </c>
      <c r="J119" t="s">
        <v>7897</v>
      </c>
      <c r="K119" s="381">
        <f>tlOutputfinLOB2EmpOverhead_R2</f>
        <v>2634843.75</v>
      </c>
    </row>
    <row r="120" spans="4:11">
      <c r="D120" t="s">
        <v>2780</v>
      </c>
      <c r="E120" s="381">
        <f>tlOutputfinLOB2TotalExp_R1</f>
        <v>4559565.832573371</v>
      </c>
      <c r="J120" t="s">
        <v>7898</v>
      </c>
      <c r="K120" s="381">
        <f>tlOutputfinLOB2TotalExp_R2</f>
        <v>4995625.7576500308</v>
      </c>
    </row>
    <row r="121" spans="4:11">
      <c r="D121" t="s">
        <v>2787</v>
      </c>
      <c r="E121" s="381">
        <f>tlOutputfinLOB2OpProfit_R1</f>
        <v>902312.16742663039</v>
      </c>
      <c r="J121" t="s">
        <v>7899</v>
      </c>
      <c r="K121" s="381">
        <f>tlOutputfinLOB2OpProfit_R2</f>
        <v>686458.24234997015</v>
      </c>
    </row>
    <row r="122" spans="4:11">
      <c r="D122" t="s">
        <v>2781</v>
      </c>
      <c r="E122" s="381">
        <f>tlOutputfinLOB2OpMargin_R1</f>
        <v>0.16520181655954788</v>
      </c>
      <c r="J122" t="s">
        <v>7900</v>
      </c>
      <c r="K122" s="381">
        <f>tlOutputfinLOB2OpMargin_R2</f>
        <v>0.12081099863183474</v>
      </c>
    </row>
    <row r="123" spans="4:11">
      <c r="D123" t="s">
        <v>1100</v>
      </c>
      <c r="E123" s="381">
        <f>tlInputLOB2SpecProg1_R1</f>
        <v>0</v>
      </c>
      <c r="J123" t="s">
        <v>1101</v>
      </c>
      <c r="K123" s="381">
        <f>tlInputLOB2SpecProg1_R2</f>
        <v>0</v>
      </c>
    </row>
    <row r="124" spans="4:11">
      <c r="D124" t="s">
        <v>1102</v>
      </c>
      <c r="E124" s="381">
        <f>tlInputLOB2SpecProg2_R1</f>
        <v>0</v>
      </c>
      <c r="J124" t="s">
        <v>1103</v>
      </c>
      <c r="K124" s="381">
        <f>tlInputLOB2SpecProg2_R2</f>
        <v>0</v>
      </c>
    </row>
    <row r="125" spans="4:11">
      <c r="D125" t="s">
        <v>1104</v>
      </c>
      <c r="E125" s="381">
        <f>tlInputLOB2SpecProg3_R1</f>
        <v>0</v>
      </c>
      <c r="J125" t="s">
        <v>1105</v>
      </c>
      <c r="K125" s="381">
        <f>tlInputLOB2SpecProg3_R2</f>
        <v>0</v>
      </c>
    </row>
    <row r="126" spans="4:11">
      <c r="D126" t="s">
        <v>1106</v>
      </c>
      <c r="E126" s="381">
        <f>tlInputLOB2SpecProg4_R1</f>
        <v>0</v>
      </c>
      <c r="J126" t="s">
        <v>1107</v>
      </c>
      <c r="K126" s="381">
        <f>tlInputLOB2SpecProg4_R2</f>
        <v>0</v>
      </c>
    </row>
    <row r="127" spans="4:11">
      <c r="D127" t="s">
        <v>1115</v>
      </c>
      <c r="E127" s="381">
        <f>tlInputLOB2DOOAdjTime2_R1</f>
        <v>0</v>
      </c>
      <c r="J127" t="s">
        <v>1118</v>
      </c>
      <c r="K127" s="381">
        <f>tlInputLOB2DOOAdjTime2_R2</f>
        <v>0</v>
      </c>
    </row>
    <row r="128" spans="4:11">
      <c r="D128" t="s">
        <v>1121</v>
      </c>
      <c r="E128" s="381">
        <f>tlInputLOB2DOOAdjTime3_R1</f>
        <v>0</v>
      </c>
      <c r="J128" t="s">
        <v>1124</v>
      </c>
      <c r="K128" s="381">
        <f>tlInputLOB2DOOAdjTime3_R2</f>
        <v>0</v>
      </c>
    </row>
    <row r="129" spans="4:11">
      <c r="D129" t="s">
        <v>1127</v>
      </c>
      <c r="E129" s="381">
        <f>tlInputLOB2DOOAdjTime4_R1</f>
        <v>0</v>
      </c>
      <c r="J129" t="s">
        <v>1130</v>
      </c>
      <c r="K129" s="381">
        <f>tlInputLOB2DOOAdjTime4_R2</f>
        <v>0</v>
      </c>
    </row>
    <row r="130" spans="4:11">
      <c r="D130" t="s">
        <v>1133</v>
      </c>
      <c r="E130" s="381">
        <f>tlInputLOB2DOOAdjTime5_R1</f>
        <v>0</v>
      </c>
      <c r="J130" t="s">
        <v>1136</v>
      </c>
      <c r="K130" s="381">
        <f>tlInputLOB2DOOAdjTime5_R2</f>
        <v>0</v>
      </c>
    </row>
    <row r="131" spans="4:11">
      <c r="D131" t="s">
        <v>1139</v>
      </c>
      <c r="E131" s="381">
        <f>tlInputLOB2DOOAdjTime6_R1</f>
        <v>0</v>
      </c>
      <c r="J131" t="s">
        <v>1142</v>
      </c>
      <c r="K131" s="381">
        <f>tlInputLOB2DOOAdjTime6_R2</f>
        <v>0</v>
      </c>
    </row>
    <row r="132" spans="4:11">
      <c r="D132" t="s">
        <v>1110</v>
      </c>
      <c r="E132" s="381">
        <f>tlOutputLOB2DOOPlanTime1_R1</f>
        <v>0.8</v>
      </c>
      <c r="J132" t="s">
        <v>1113</v>
      </c>
      <c r="K132" s="381">
        <f>tlOutputLOB2DOOPlanTime1_R2</f>
        <v>0.748</v>
      </c>
    </row>
    <row r="133" spans="4:11">
      <c r="D133" t="s">
        <v>1116</v>
      </c>
      <c r="E133" s="381">
        <f>tlOutputLOB2DOOPlanTime2_R1</f>
        <v>0</v>
      </c>
      <c r="J133" t="s">
        <v>1119</v>
      </c>
      <c r="K133" s="381">
        <f>tlOutputLOB2DOOPlanTime2_R2</f>
        <v>0</v>
      </c>
    </row>
    <row r="134" spans="4:11">
      <c r="D134" t="s">
        <v>1122</v>
      </c>
      <c r="E134" s="381">
        <f>tlOutputLOB2DOOPlanTime3_R1</f>
        <v>0</v>
      </c>
      <c r="J134" t="s">
        <v>1125</v>
      </c>
      <c r="K134" s="381">
        <f>tlOutputLOB2DOOPlanTime3_R2</f>
        <v>0</v>
      </c>
    </row>
    <row r="135" spans="4:11">
      <c r="D135" t="s">
        <v>1128</v>
      </c>
      <c r="E135" s="381">
        <f>tlOutputLOB2DOOPlanTime4_R1</f>
        <v>0</v>
      </c>
      <c r="J135" t="s">
        <v>1131</v>
      </c>
      <c r="K135" s="381">
        <f>tlOutputLOB2DOOPlanTime4_R2</f>
        <v>0</v>
      </c>
    </row>
    <row r="136" spans="4:11">
      <c r="D136" t="s">
        <v>1134</v>
      </c>
      <c r="E136" s="381">
        <f>tlOutputLOB2DOOPlanTime5_R1</f>
        <v>0</v>
      </c>
      <c r="J136" t="s">
        <v>1137</v>
      </c>
      <c r="K136" s="381">
        <f>tlOutputLOB2DOOPlanTime5_R2</f>
        <v>0</v>
      </c>
    </row>
    <row r="137" spans="4:11">
      <c r="D137" t="s">
        <v>1140</v>
      </c>
      <c r="E137" s="381">
        <f>tlOutputLOB2DOOPlanTime6_R1</f>
        <v>0</v>
      </c>
      <c r="J137" t="s">
        <v>1143</v>
      </c>
      <c r="K137" s="381">
        <f>tlOutputLOB2DOOPlanTime6_R2</f>
        <v>0</v>
      </c>
    </row>
    <row r="138" spans="4:11">
      <c r="D138" t="s">
        <v>1145</v>
      </c>
      <c r="E138" s="381">
        <f>tlOutputLOB2DOOTotalPlanTime_R1</f>
        <v>0.8</v>
      </c>
      <c r="J138" t="s">
        <v>1147</v>
      </c>
      <c r="K138" s="381">
        <f>tlOutputLOB2DOOTotalPlanTime_R2</f>
        <v>0.748</v>
      </c>
    </row>
    <row r="139" spans="4:11">
      <c r="D139" t="s">
        <v>1168</v>
      </c>
      <c r="E139" s="381">
        <f>tlInputLOB2Prod1Seg1Adj_R1</f>
        <v>134</v>
      </c>
      <c r="J139" t="s">
        <v>1174</v>
      </c>
      <c r="K139" s="381">
        <f>tlInputLOB2Prod1Seg1Adj_R2</f>
        <v>138</v>
      </c>
    </row>
    <row r="140" spans="4:11">
      <c r="D140" t="s">
        <v>1180</v>
      </c>
      <c r="E140" s="381">
        <f>tlInputLOB2Prod1Seg2Adj_R1</f>
        <v>7</v>
      </c>
      <c r="J140" t="s">
        <v>1186</v>
      </c>
      <c r="K140" s="381">
        <f>tlInputLOB2Prod1Seg2Adj_R2</f>
        <v>8</v>
      </c>
    </row>
    <row r="141" spans="4:11">
      <c r="D141" t="s">
        <v>1192</v>
      </c>
      <c r="E141" s="381">
        <f>tlInputLOB2Prod1Seg3Adj_R1</f>
        <v>4</v>
      </c>
      <c r="J141" t="s">
        <v>1198</v>
      </c>
      <c r="K141" s="381">
        <f>tlInputLOB2Prod1Seg3Adj_R2</f>
        <v>5</v>
      </c>
    </row>
    <row r="142" spans="4:11">
      <c r="D142" t="s">
        <v>1204</v>
      </c>
      <c r="E142" s="381">
        <f>tlInputLOB2Prod2Seg1Adj_R1</f>
        <v>40</v>
      </c>
      <c r="J142" t="s">
        <v>1210</v>
      </c>
      <c r="K142" s="381">
        <f>tlInputLOB2Prod2Seg1Adj_R2</f>
        <v>42</v>
      </c>
    </row>
    <row r="143" spans="4:11">
      <c r="D143" t="s">
        <v>1216</v>
      </c>
      <c r="E143" s="381">
        <f>tlInputLOB2Prod2Seg2Adj_R1</f>
        <v>2</v>
      </c>
      <c r="J143" t="s">
        <v>1222</v>
      </c>
      <c r="K143" s="381">
        <f>tlInputLOB2Prod2Seg2Adj_R2</f>
        <v>2</v>
      </c>
    </row>
    <row r="144" spans="4:11">
      <c r="D144" t="s">
        <v>1228</v>
      </c>
      <c r="E144" s="381">
        <f>tlInputLOB2Prod2Seg3Adj_R1</f>
        <v>1</v>
      </c>
      <c r="J144" t="s">
        <v>1234</v>
      </c>
      <c r="K144" s="381">
        <f>tlInputLOB2Prod2Seg3Adj_R2</f>
        <v>1</v>
      </c>
    </row>
    <row r="145" spans="4:11">
      <c r="D145" t="s">
        <v>5036</v>
      </c>
      <c r="E145" s="381">
        <f>tlOutputLOB2Prod1Seg1Budget_R1</f>
        <v>146</v>
      </c>
      <c r="J145" t="s">
        <v>5043</v>
      </c>
      <c r="K145" s="381">
        <f>tlOutputLOB2Prod1Seg1Budget_R2</f>
        <v>151</v>
      </c>
    </row>
    <row r="146" spans="4:11">
      <c r="D146" t="s">
        <v>5037</v>
      </c>
      <c r="E146" s="381">
        <f>tlOutputLOB2Prod1Seg2Budget_R1</f>
        <v>8</v>
      </c>
      <c r="J146" t="s">
        <v>5044</v>
      </c>
      <c r="K146" s="381">
        <f>tlOutputLOB2Prod1Seg2Budget_R2</f>
        <v>8</v>
      </c>
    </row>
    <row r="147" spans="4:11">
      <c r="D147" t="s">
        <v>5038</v>
      </c>
      <c r="E147" s="381">
        <f>tlOutputLOB2Prod1Seg3Budget_R1</f>
        <v>5</v>
      </c>
      <c r="J147" t="s">
        <v>5045</v>
      </c>
      <c r="K147" s="381">
        <f>tlOutputLOB2Prod1Seg3Budget_R2</f>
        <v>5</v>
      </c>
    </row>
    <row r="148" spans="4:11">
      <c r="D148" t="s">
        <v>5039</v>
      </c>
      <c r="E148" s="381">
        <f>tlOutputLOB2Prod2Seg1Budget_R1</f>
        <v>44</v>
      </c>
      <c r="J148" t="s">
        <v>5046</v>
      </c>
      <c r="K148" s="381">
        <f>tlOutputLOB2Prod2Seg1Budget_R2</f>
        <v>45</v>
      </c>
    </row>
    <row r="149" spans="4:11">
      <c r="D149" t="s">
        <v>5040</v>
      </c>
      <c r="E149" s="381">
        <f>tlOutputLOB2Prod2Seg2Budget_R1</f>
        <v>2</v>
      </c>
      <c r="J149" t="s">
        <v>5047</v>
      </c>
      <c r="K149" s="381">
        <f>tlOutputLOB2Prod2Seg2Budget_R2</f>
        <v>2</v>
      </c>
    </row>
    <row r="150" spans="4:11">
      <c r="D150" t="s">
        <v>5041</v>
      </c>
      <c r="E150" s="381">
        <f>tlOutputLOB2Prod2Seg3Budget_R1</f>
        <v>1</v>
      </c>
      <c r="J150" t="s">
        <v>5048</v>
      </c>
      <c r="K150" s="381">
        <f>tlOutputLOB2Prod2Seg3Budget_R2</f>
        <v>2</v>
      </c>
    </row>
    <row r="151" spans="4:11">
      <c r="D151" s="795" t="s">
        <v>7856</v>
      </c>
      <c r="E151" s="381">
        <f>tlOutputmmLOB2Driver1Explain</f>
        <v>0</v>
      </c>
      <c r="J151" s="795" t="s">
        <v>8481</v>
      </c>
      <c r="K151" s="381">
        <f>tlOutputmmR2LOB2Driver1Explain</f>
        <v>-1.2447948647471778E-2</v>
      </c>
    </row>
    <row r="152" spans="4:11">
      <c r="D152" s="795" t="s">
        <v>7857</v>
      </c>
      <c r="E152" s="381">
        <f>tlOutputmmLOB2Driver2Explain</f>
        <v>-2.2373292182958311E-2</v>
      </c>
      <c r="J152" s="795" t="s">
        <v>8482</v>
      </c>
      <c r="K152" s="381">
        <f>tlOutputmmR2LOB2Driver2Explain</f>
        <v>-2.2374746557175078E-2</v>
      </c>
    </row>
    <row r="153" spans="4:11">
      <c r="D153" s="795" t="s">
        <v>7858</v>
      </c>
      <c r="E153" s="381">
        <f>tlOutputmmLOB2Driver3Explain</f>
        <v>-1.4937497344323215E-2</v>
      </c>
      <c r="J153" s="795" t="s">
        <v>8483</v>
      </c>
      <c r="K153" s="381">
        <f>tlOutputmmR2LOB2Driver3Explain</f>
        <v>-1.4559411532418983E-2</v>
      </c>
    </row>
    <row r="154" spans="4:11">
      <c r="D154" t="s">
        <v>7859</v>
      </c>
      <c r="E154" s="381">
        <f>tlOutputmmLOB2MarketShare</f>
        <v>0.29602254380605181</v>
      </c>
      <c r="J154" t="s">
        <v>8484</v>
      </c>
      <c r="K154" s="381">
        <f>tlOutputmmR2LOB2MarketShare</f>
        <v>0.28394595304068132</v>
      </c>
    </row>
    <row r="155" spans="4:11">
      <c r="D155" t="s">
        <v>4767</v>
      </c>
      <c r="E155" s="381">
        <f>tlOutputLOB2Emp1Utilization_R1</f>
        <v>-5.0864981930618391E-3</v>
      </c>
      <c r="J155" t="s">
        <v>4768</v>
      </c>
      <c r="K155" s="381">
        <f>tlOutputLOB2Emp1Utilization_R2</f>
        <v>-8.7284885591700112E-2</v>
      </c>
    </row>
    <row r="156" spans="4:11">
      <c r="D156" t="s">
        <v>4769</v>
      </c>
      <c r="E156" s="381">
        <f>tlOutputLOB2Emp2Utilization_R1</f>
        <v>-8.3959264550022006E-3</v>
      </c>
      <c r="J156" t="s">
        <v>4770</v>
      </c>
      <c r="K156" s="381">
        <f>tlOutputLOB2Emp2Utilization_R2</f>
        <v>-8.6342209876472564E-2</v>
      </c>
    </row>
    <row r="157" spans="4:11">
      <c r="D157" t="s">
        <v>4771</v>
      </c>
      <c r="E157" s="381">
        <f>tlOutputLOB2Emp3Utilization_R1</f>
        <v>-5.2042529378847346E-2</v>
      </c>
      <c r="J157" t="s">
        <v>4772</v>
      </c>
      <c r="K157" s="381">
        <f>tlOutputLOB2Emp3Utilization_R2</f>
        <v>-0.13477398476610802</v>
      </c>
    </row>
    <row r="158" spans="4:11">
      <c r="D158" t="s">
        <v>2835</v>
      </c>
      <c r="E158" s="381" t="str">
        <f>tlInputLOB2Cln11Dis_R1</f>
        <v>Open</v>
      </c>
      <c r="J158" t="s">
        <v>2845</v>
      </c>
      <c r="K158" s="381" t="str">
        <f>tlInputLOB2Cln11Dis_R2</f>
        <v>Open</v>
      </c>
    </row>
    <row r="159" spans="4:11">
      <c r="D159" t="s">
        <v>2888</v>
      </c>
      <c r="E159" s="381" t="str">
        <f>tlInputLOB2Cln12Dis_R1</f>
        <v>Open</v>
      </c>
      <c r="J159" t="s">
        <v>2898</v>
      </c>
      <c r="K159" s="381" t="str">
        <f>tlInputLOB2Cln12Dis_R2</f>
        <v>Open</v>
      </c>
    </row>
    <row r="160" spans="4:11">
      <c r="D160" t="s">
        <v>2836</v>
      </c>
      <c r="E160" s="381" t="str">
        <f>tlInputLOB2Cln11Status_R1</f>
        <v>Open</v>
      </c>
      <c r="J160" t="s">
        <v>2846</v>
      </c>
      <c r="K160" s="381" t="str">
        <f>tlInputLOB2Cln11Status_R2</f>
        <v>Open</v>
      </c>
    </row>
    <row r="161" spans="4:11">
      <c r="D161" t="s">
        <v>2889</v>
      </c>
      <c r="E161" s="381" t="str">
        <f>tlInputLOB2Cln12Status_R1</f>
        <v>Open</v>
      </c>
      <c r="J161" t="s">
        <v>2899</v>
      </c>
      <c r="K161" s="381" t="str">
        <f>tlInputLOB2Cln12Status_R2</f>
        <v>Open</v>
      </c>
    </row>
    <row r="162" spans="4:11">
      <c r="D162" t="s">
        <v>1236</v>
      </c>
      <c r="E162" s="381">
        <f>tlInputLOB2Cln1Mtng_R1</f>
        <v>0</v>
      </c>
      <c r="J162" t="s">
        <v>1247</v>
      </c>
      <c r="K162" s="381">
        <f>tlInputLOB2Cln1Mtng_R2</f>
        <v>0</v>
      </c>
    </row>
    <row r="163" spans="4:11">
      <c r="D163" t="s">
        <v>1249</v>
      </c>
      <c r="E163" s="381">
        <f>tlInputLOB2Cln2Mtng_R1</f>
        <v>0</v>
      </c>
      <c r="J163" t="s">
        <v>1260</v>
      </c>
      <c r="K163" s="381">
        <f>tlInputLOB2Cln2Mtng_R2</f>
        <v>0</v>
      </c>
    </row>
    <row r="164" spans="4:11">
      <c r="D164" t="s">
        <v>1262</v>
      </c>
      <c r="E164" s="381">
        <f>tlInputLOB2Cln3Mtng_R1</f>
        <v>0</v>
      </c>
      <c r="J164" t="s">
        <v>1273</v>
      </c>
      <c r="K164" s="381">
        <f>tlInputLOB2Cln3Mtng_R2</f>
        <v>0</v>
      </c>
    </row>
    <row r="165" spans="4:11">
      <c r="D165" t="s">
        <v>1275</v>
      </c>
      <c r="E165" s="381">
        <f>tlInputLOB2Cln4Mtng_R1</f>
        <v>0</v>
      </c>
      <c r="J165" t="s">
        <v>1286</v>
      </c>
      <c r="K165" s="381">
        <f>tlInputLOB2Cln4Mtng_R2</f>
        <v>0</v>
      </c>
    </row>
    <row r="166" spans="4:11">
      <c r="D166" t="s">
        <v>1288</v>
      </c>
      <c r="E166" s="381">
        <f>tlInputLOB2Cln5Mtng_R1</f>
        <v>0</v>
      </c>
      <c r="J166" t="s">
        <v>1299</v>
      </c>
      <c r="K166" s="381">
        <f>tlInputLOB2Cln5Mtng_R2</f>
        <v>0</v>
      </c>
    </row>
    <row r="167" spans="4:11">
      <c r="D167" t="s">
        <v>1301</v>
      </c>
      <c r="E167" s="381">
        <f>tlInputLOB2Cln6Mtng_R1</f>
        <v>0</v>
      </c>
      <c r="J167" t="s">
        <v>1312</v>
      </c>
      <c r="K167" s="381">
        <f>tlInputLOB2Cln6Mtng_R2</f>
        <v>0</v>
      </c>
    </row>
    <row r="168" spans="4:11">
      <c r="D168" t="s">
        <v>1314</v>
      </c>
      <c r="E168" s="381">
        <f>tlInputLOB2Cln7Mtng_R1</f>
        <v>0</v>
      </c>
      <c r="J168" t="s">
        <v>1325</v>
      </c>
      <c r="K168" s="381">
        <f>tlInputLOB2Cln7Mtng_R2</f>
        <v>0</v>
      </c>
    </row>
    <row r="169" spans="4:11">
      <c r="D169" t="s">
        <v>1327</v>
      </c>
      <c r="E169" s="381">
        <f>tlInputLOB2Cln8Mtng_R1</f>
        <v>0</v>
      </c>
      <c r="J169" t="s">
        <v>1338</v>
      </c>
      <c r="K169" s="381">
        <f>tlInputLOB2Cln8Mtng_R2</f>
        <v>0</v>
      </c>
    </row>
    <row r="170" spans="4:11">
      <c r="D170" t="s">
        <v>1340</v>
      </c>
      <c r="E170" s="381">
        <f>tlInputLOB2Cln9Mtng_R1</f>
        <v>0</v>
      </c>
      <c r="J170" t="s">
        <v>1351</v>
      </c>
      <c r="K170" s="381">
        <f>tlInputLOB2Cln9Mtng_R2</f>
        <v>0</v>
      </c>
    </row>
    <row r="171" spans="4:11">
      <c r="D171" t="s">
        <v>1353</v>
      </c>
      <c r="E171" s="381">
        <f>tlInputLOB2Cln10Mtng_R1</f>
        <v>0</v>
      </c>
      <c r="J171" t="s">
        <v>1364</v>
      </c>
      <c r="K171" s="381">
        <f>tlInputLOB2Cln10Mtng_R2</f>
        <v>0</v>
      </c>
    </row>
    <row r="172" spans="4:11">
      <c r="D172" t="s">
        <v>3402</v>
      </c>
      <c r="E172" s="381">
        <f>tlInputLOB2Cln11Mtng_R1</f>
        <v>0</v>
      </c>
      <c r="J172" t="s">
        <v>3406</v>
      </c>
      <c r="K172" s="381">
        <f>tlInputLOB2Cln11Mtng_R2</f>
        <v>0</v>
      </c>
    </row>
    <row r="173" spans="4:11">
      <c r="D173" t="s">
        <v>3403</v>
      </c>
      <c r="E173" s="381">
        <f>tlInputLOB2Cln12Mtng_R1</f>
        <v>0</v>
      </c>
      <c r="J173" t="s">
        <v>3408</v>
      </c>
      <c r="K173" s="381">
        <f>tlInputLOB2Cln12Mtng_R2</f>
        <v>0</v>
      </c>
    </row>
    <row r="174" spans="4:11">
      <c r="D174" t="s">
        <v>3124</v>
      </c>
      <c r="E174" s="381" t="str">
        <f>tlInputLOB2Cln1Text_R1</f>
        <v>Enter feedback here</v>
      </c>
      <c r="J174" t="s">
        <v>3134</v>
      </c>
      <c r="K174" s="381" t="str">
        <f>tlInputLOB2Cln1Text_R2</f>
        <v>Enter feedback here</v>
      </c>
    </row>
    <row r="175" spans="4:11">
      <c r="D175" t="s">
        <v>3125</v>
      </c>
      <c r="E175" s="381" t="str">
        <f>tlInputLOB2Cln2Text_R1</f>
        <v>Enter feedback here</v>
      </c>
      <c r="J175" t="s">
        <v>3135</v>
      </c>
      <c r="K175" s="381" t="str">
        <f>tlInputLOB2Cln2Text_R2</f>
        <v>Enter feedback here</v>
      </c>
    </row>
    <row r="176" spans="4:11">
      <c r="D176" t="s">
        <v>3126</v>
      </c>
      <c r="E176" s="381" t="str">
        <f>tlInputLOB2Cln3Text_R1</f>
        <v>Enter feedback here</v>
      </c>
      <c r="J176" t="s">
        <v>3136</v>
      </c>
      <c r="K176" s="381" t="str">
        <f>tlInputLOB2Cln3Text_R2</f>
        <v>Enter feedback here</v>
      </c>
    </row>
    <row r="177" spans="4:11">
      <c r="D177" t="s">
        <v>3127</v>
      </c>
      <c r="E177" s="381" t="str">
        <f>tlInputLOB2Cln4Text_R1</f>
        <v>Enter feedback here</v>
      </c>
      <c r="J177" t="s">
        <v>3137</v>
      </c>
      <c r="K177" s="381" t="str">
        <f>tlInputLOB2Cln4Text_R2</f>
        <v>Enter feedback here</v>
      </c>
    </row>
    <row r="178" spans="4:11">
      <c r="D178" t="s">
        <v>3128</v>
      </c>
      <c r="E178" s="381" t="str">
        <f>tlInputLOB2Cln5Text_R1</f>
        <v>Enter feedback here</v>
      </c>
      <c r="J178" t="s">
        <v>3138</v>
      </c>
      <c r="K178" s="381" t="str">
        <f>tlInputLOB2Cln5Text_R2</f>
        <v>Enter feedback here</v>
      </c>
    </row>
    <row r="179" spans="4:11">
      <c r="D179" t="s">
        <v>3129</v>
      </c>
      <c r="E179" s="381" t="str">
        <f>tlInputLOB2Cln6Text_R1</f>
        <v>Enter feedback here</v>
      </c>
      <c r="J179" t="s">
        <v>3139</v>
      </c>
      <c r="K179" s="381" t="str">
        <f>tlInputLOB2Cln6Text_R2</f>
        <v>Enter feedback here</v>
      </c>
    </row>
    <row r="180" spans="4:11">
      <c r="D180" t="s">
        <v>3130</v>
      </c>
      <c r="E180" s="381" t="str">
        <f>tlInputLOB2Cln7Text_R1</f>
        <v>Enter feedback here</v>
      </c>
      <c r="J180" t="s">
        <v>3140</v>
      </c>
      <c r="K180" s="381" t="str">
        <f>tlInputLOB2Cln7Text_R2</f>
        <v>Enter feedback here</v>
      </c>
    </row>
    <row r="181" spans="4:11">
      <c r="D181" t="s">
        <v>3131</v>
      </c>
      <c r="E181" s="381" t="str">
        <f>tlInputLOB2Cln8Text_R1</f>
        <v>Enter feedback here</v>
      </c>
      <c r="J181" t="s">
        <v>3141</v>
      </c>
      <c r="K181" s="381" t="str">
        <f>tlInputLOB2Cln8Text_R2</f>
        <v>Enter feedback here</v>
      </c>
    </row>
    <row r="182" spans="4:11">
      <c r="D182" t="s">
        <v>3132</v>
      </c>
      <c r="E182" s="381" t="str">
        <f>tlInputLOB2Cln9Text_R1</f>
        <v>Enter feedback here</v>
      </c>
      <c r="J182" t="s">
        <v>3142</v>
      </c>
      <c r="K182" s="381" t="str">
        <f>tlInputLOB2Cln9Text_R2</f>
        <v>Enter feedback here</v>
      </c>
    </row>
    <row r="183" spans="4:11">
      <c r="D183" t="s">
        <v>3133</v>
      </c>
      <c r="E183" s="381" t="str">
        <f>tlInputLOB2Cln10Text_R1</f>
        <v>Enter feedback here</v>
      </c>
      <c r="J183" t="s">
        <v>3143</v>
      </c>
      <c r="K183" s="381" t="str">
        <f>tlInputLOB2Cln10Text_R2</f>
        <v>Enter feedback here</v>
      </c>
    </row>
    <row r="184" spans="4:11">
      <c r="D184" t="s">
        <v>3404</v>
      </c>
      <c r="E184" s="381" t="str">
        <f>tlInputLOB2Cln11Text_R1</f>
        <v>Enter feedback here</v>
      </c>
      <c r="J184" t="s">
        <v>3407</v>
      </c>
      <c r="K184" s="381" t="str">
        <f>tlInputLOB2Cln11Text_R2</f>
        <v>Enter feedback here</v>
      </c>
    </row>
    <row r="185" spans="4:11">
      <c r="D185" t="s">
        <v>3405</v>
      </c>
      <c r="E185" s="381" t="str">
        <f>tlInputLOB2Cln12Text_R1</f>
        <v>Enter feedback here</v>
      </c>
      <c r="J185" t="s">
        <v>3409</v>
      </c>
      <c r="K185" s="381" t="str">
        <f>tlInputLOB2Cln12Text_R2</f>
        <v>Enter feedback here</v>
      </c>
    </row>
    <row r="186" spans="4:11">
      <c r="D186" t="s">
        <v>3410</v>
      </c>
      <c r="E186" s="381">
        <f>tlInputLOB2Cln1WeekProdMod_R1</f>
        <v>0</v>
      </c>
      <c r="J186" t="s">
        <v>3429</v>
      </c>
      <c r="K186" s="381">
        <f>tlInputLOB2Cln1WeekProdMod_R2</f>
        <v>0</v>
      </c>
    </row>
    <row r="187" spans="4:11">
      <c r="D187" t="s">
        <v>3411</v>
      </c>
      <c r="E187" s="381">
        <f>tlInputLOB2Cln2WeekProdMod_R1</f>
        <v>0</v>
      </c>
      <c r="J187" t="s">
        <v>3439</v>
      </c>
      <c r="K187" s="381">
        <f>tlInputLOB2Cln2WeekProdMod_R2</f>
        <v>0</v>
      </c>
    </row>
    <row r="188" spans="4:11">
      <c r="D188" t="s">
        <v>3412</v>
      </c>
      <c r="E188" s="381">
        <f>tlInputLOB2Cln3WeekProdMod_R1</f>
        <v>0</v>
      </c>
      <c r="J188" t="s">
        <v>3449</v>
      </c>
      <c r="K188" s="381">
        <f>tlInputLOB2Cln3WeekProdMod_R2</f>
        <v>0</v>
      </c>
    </row>
    <row r="189" spans="4:11">
      <c r="D189" t="s">
        <v>3413</v>
      </c>
      <c r="E189" s="381">
        <f>tlInputLOB2Cln4WeekProdMod_R1</f>
        <v>0</v>
      </c>
      <c r="J189" t="s">
        <v>3459</v>
      </c>
      <c r="K189" s="381">
        <f>tlInputLOB2Cln4WeekProdMod_R2</f>
        <v>0</v>
      </c>
    </row>
    <row r="190" spans="4:11">
      <c r="D190" t="s">
        <v>3414</v>
      </c>
      <c r="E190" s="381">
        <f>tlInputLOB2Cln5WeekProdMod_R1</f>
        <v>0</v>
      </c>
      <c r="J190" t="s">
        <v>3469</v>
      </c>
      <c r="K190" s="381">
        <f>tlInputLOB2Cln5WeekProdMod_R2</f>
        <v>0</v>
      </c>
    </row>
    <row r="191" spans="4:11">
      <c r="D191" t="s">
        <v>3415</v>
      </c>
      <c r="E191" s="381">
        <f>tlInputLOB2Cln6WeekProdMod_R1</f>
        <v>0</v>
      </c>
      <c r="J191" t="s">
        <v>3479</v>
      </c>
      <c r="K191" s="381">
        <f>tlInputLOB2Cln6WeekProdMod_R2</f>
        <v>0</v>
      </c>
    </row>
    <row r="192" spans="4:11">
      <c r="D192" t="s">
        <v>3416</v>
      </c>
      <c r="E192" s="381">
        <f>tlInputLOB2Cln7WeekProdMod_R1</f>
        <v>0</v>
      </c>
      <c r="J192" t="s">
        <v>3489</v>
      </c>
      <c r="K192" s="381">
        <f>tlInputLOB2Cln7WeekProdMod_R2</f>
        <v>0</v>
      </c>
    </row>
    <row r="193" spans="4:11">
      <c r="D193" t="s">
        <v>3417</v>
      </c>
      <c r="E193" s="381">
        <f>tlInputLOB2Cln8WeekProdMod_R1</f>
        <v>0</v>
      </c>
      <c r="J193" t="s">
        <v>3499</v>
      </c>
      <c r="K193" s="381">
        <f>tlInputLOB2Cln8WeekProdMod_R2</f>
        <v>0</v>
      </c>
    </row>
    <row r="194" spans="4:11">
      <c r="D194" t="s">
        <v>3418</v>
      </c>
      <c r="E194" s="381">
        <f>tlInputLOB2Cln9WeekProdMod_R1</f>
        <v>0</v>
      </c>
      <c r="J194" t="s">
        <v>3509</v>
      </c>
      <c r="K194" s="381">
        <f>tlInputLOB2Cln9WeekProdMod_R2</f>
        <v>0</v>
      </c>
    </row>
    <row r="195" spans="4:11">
      <c r="D195" t="s">
        <v>3419</v>
      </c>
      <c r="E195" s="381">
        <f>tlInputLOB2Cln10WeekProdMod_R1</f>
        <v>0</v>
      </c>
      <c r="J195" t="s">
        <v>3519</v>
      </c>
      <c r="K195" s="381">
        <f>tlInputLOB2Cln10WeekProdMod_R2</f>
        <v>0</v>
      </c>
    </row>
    <row r="196" spans="4:11">
      <c r="D196" t="s">
        <v>3420</v>
      </c>
      <c r="E196" s="381">
        <f>tlInputLOB2Cln11WeekProdMod_R1</f>
        <v>0</v>
      </c>
      <c r="J196" t="s">
        <v>3422</v>
      </c>
      <c r="K196" s="381">
        <f>tlInputLOB2Cln11WeekProdMod_R2</f>
        <v>0</v>
      </c>
    </row>
    <row r="197" spans="4:11">
      <c r="D197" t="s">
        <v>3421</v>
      </c>
      <c r="E197" s="381">
        <f>tlInputLOB2Cln12WeekProdMod_R1</f>
        <v>0</v>
      </c>
      <c r="J197" t="s">
        <v>3423</v>
      </c>
      <c r="K197" s="381">
        <f>tlInputLOB2Cln12WeekProdMod_R2</f>
        <v>0</v>
      </c>
    </row>
    <row r="198" spans="4:11">
      <c r="D198" t="s">
        <v>1242</v>
      </c>
      <c r="E198" s="381">
        <f>tlOutputLOB2Cln1WeekProdProj_R1</f>
        <v>27</v>
      </c>
      <c r="J198" t="s">
        <v>3430</v>
      </c>
      <c r="K198" s="381">
        <f>tlOutputLOB2Cln1WeekProdProj_R2</f>
        <v>27</v>
      </c>
    </row>
    <row r="199" spans="4:11">
      <c r="D199" t="s">
        <v>1255</v>
      </c>
      <c r="E199" s="381">
        <f>tlOutputLOB2Cln2WeekProdProj_R1</f>
        <v>28</v>
      </c>
      <c r="J199" t="s">
        <v>3440</v>
      </c>
      <c r="K199" s="381">
        <f>tlOutputLOB2Cln2WeekProdProj_R2</f>
        <v>28</v>
      </c>
    </row>
    <row r="200" spans="4:11">
      <c r="D200" t="s">
        <v>1268</v>
      </c>
      <c r="E200" s="381">
        <f>tlOutputLOB2Cln3WeekProdProj_R1</f>
        <v>17.021276595744681</v>
      </c>
      <c r="J200" t="s">
        <v>3450</v>
      </c>
      <c r="K200" s="381">
        <f>tlOutputLOB2Cln3WeekProdProj_R2</f>
        <v>17.021276595744681</v>
      </c>
    </row>
    <row r="201" spans="4:11">
      <c r="D201" t="s">
        <v>1281</v>
      </c>
      <c r="E201" s="381">
        <f>tlOutputLOB2Cln4WeekProdProj_R1</f>
        <v>16.666666666666668</v>
      </c>
      <c r="J201" t="s">
        <v>3460</v>
      </c>
      <c r="K201" s="381">
        <f>tlOutputLOB2Cln4WeekProdProj_R2</f>
        <v>16.666666666666668</v>
      </c>
    </row>
    <row r="202" spans="4:11">
      <c r="D202" t="s">
        <v>1294</v>
      </c>
      <c r="E202" s="381">
        <f>tlOutputLOB2Cln5WeekProdProj_R1</f>
        <v>27.5</v>
      </c>
      <c r="J202" t="s">
        <v>3470</v>
      </c>
      <c r="K202" s="381">
        <f>tlOutputLOB2Cln5WeekProdProj_R2</f>
        <v>27.5</v>
      </c>
    </row>
    <row r="203" spans="4:11">
      <c r="D203" t="s">
        <v>1307</v>
      </c>
      <c r="E203" s="381">
        <f>tlOutputLOB2Cln6WeekProdProj_R1</f>
        <v>28</v>
      </c>
      <c r="J203" t="s">
        <v>3480</v>
      </c>
      <c r="K203" s="381">
        <f>tlOutputLOB2Cln6WeekProdProj_R2</f>
        <v>28</v>
      </c>
    </row>
    <row r="204" spans="4:11">
      <c r="D204" t="s">
        <v>1320</v>
      </c>
      <c r="E204" s="381">
        <f>tlOutputLOB2Cln7WeekProdProj_R1</f>
        <v>28</v>
      </c>
      <c r="J204" t="s">
        <v>3490</v>
      </c>
      <c r="K204" s="381">
        <f>tlOutputLOB2Cln7WeekProdProj_R2</f>
        <v>28</v>
      </c>
    </row>
    <row r="205" spans="4:11">
      <c r="D205" t="s">
        <v>1333</v>
      </c>
      <c r="E205" s="381">
        <f>tlOutputLOB2Cln8WeekProdProj_R1</f>
        <v>28</v>
      </c>
      <c r="J205" t="s">
        <v>3500</v>
      </c>
      <c r="K205" s="381">
        <f>tlOutputLOB2Cln8WeekProdProj_R2</f>
        <v>28</v>
      </c>
    </row>
    <row r="206" spans="4:11">
      <c r="D206" t="s">
        <v>1346</v>
      </c>
      <c r="E206" s="381">
        <f>tlOutputLOB2Cln9WeekProdProj_R1</f>
        <v>12.5</v>
      </c>
      <c r="J206" t="s">
        <v>3510</v>
      </c>
      <c r="K206" s="381">
        <f>tlOutputLOB2Cln9WeekProdProj_R2</f>
        <v>12.5</v>
      </c>
    </row>
    <row r="207" spans="4:11">
      <c r="D207" t="s">
        <v>1359</v>
      </c>
      <c r="E207" s="381">
        <f>tlOutputLOB2Cln10WeekProdProj_R1</f>
        <v>22.680412371134022</v>
      </c>
      <c r="J207" t="s">
        <v>3520</v>
      </c>
      <c r="K207" s="381">
        <f>tlOutputLOB2Cln10WeekProdProj_R2</f>
        <v>22.680412371134022</v>
      </c>
    </row>
    <row r="208" spans="4:11">
      <c r="D208" t="s">
        <v>2840</v>
      </c>
      <c r="E208" s="381">
        <f>tlOutputLOB2Cln11WeekProdProj_R1</f>
        <v>0</v>
      </c>
      <c r="J208" t="s">
        <v>2850</v>
      </c>
      <c r="K208" s="381">
        <f>tlOutputLOB2Cln11WeekProdProj_R2</f>
        <v>0</v>
      </c>
    </row>
    <row r="209" spans="4:11">
      <c r="D209" t="s">
        <v>2893</v>
      </c>
      <c r="E209" s="381">
        <f>tlOutputLOB2Cln12WeekProdProj_R1</f>
        <v>0</v>
      </c>
      <c r="J209" t="s">
        <v>2903</v>
      </c>
      <c r="K209" s="381">
        <f>tlOutputLOB2Cln12WeekProdProj_R2</f>
        <v>0</v>
      </c>
    </row>
    <row r="210" spans="4:11">
      <c r="D210" t="s">
        <v>7834</v>
      </c>
      <c r="E210" s="381">
        <f>tlOutputFBTeamName_R1</f>
        <v>0</v>
      </c>
      <c r="J210" t="s">
        <v>7835</v>
      </c>
      <c r="K210" s="381">
        <f>tlOutputFBTeamName_R2</f>
        <v>0</v>
      </c>
    </row>
    <row r="211" spans="4:11">
      <c r="D211" t="s">
        <v>4731</v>
      </c>
      <c r="E211" s="381">
        <f>tlOutputFBLOB1Seg1Rev_R1</f>
        <v>5006556</v>
      </c>
      <c r="J211" t="s">
        <v>7698</v>
      </c>
      <c r="K211" s="381">
        <f>tlOutputFBLOB1Seg1Rev_R2</f>
        <v>5106024</v>
      </c>
    </row>
    <row r="212" spans="4:11">
      <c r="D212" t="s">
        <v>4732</v>
      </c>
      <c r="E212" s="381">
        <f>tlOutputFBLOB1Seg2Rev_R1</f>
        <v>779610</v>
      </c>
      <c r="J212" t="s">
        <v>7699</v>
      </c>
      <c r="K212" s="381">
        <f>tlOutputFBLOB1Seg2Rev_R2</f>
        <v>779610</v>
      </c>
    </row>
    <row r="213" spans="4:11">
      <c r="D213" t="s">
        <v>4733</v>
      </c>
      <c r="E213" s="381">
        <f>tlOutputFBLOB1Seg3Rev_R1</f>
        <v>1547280</v>
      </c>
      <c r="J213" t="s">
        <v>7700</v>
      </c>
      <c r="K213" s="381">
        <f>tlOutputFBLOB1Seg3Rev_R2</f>
        <v>1565700</v>
      </c>
    </row>
    <row r="214" spans="4:11">
      <c r="D214" t="s">
        <v>4734</v>
      </c>
      <c r="E214" s="381">
        <f>tlOutputFBLOB1RevGrowth_R1</f>
        <v>-2.8501956139906914E-3</v>
      </c>
      <c r="J214" t="s">
        <v>7701</v>
      </c>
      <c r="K214" s="381">
        <f>tlOutputFBLOB1RevGrowth_R2</f>
        <v>1.6075389387199435E-2</v>
      </c>
    </row>
    <row r="215" spans="4:11">
      <c r="D215" t="s">
        <v>4735</v>
      </c>
      <c r="E215" s="381">
        <f>tlOutputFBLOB1Prod1Seg1Patients_R1</f>
        <v>1452</v>
      </c>
      <c r="J215" t="s">
        <v>7702</v>
      </c>
      <c r="K215" s="381">
        <f>tlOutputFBLOB1Prod1Seg1Patients_R2</f>
        <v>1476</v>
      </c>
    </row>
    <row r="216" spans="4:11">
      <c r="D216" t="s">
        <v>4737</v>
      </c>
      <c r="E216" s="381">
        <f>tlOutputFBLOB1Prod2Seg1Patients_R1</f>
        <v>360</v>
      </c>
      <c r="J216" t="s">
        <v>7703</v>
      </c>
      <c r="K216" s="381">
        <f>tlOutputFBLOB1Prod2Seg1Patients_R2</f>
        <v>372</v>
      </c>
    </row>
    <row r="217" spans="4:11">
      <c r="D217" t="s">
        <v>4736</v>
      </c>
      <c r="E217" s="381">
        <f>tlOutputFBLOB1Prod1Seg2Patients_R1</f>
        <v>252</v>
      </c>
      <c r="J217" t="s">
        <v>7704</v>
      </c>
      <c r="K217" s="381">
        <f>tlOutputFBLOB1Prod1Seg2Patients_R2</f>
        <v>252</v>
      </c>
    </row>
    <row r="218" spans="4:11">
      <c r="D218" t="s">
        <v>4738</v>
      </c>
      <c r="E218" s="381">
        <f>tlOutputFBLOB1Prod2Seg2Patients_R1</f>
        <v>60</v>
      </c>
      <c r="J218" t="s">
        <v>7705</v>
      </c>
      <c r="K218" s="381">
        <f>tlOutputFBLOB1Prod2Seg2Patients_R2</f>
        <v>60</v>
      </c>
    </row>
    <row r="219" spans="4:11">
      <c r="D219" t="s">
        <v>4739</v>
      </c>
      <c r="E219" s="381">
        <f>tlOutputFBLOB1Prod1Seg3Patients_R1</f>
        <v>804</v>
      </c>
      <c r="J219" t="s">
        <v>7706</v>
      </c>
      <c r="K219" s="381">
        <f>tlOutputFBLOB1Prod1Seg3Patients_R2</f>
        <v>816</v>
      </c>
    </row>
    <row r="220" spans="4:11">
      <c r="D220" t="s">
        <v>4740</v>
      </c>
      <c r="E220" s="381">
        <f>tlOutputFBLOB1Prod2Seg3Patients_R1</f>
        <v>204</v>
      </c>
      <c r="J220" t="s">
        <v>7707</v>
      </c>
      <c r="K220" s="381">
        <f>tlOutputFBLOB1Prod2Seg3Patients_R2</f>
        <v>204</v>
      </c>
    </row>
    <row r="221" spans="4:11">
      <c r="D221" t="s">
        <v>4781</v>
      </c>
      <c r="E221" s="381">
        <f>tlOutputFBLOB1AdmintPerc_R1</f>
        <v>0.8007662835249042</v>
      </c>
      <c r="J221" t="s">
        <v>7708</v>
      </c>
      <c r="K221" s="381">
        <f>tlOutputFBLOB1AdmintPerc_R2</f>
        <v>0.8</v>
      </c>
    </row>
    <row r="222" spans="4:11">
      <c r="D222" t="s">
        <v>4782</v>
      </c>
      <c r="E222" s="381">
        <f>tlOutputFBLOB1CSATImpact1_R1</f>
        <v>0</v>
      </c>
      <c r="J222" t="s">
        <v>7709</v>
      </c>
      <c r="K222" s="381">
        <f>tlOutputFBLOB1CSATImpact1_R2</f>
        <v>0</v>
      </c>
    </row>
    <row r="223" spans="4:11">
      <c r="D223" t="s">
        <v>4783</v>
      </c>
      <c r="E223" s="381">
        <f>tlOutputFBLOB1CSATImpact2_R1</f>
        <v>8.9999999999999802E-3</v>
      </c>
      <c r="J223" t="s">
        <v>7710</v>
      </c>
      <c r="K223" s="381">
        <f>tlOutputFBLOB1CSATImpact2_R2</f>
        <v>0</v>
      </c>
    </row>
    <row r="224" spans="4:11">
      <c r="D224" t="s">
        <v>4784</v>
      </c>
      <c r="E224" s="381">
        <f>tlOutputFBLOB1CSATImpact3_R1</f>
        <v>0</v>
      </c>
      <c r="J224" t="s">
        <v>7711</v>
      </c>
      <c r="K224" s="381">
        <f>tlOutputFBLOB1CSATImpact3_R2</f>
        <v>-1.0515584014389489E-2</v>
      </c>
    </row>
    <row r="225" spans="4:11">
      <c r="D225" t="s">
        <v>4785</v>
      </c>
      <c r="E225" s="381">
        <f>tlOutputFBLOB1CSATImpact4_R1</f>
        <v>9.0000000000000084E-4</v>
      </c>
      <c r="J225" t="s">
        <v>7712</v>
      </c>
      <c r="K225" s="381">
        <f>tlOutputFBLOB1CSATImpact4_R2</f>
        <v>-1.4020778685852608E-3</v>
      </c>
    </row>
    <row r="226" spans="4:11">
      <c r="D226" t="s">
        <v>4786</v>
      </c>
      <c r="E226" s="381">
        <f>tlOutputFBLOB1CSAT_R1</f>
        <v>0.8599</v>
      </c>
      <c r="J226" t="s">
        <v>7713</v>
      </c>
      <c r="K226" s="381">
        <f>tlOutputFBLOB1CSAT_R2</f>
        <v>0.84798233811702528</v>
      </c>
    </row>
    <row r="227" spans="4:11">
      <c r="D227" t="s">
        <v>4787</v>
      </c>
      <c r="E227" s="381">
        <f>tlOutputFBLOB1StarsImpact1_R1</f>
        <v>0</v>
      </c>
      <c r="J227" t="s">
        <v>7714</v>
      </c>
      <c r="K227" s="381">
        <f>tlOutputFBLOB1StarsImpact1_R2</f>
        <v>0</v>
      </c>
    </row>
    <row r="228" spans="4:11">
      <c r="D228" t="s">
        <v>4788</v>
      </c>
      <c r="E228" s="381">
        <f>tlOutputFBLOB1StarsImpact2_R1</f>
        <v>0</v>
      </c>
      <c r="J228" t="s">
        <v>7715</v>
      </c>
      <c r="K228" s="381">
        <f>tlOutputFBLOB1StarsImpact2_R2</f>
        <v>0</v>
      </c>
    </row>
    <row r="229" spans="4:11">
      <c r="D229" t="s">
        <v>4789</v>
      </c>
      <c r="E229" s="381">
        <f>tlOutputFBLOB1StarsImpact3_R1</f>
        <v>8.9999999999999802E-3</v>
      </c>
      <c r="J229" t="s">
        <v>7716</v>
      </c>
      <c r="K229" s="381">
        <f>tlOutputFBLOB1StarsImpact3_R2</f>
        <v>0</v>
      </c>
    </row>
    <row r="230" spans="4:11">
      <c r="D230" t="s">
        <v>4790</v>
      </c>
      <c r="E230" s="381">
        <f>tlOutputFBLOB1StarsImpact4_R1</f>
        <v>0</v>
      </c>
      <c r="J230" t="s">
        <v>7717</v>
      </c>
      <c r="K230" s="381">
        <f>tlOutputFBLOB1StarsImpact4_R2</f>
        <v>0</v>
      </c>
    </row>
    <row r="231" spans="4:11">
      <c r="D231" t="s">
        <v>4792</v>
      </c>
      <c r="E231" s="381">
        <f>tlOutputFBLOB1StarsImpact5_R1</f>
        <v>0</v>
      </c>
      <c r="J231" t="s">
        <v>7718</v>
      </c>
      <c r="K231" s="381">
        <f>tlOutputFBLOB1StarsImpact5_R2</f>
        <v>-1.4020778685852654E-2</v>
      </c>
    </row>
    <row r="232" spans="4:11">
      <c r="D232" t="s">
        <v>4791</v>
      </c>
      <c r="E232" s="381">
        <f>tlOutputFBLOB1Stars_R1</f>
        <v>0.78900000000000003</v>
      </c>
      <c r="J232" t="s">
        <v>7719</v>
      </c>
      <c r="K232" s="381">
        <f>tlOutputFBLOB1Stars_R2</f>
        <v>0.77497922131414743</v>
      </c>
    </row>
    <row r="233" spans="4:11">
      <c r="D233" t="s">
        <v>4793</v>
      </c>
      <c r="E233" s="381">
        <f>tlOutputFBLOB1ESATImpact1_R1</f>
        <v>0</v>
      </c>
      <c r="J233" t="s">
        <v>7720</v>
      </c>
      <c r="K233" s="381">
        <f>tlOutputFBLOB1ESATImpact1_R2</f>
        <v>0</v>
      </c>
    </row>
    <row r="234" spans="4:11">
      <c r="D234" t="s">
        <v>4794</v>
      </c>
      <c r="E234" s="381">
        <f>tlOutputFBLOB1ESATImpact2_R1</f>
        <v>0</v>
      </c>
      <c r="J234" t="s">
        <v>7721</v>
      </c>
      <c r="K234" s="381">
        <f>tlOutputFBLOB1ESATImpact2_R2</f>
        <v>0</v>
      </c>
    </row>
    <row r="235" spans="4:11">
      <c r="D235" t="s">
        <v>4795</v>
      </c>
      <c r="E235" s="381">
        <f>tlOutputFBLOB1ESATImpact3_R1</f>
        <v>0</v>
      </c>
      <c r="J235" t="s">
        <v>7722</v>
      </c>
      <c r="K235" s="381">
        <f>tlOutputFBLOB1ESATImpact3_R2</f>
        <v>0</v>
      </c>
    </row>
    <row r="236" spans="4:11">
      <c r="D236" t="s">
        <v>4796</v>
      </c>
      <c r="E236" s="381">
        <f>tlOutputFBLOB1ESAT_R1</f>
        <v>0.75</v>
      </c>
      <c r="J236" t="s">
        <v>7723</v>
      </c>
      <c r="K236" s="381">
        <f>tlOutputFBLOB1ESAT_R2</f>
        <v>0.71494805328536837</v>
      </c>
    </row>
    <row r="237" spans="4:11">
      <c r="D237" t="s">
        <v>4797</v>
      </c>
      <c r="E237" s="381">
        <f>tlOutputFBLOB1Emp1Cost_R1</f>
        <v>1478576.9407499996</v>
      </c>
      <c r="J237" t="s">
        <v>7724</v>
      </c>
      <c r="K237" s="381">
        <f>tlOutputFBLOB1Emp1Cost_R2</f>
        <v>1284146.5988816808</v>
      </c>
    </row>
    <row r="238" spans="4:11">
      <c r="D238" t="s">
        <v>4798</v>
      </c>
      <c r="E238" s="381">
        <f>tlOutputFBLOB1Emp2Cost_R1</f>
        <v>439439.93280000013</v>
      </c>
      <c r="J238" t="s">
        <v>7725</v>
      </c>
      <c r="K238" s="381">
        <f>tlOutputFBLOB1Emp2Cost_R2</f>
        <v>382446.6112141721</v>
      </c>
    </row>
    <row r="239" spans="4:11">
      <c r="D239" t="s">
        <v>4897</v>
      </c>
      <c r="E239" s="381">
        <f>tlOutputFBLOB1Emp3Cost_R1</f>
        <v>1763106.2400000005</v>
      </c>
      <c r="J239" t="s">
        <v>7726</v>
      </c>
      <c r="K239" s="381">
        <f>tlOutputFBLOB1Emp3Cost_R2</f>
        <v>1530880.9541815661</v>
      </c>
    </row>
    <row r="240" spans="4:11">
      <c r="D240" t="s">
        <v>4799</v>
      </c>
      <c r="E240" s="381">
        <f>tlOutputFBLOB1GrossProfit_R1</f>
        <v>3652322.8864500001</v>
      </c>
      <c r="J240" t="s">
        <v>7727</v>
      </c>
      <c r="K240" s="381">
        <f>tlOutputFBLOB1GrossProfit_R2</f>
        <v>4253859.8357225806</v>
      </c>
    </row>
    <row r="241" spans="4:11">
      <c r="D241" t="s">
        <v>4800</v>
      </c>
      <c r="E241" s="381">
        <f>tlOutputFBLOB1GrossMargin_R1</f>
        <v>0.49803637832064218</v>
      </c>
      <c r="J241" t="s">
        <v>7728</v>
      </c>
      <c r="K241" s="381">
        <f>tlOutputFBLOB1GrossMargin_R2</f>
        <v>0.5708856743936831</v>
      </c>
    </row>
    <row r="242" spans="4:11">
      <c r="D242" t="s">
        <v>4802</v>
      </c>
      <c r="E242" s="381">
        <f>tlOutputFBLOB1Emp1Capacity_R1</f>
        <v>18915.1002712968</v>
      </c>
      <c r="J242" t="s">
        <v>7729</v>
      </c>
      <c r="K242" s="381">
        <f>tlOutputFBLOB1Emp1Capacity_R2</f>
        <v>16563.406359560959</v>
      </c>
    </row>
    <row r="243" spans="4:11">
      <c r="D243" t="s">
        <v>4803</v>
      </c>
      <c r="E243" s="381">
        <f>tlOutputFBLOB1Emp1Visits_R1</f>
        <v>21297.600000000002</v>
      </c>
      <c r="J243" t="s">
        <v>7730</v>
      </c>
      <c r="K243" s="381">
        <f>tlOutputFBLOB1Emp1Visits_R2</f>
        <v>21624</v>
      </c>
    </row>
    <row r="244" spans="4:11">
      <c r="D244" t="s">
        <v>4804</v>
      </c>
      <c r="E244" s="381">
        <f>tlOutputFBLOB1Emp2Capacity_R1</f>
        <v>4773.0063157894738</v>
      </c>
      <c r="J244" t="s">
        <v>7731</v>
      </c>
      <c r="K244" s="381">
        <f>tlOutputFBLOB1Emp2Capacity_R2</f>
        <v>4148.2815209161363</v>
      </c>
    </row>
    <row r="245" spans="4:11">
      <c r="D245" t="s">
        <v>4805</v>
      </c>
      <c r="E245" s="381">
        <f>tlOutputFBLOB1Emp2Visits_R1</f>
        <v>5481</v>
      </c>
      <c r="J245" t="s">
        <v>7732</v>
      </c>
      <c r="K245" s="381">
        <f>tlOutputFBLOB1Emp2Visits_R2</f>
        <v>5565</v>
      </c>
    </row>
    <row r="246" spans="4:11">
      <c r="D246" t="s">
        <v>4806</v>
      </c>
      <c r="E246" s="381">
        <f>tlOutputFBLOB1Emp3Capacity_R1</f>
        <v>18476.313402061856</v>
      </c>
      <c r="J246" t="s">
        <v>7733</v>
      </c>
      <c r="K246" s="381">
        <f>tlOutputFBLOB1Emp3Capacity_R2</f>
        <v>16106.66762840437</v>
      </c>
    </row>
    <row r="247" spans="4:11">
      <c r="D247" t="s">
        <v>4807</v>
      </c>
      <c r="E247" s="381">
        <f>tlOutputFBLOB1Emp3Visits_R1</f>
        <v>21297.600000000002</v>
      </c>
      <c r="J247" t="s">
        <v>7734</v>
      </c>
      <c r="K247" s="381">
        <f>tlOutputFBLOB1Emp3Visits_R2</f>
        <v>21624</v>
      </c>
    </row>
    <row r="248" spans="4:11">
      <c r="D248" t="s">
        <v>4809</v>
      </c>
      <c r="E248" s="381">
        <f>tlOutputFBLOB1CapacityPerc_R1</f>
        <v>0.1229668736474987</v>
      </c>
      <c r="J248" t="s">
        <v>7735</v>
      </c>
      <c r="K248" s="381">
        <f>tlOutputFBLOB1CapacityPerc_R2</f>
        <v>0.24572643539873662</v>
      </c>
    </row>
    <row r="249" spans="4:11">
      <c r="D249" t="s">
        <v>4810</v>
      </c>
      <c r="E249" s="381">
        <f>tlOutputFBLOB1ServiceCost_R1</f>
        <v>3681123.1135499999</v>
      </c>
      <c r="J249" t="s">
        <v>7736</v>
      </c>
      <c r="K249" s="381">
        <f>tlOutputFBLOB1ServiceCost_R2</f>
        <v>3197474.164277419</v>
      </c>
    </row>
    <row r="250" spans="4:11">
      <c r="D250" t="s">
        <v>4811</v>
      </c>
      <c r="E250" s="381">
        <f>tlOutputFBLOB1EmpOverhead_R1</f>
        <v>2516000</v>
      </c>
      <c r="J250" t="s">
        <v>7737</v>
      </c>
      <c r="K250" s="381">
        <f>tlOutputFBLOB1EmpOverhead_R2</f>
        <v>2516000</v>
      </c>
    </row>
    <row r="251" spans="4:11">
      <c r="D251" t="s">
        <v>4812</v>
      </c>
      <c r="E251" s="381">
        <f>tlOutputFBLOB1OpProfit_R1</f>
        <v>1136322.8864500001</v>
      </c>
      <c r="J251" t="s">
        <v>7738</v>
      </c>
      <c r="K251" s="381">
        <f>tlOutputFBLOB1OpProfit_R2</f>
        <v>1737859.8357225806</v>
      </c>
    </row>
    <row r="252" spans="4:11">
      <c r="D252" t="s">
        <v>4813</v>
      </c>
      <c r="E252" s="381">
        <f>tlOutputFBLOB1OpMargin_R1</f>
        <v>0.15495074027271763</v>
      </c>
      <c r="J252" t="s">
        <v>7739</v>
      </c>
      <c r="K252" s="381">
        <f>tlOutputFBLOB1OpMargin_R2</f>
        <v>0.23322801470482743</v>
      </c>
    </row>
    <row r="253" spans="4:11">
      <c r="D253" t="s">
        <v>4815</v>
      </c>
      <c r="E253" s="381">
        <f>tlOutputFBLOB2Seg1Rev_R1</f>
        <v>5141908.8000000007</v>
      </c>
      <c r="J253" t="s">
        <v>7740</v>
      </c>
      <c r="K253" s="381">
        <f>tlOutputFBLOB2Seg1Rev_R2</f>
        <v>5319216.0000000009</v>
      </c>
    </row>
    <row r="254" spans="4:11">
      <c r="D254" t="s">
        <v>4816</v>
      </c>
      <c r="E254" s="381">
        <f>tlOutputFBLOB2Seg2Rev_R1</f>
        <v>237319.2</v>
      </c>
      <c r="J254" t="s">
        <v>7741</v>
      </c>
      <c r="K254" s="381">
        <f>tlOutputFBLOB2Seg2Rev_R2</f>
        <v>263688</v>
      </c>
    </row>
    <row r="255" spans="4:11">
      <c r="D255" t="s">
        <v>4817</v>
      </c>
      <c r="E255" s="381">
        <f>tlOutputFBLOB2Seg3Rev_R1</f>
        <v>82650</v>
      </c>
      <c r="J255" t="s">
        <v>7742</v>
      </c>
      <c r="K255" s="381">
        <f>tlOutputFBLOB2Seg3Rev_R2</f>
        <v>99180</v>
      </c>
    </row>
    <row r="256" spans="4:11">
      <c r="D256" t="s">
        <v>4818</v>
      </c>
      <c r="E256" s="381">
        <f>tlOutputFBLOB2RevGrowth_R1</f>
        <v>2.4752971230853182E-2</v>
      </c>
      <c r="J256" t="s">
        <v>7743</v>
      </c>
      <c r="K256" s="381">
        <f>tlOutputFBLOB2RevGrowth_R2</f>
        <v>4.0316901988656673E-2</v>
      </c>
    </row>
    <row r="257" spans="4:11">
      <c r="D257" t="s">
        <v>4819</v>
      </c>
      <c r="E257" s="381">
        <f>tlOutputFBLOB2Prod1Seg1Patients_R1</f>
        <v>1608</v>
      </c>
      <c r="J257" t="s">
        <v>7744</v>
      </c>
      <c r="K257" s="381">
        <f>tlOutputFBLOB2Prod1Seg1Patients_R2</f>
        <v>1656</v>
      </c>
    </row>
    <row r="258" spans="4:11">
      <c r="D258" t="s">
        <v>4820</v>
      </c>
      <c r="E258" s="381">
        <f>tlOutputFBLOB2Prod2Seg1Patients_R1</f>
        <v>480</v>
      </c>
      <c r="J258" t="s">
        <v>7745</v>
      </c>
      <c r="K258" s="381">
        <f>tlOutputFBLOB2Prod2Seg1Patients_R2</f>
        <v>504</v>
      </c>
    </row>
    <row r="259" spans="4:11">
      <c r="D259" t="s">
        <v>4821</v>
      </c>
      <c r="E259" s="381">
        <f>tlOutputFBLOB2Prod1Seg2Patients_R1</f>
        <v>84</v>
      </c>
      <c r="J259" t="s">
        <v>7746</v>
      </c>
      <c r="K259" s="381">
        <f>tlOutputFBLOB2Prod1Seg2Patients_R2</f>
        <v>96</v>
      </c>
    </row>
    <row r="260" spans="4:11">
      <c r="D260" t="s">
        <v>4822</v>
      </c>
      <c r="E260" s="381">
        <f>tlOutputFBLOB2Prod2Seg2Patients_R1</f>
        <v>24</v>
      </c>
      <c r="J260" t="s">
        <v>7747</v>
      </c>
      <c r="K260" s="381">
        <f>tlOutputFBLOB2Prod2Seg2Patients_R2</f>
        <v>24</v>
      </c>
    </row>
    <row r="261" spans="4:11">
      <c r="D261" t="s">
        <v>4823</v>
      </c>
      <c r="E261" s="381">
        <f>tlOutputFBLOB2Prod1Seg3Patients_R1</f>
        <v>48</v>
      </c>
      <c r="J261" t="s">
        <v>7748</v>
      </c>
      <c r="K261" s="381">
        <f>tlOutputFBLOB2Prod1Seg3Patients_R2</f>
        <v>60</v>
      </c>
    </row>
    <row r="262" spans="4:11">
      <c r="D262" t="s">
        <v>4824</v>
      </c>
      <c r="E262" s="381">
        <f>tlOutputFBLOB2Prod2Seg3Patients_R1</f>
        <v>12</v>
      </c>
      <c r="J262" t="s">
        <v>7749</v>
      </c>
      <c r="K262" s="381">
        <f>tlOutputFBLOB2Prod2Seg3Patients_R2</f>
        <v>12</v>
      </c>
    </row>
    <row r="263" spans="4:11">
      <c r="D263" t="s">
        <v>4825</v>
      </c>
      <c r="E263" s="381">
        <f>tlOutputFBLOB2AdmintPerc_R1</f>
        <v>0.77127659574468088</v>
      </c>
      <c r="J263" t="s">
        <v>7750</v>
      </c>
      <c r="K263" s="381">
        <f>tlOutputFBLOB2AdmintPerc_R2</f>
        <v>0.77040816326530615</v>
      </c>
    </row>
    <row r="264" spans="4:11">
      <c r="D264" t="s">
        <v>4826</v>
      </c>
      <c r="E264" s="381">
        <f>tlOutputFBLOB2CSATImpact1_R1</f>
        <v>0</v>
      </c>
      <c r="J264" t="s">
        <v>7751</v>
      </c>
      <c r="K264" s="381">
        <f>tlOutputFBLOB2CSATImpact1_R2</f>
        <v>0</v>
      </c>
    </row>
    <row r="265" spans="4:11">
      <c r="D265" t="s">
        <v>4827</v>
      </c>
      <c r="E265" s="381">
        <f>tlOutputFBLOB2CSATImpact2_R1</f>
        <v>-5.7000000000000023E-2</v>
      </c>
      <c r="J265" t="s">
        <v>7752</v>
      </c>
      <c r="K265" s="381">
        <f>tlOutputFBLOB2CSATImpact2_R2</f>
        <v>0</v>
      </c>
    </row>
    <row r="266" spans="4:11">
      <c r="D266" t="s">
        <v>4828</v>
      </c>
      <c r="E266" s="381">
        <f>tlOutputFBLOB2CSATImpact3_R1</f>
        <v>0</v>
      </c>
      <c r="J266" t="s">
        <v>7753</v>
      </c>
      <c r="K266" s="381">
        <f>tlOutputFBLOB2CSATImpact3_R2</f>
        <v>-1.3421937127231609E-3</v>
      </c>
    </row>
    <row r="267" spans="4:11">
      <c r="D267" t="s">
        <v>4829</v>
      </c>
      <c r="E267" s="381">
        <f>tlOutputFBLOB2CSATImpact4_R1</f>
        <v>-5.7000000000000054E-3</v>
      </c>
      <c r="J267" t="s">
        <v>7754</v>
      </c>
      <c r="K267" s="381">
        <f>tlOutputFBLOB2CSATImpact4_R2</f>
        <v>-1.7895916169642369E-4</v>
      </c>
    </row>
    <row r="268" spans="4:11">
      <c r="D268" t="s">
        <v>4830</v>
      </c>
      <c r="E268" s="382">
        <f>tlOutputFBLOB2CSAT_R1</f>
        <v>0.63729999999999987</v>
      </c>
      <c r="J268" t="s">
        <v>7755</v>
      </c>
      <c r="K268" s="381">
        <f>tlOutputFBLOB2CSAT_R2</f>
        <v>0.6357788471255803</v>
      </c>
    </row>
    <row r="269" spans="4:11">
      <c r="D269" t="s">
        <v>4831</v>
      </c>
      <c r="E269" s="381">
        <f>tlOutputFBLOB2StarsImpact1_R1</f>
        <v>0</v>
      </c>
      <c r="J269" t="s">
        <v>7756</v>
      </c>
      <c r="K269" s="381">
        <f>tlOutputFBLOB2StarsImpact1_R2</f>
        <v>0</v>
      </c>
    </row>
    <row r="270" spans="4:11">
      <c r="D270" t="s">
        <v>4832</v>
      </c>
      <c r="E270" s="381">
        <f>tlOutputFBLOB2StarsImpact2_R1</f>
        <v>0</v>
      </c>
      <c r="J270" t="s">
        <v>7757</v>
      </c>
      <c r="K270" s="381">
        <f>tlOutputFBLOB2StarsImpact2_R2</f>
        <v>0</v>
      </c>
    </row>
    <row r="271" spans="4:11">
      <c r="D271" t="s">
        <v>4833</v>
      </c>
      <c r="E271" s="381">
        <f>tlOutputFBLOB2StarsImpact3_R1</f>
        <v>-5.7000000000000023E-2</v>
      </c>
      <c r="J271" t="s">
        <v>7758</v>
      </c>
      <c r="K271" s="381">
        <f>tlOutputFBLOB2StarsImpact3_R2</f>
        <v>0</v>
      </c>
    </row>
    <row r="272" spans="4:11">
      <c r="D272" t="s">
        <v>4834</v>
      </c>
      <c r="E272" s="381">
        <f>tlOutputFBLOB2StarsImpact4_R1</f>
        <v>0</v>
      </c>
      <c r="J272" t="s">
        <v>7759</v>
      </c>
      <c r="K272" s="381">
        <f>tlOutputFBLOB2StarsImpact4_R2</f>
        <v>0</v>
      </c>
    </row>
    <row r="273" spans="4:11">
      <c r="D273" t="s">
        <v>4835</v>
      </c>
      <c r="E273" s="381">
        <f>tlOutputFBLOB2StarsImpact5_R1</f>
        <v>0</v>
      </c>
      <c r="J273" t="s">
        <v>7760</v>
      </c>
      <c r="K273" s="381">
        <f>tlOutputFBLOB2StarsImpact5_R2</f>
        <v>-1.7895916169642146E-3</v>
      </c>
    </row>
    <row r="274" spans="4:11">
      <c r="D274" t="s">
        <v>4836</v>
      </c>
      <c r="E274" s="381">
        <f>tlOutputFBLOB2Stars_R1</f>
        <v>0.6429999999999999</v>
      </c>
      <c r="J274" t="s">
        <v>7761</v>
      </c>
      <c r="K274" s="381">
        <f>tlOutputFBLOB2Stars_R2</f>
        <v>0.64121040838303567</v>
      </c>
    </row>
    <row r="275" spans="4:11">
      <c r="D275" t="s">
        <v>4837</v>
      </c>
      <c r="E275" s="381">
        <f>tlOutputFBLOB2ESATImpact1_R1</f>
        <v>0</v>
      </c>
      <c r="J275" t="s">
        <v>7762</v>
      </c>
      <c r="K275" s="381">
        <f>tlOutputFBLOB2ESATImpact1_R2</f>
        <v>0</v>
      </c>
    </row>
    <row r="276" spans="4:11">
      <c r="D276" t="s">
        <v>4838</v>
      </c>
      <c r="E276" s="381">
        <f>tlOutputFBLOB2ESATImpact2_R1</f>
        <v>0</v>
      </c>
      <c r="J276" t="s">
        <v>7763</v>
      </c>
      <c r="K276" s="381">
        <f>tlOutputFBLOB2ESATImpact2_R2</f>
        <v>0</v>
      </c>
    </row>
    <row r="277" spans="4:11">
      <c r="D277" t="s">
        <v>4839</v>
      </c>
      <c r="E277" s="381">
        <f>tlOutputFBLOB2ESATImpact3_R1</f>
        <v>0</v>
      </c>
      <c r="J277" t="s">
        <v>7764</v>
      </c>
      <c r="K277" s="381">
        <f>tlOutputFBLOB2ESATImpact3_R2</f>
        <v>0</v>
      </c>
    </row>
    <row r="278" spans="4:11">
      <c r="D278" t="s">
        <v>4840</v>
      </c>
      <c r="E278" s="381">
        <f>tlOutputFBLOB2ESAT_R1</f>
        <v>0.65</v>
      </c>
      <c r="J278" t="s">
        <v>7765</v>
      </c>
      <c r="K278" s="381">
        <f>tlOutputFBLOB2ESAT_R2</f>
        <v>0.64552602095758949</v>
      </c>
    </row>
    <row r="279" spans="4:11">
      <c r="D279" t="s">
        <v>4841</v>
      </c>
      <c r="E279" s="381">
        <f>tlOutputFBLOB2Emp1Cost_R1</f>
        <v>1490172.7238723401</v>
      </c>
      <c r="J279" t="s">
        <v>7766</v>
      </c>
      <c r="K279" s="381">
        <f>tlOutputFBLOB2Emp1Cost_R2</f>
        <v>1431643.7096738112</v>
      </c>
    </row>
    <row r="280" spans="4:11">
      <c r="D280" t="s">
        <v>4842</v>
      </c>
      <c r="E280" s="381">
        <f>tlOutputFBLOB2Emp2Cost_R1</f>
        <v>232627.03670103091</v>
      </c>
      <c r="J280" t="s">
        <v>7767</v>
      </c>
      <c r="K280" s="381">
        <f>tlOutputFBLOB2Emp2Cost_R2</f>
        <v>225240.00763833628</v>
      </c>
    </row>
    <row r="281" spans="4:11">
      <c r="D281" t="s">
        <v>4898</v>
      </c>
      <c r="E281" s="381">
        <f>tlOutputFBLOB2Emp3Cost_R1</f>
        <v>728891.07199999981</v>
      </c>
      <c r="J281" t="s">
        <v>7768</v>
      </c>
      <c r="K281" s="381">
        <f>tlOutputFBLOB2Emp3Cost_R2</f>
        <v>703898.29033788329</v>
      </c>
    </row>
    <row r="282" spans="4:11">
      <c r="D282" t="s">
        <v>4843</v>
      </c>
      <c r="E282" s="381">
        <f>tlOutputFBLOB2GrossProfit_R1</f>
        <v>3010187.1674266304</v>
      </c>
      <c r="J282" t="s">
        <v>7769</v>
      </c>
      <c r="K282" s="381">
        <f>tlOutputFBLOB2GrossProfit_R2</f>
        <v>3321301.9923499702</v>
      </c>
    </row>
    <row r="283" spans="4:11">
      <c r="D283" t="s">
        <v>4844</v>
      </c>
      <c r="E283" s="381">
        <f>tlOutputFBLOB2GrossMargin_R1</f>
        <v>0.55112676764779989</v>
      </c>
      <c r="J283" t="s">
        <v>7770</v>
      </c>
      <c r="K283" s="381">
        <f>tlOutputFBLOB2GrossMargin_R2</f>
        <v>0.58452180438549828</v>
      </c>
    </row>
    <row r="284" spans="4:11">
      <c r="D284" t="s">
        <v>4845</v>
      </c>
      <c r="E284" s="381">
        <f>tlOutputFBLOB2Emp1Capacity_R1</f>
        <v>20874.621276595743</v>
      </c>
      <c r="J284" t="s">
        <v>7771</v>
      </c>
      <c r="K284" s="381">
        <f>tlOutputFBLOB2Emp1Capacity_R2</f>
        <v>20117.634568327871</v>
      </c>
    </row>
    <row r="285" spans="4:11">
      <c r="D285" t="s">
        <v>4846</v>
      </c>
      <c r="E285" s="381">
        <f>tlOutputFBLOB2Emp1Visits_R1</f>
        <v>20980.799999999999</v>
      </c>
      <c r="J285" t="s">
        <v>7772</v>
      </c>
      <c r="K285" s="381">
        <f>tlOutputFBLOB2Emp1Visits_R2</f>
        <v>21873.599999999999</v>
      </c>
    </row>
    <row r="286" spans="4:11">
      <c r="D286" t="s">
        <v>4847</v>
      </c>
      <c r="E286" s="381">
        <f>tlOutputFBLOB2Emp2Capacity_R1</f>
        <v>2684.6597938144332</v>
      </c>
      <c r="J286" t="s">
        <v>7773</v>
      </c>
      <c r="K286" s="381">
        <f>tlOutputFBLOB2Emp2Capacity_R2</f>
        <v>2598.0763467903303</v>
      </c>
    </row>
    <row r="287" spans="4:11">
      <c r="D287" t="s">
        <v>4848</v>
      </c>
      <c r="E287" s="381">
        <f>tlOutputFBLOB2Emp2Visits_R1</f>
        <v>2707.2000000000003</v>
      </c>
      <c r="J287" t="s">
        <v>7774</v>
      </c>
      <c r="K287" s="381">
        <f>tlOutputFBLOB2Emp2Visits_R2</f>
        <v>2822.4</v>
      </c>
    </row>
    <row r="288" spans="4:11">
      <c r="D288" t="s">
        <v>4849</v>
      </c>
      <c r="E288" s="381">
        <f>tlOutputFBLOB2Emp3Capacity_R1</f>
        <v>8577.5999999999985</v>
      </c>
      <c r="J288" t="s">
        <v>7775</v>
      </c>
      <c r="K288" s="381">
        <f>tlOutputFBLOB2Emp3Capacity_R2</f>
        <v>8290.6377184344019</v>
      </c>
    </row>
    <row r="289" spans="4:11">
      <c r="D289" t="s">
        <v>4850</v>
      </c>
      <c r="E289" s="381">
        <f>tlOutputFBLOB2Emp3Visits_R1</f>
        <v>9024</v>
      </c>
      <c r="J289" t="s">
        <v>7776</v>
      </c>
      <c r="K289" s="381">
        <f>tlOutputFBLOB2Emp3Visits_R2</f>
        <v>9408</v>
      </c>
    </row>
    <row r="290" spans="4:11">
      <c r="D290" t="s">
        <v>4851</v>
      </c>
      <c r="E290" s="381">
        <f>tlOutputFBLOB2CapacityPerc_R1</f>
        <v>1.7581283002868209E-2</v>
      </c>
      <c r="J290" t="s">
        <v>7777</v>
      </c>
      <c r="K290" s="381">
        <f>tlOutputFBLOB2CapacityPerc_R2</f>
        <v>9.0829561530829106E-2</v>
      </c>
    </row>
    <row r="291" spans="4:11">
      <c r="D291" t="s">
        <v>4852</v>
      </c>
      <c r="E291" s="381">
        <f>tlOutputFBLOB2ServiceCost_R1</f>
        <v>2451690.8325733705</v>
      </c>
      <c r="J291" t="s">
        <v>7778</v>
      </c>
      <c r="K291" s="381">
        <f>tlOutputFBLOB2ServiceCost_R2</f>
        <v>2360782.0076500308</v>
      </c>
    </row>
    <row r="292" spans="4:11">
      <c r="D292" t="s">
        <v>4853</v>
      </c>
      <c r="E292" s="381">
        <f>tlOutputFBLOB2EmpOverhead_R1</f>
        <v>2107875</v>
      </c>
      <c r="J292" t="s">
        <v>7779</v>
      </c>
      <c r="K292" s="381">
        <f>tlOutputFBLOB2EmpOverhead_R2</f>
        <v>2634843.75</v>
      </c>
    </row>
    <row r="293" spans="4:11">
      <c r="D293" t="s">
        <v>4854</v>
      </c>
      <c r="E293" s="381">
        <f>tlOutputFBLOB2OpProfit_R1</f>
        <v>902312.16742663039</v>
      </c>
      <c r="J293" t="s">
        <v>7780</v>
      </c>
      <c r="K293" s="381">
        <f>tlOutputFBLOB2OpProfit_R2</f>
        <v>686458.24234997015</v>
      </c>
    </row>
    <row r="294" spans="4:11">
      <c r="D294" t="s">
        <v>4855</v>
      </c>
      <c r="E294" s="381">
        <f>tlOutputFBLOB2OpMargin_R1</f>
        <v>0.16520181655954788</v>
      </c>
      <c r="J294" t="s">
        <v>7781</v>
      </c>
      <c r="K294" s="381">
        <f>tlOutputFBLOB2OpMargin_R2</f>
        <v>0.12081099863183474</v>
      </c>
    </row>
    <row r="295" spans="4:11">
      <c r="D295" t="s">
        <v>4856</v>
      </c>
      <c r="E295" s="381">
        <f>tlOutputFBSeg1Rev_R1</f>
        <v>10148464.800000001</v>
      </c>
      <c r="J295" t="s">
        <v>7782</v>
      </c>
      <c r="K295" s="381">
        <f>tlOutputFBSeg1Rev_R2</f>
        <v>10425240</v>
      </c>
    </row>
    <row r="296" spans="4:11">
      <c r="D296" t="s">
        <v>4857</v>
      </c>
      <c r="E296" s="381">
        <f>tlOutputFBSeg2Rev_R1</f>
        <v>1016929.2</v>
      </c>
      <c r="J296" t="s">
        <v>7783</v>
      </c>
      <c r="K296" s="381">
        <f>tlOutputFBSeg2Rev_R2</f>
        <v>1043298</v>
      </c>
    </row>
    <row r="297" spans="4:11">
      <c r="D297" t="s">
        <v>4858</v>
      </c>
      <c r="E297" s="381">
        <f>tlOutputFBSeg3Rev_R1</f>
        <v>1629930</v>
      </c>
      <c r="J297" t="s">
        <v>7784</v>
      </c>
      <c r="K297" s="381">
        <f>tlOutputFBSeg3Rev_R2</f>
        <v>1664880</v>
      </c>
    </row>
    <row r="298" spans="4:11">
      <c r="D298" t="s">
        <v>4859</v>
      </c>
      <c r="E298" s="381">
        <f>tlOutputFBRevGrowth_R1</f>
        <v>8.7486130057792266E-3</v>
      </c>
      <c r="J298" t="s">
        <v>7785</v>
      </c>
      <c r="K298" s="381">
        <f>tlOutputFBRevGrowth_R2</f>
        <v>2.6423246492234265E-2</v>
      </c>
    </row>
    <row r="299" spans="4:11">
      <c r="D299" t="s">
        <v>4860</v>
      </c>
      <c r="E299" s="381">
        <f>tlOutputFBProd1Seg1Patients_R1</f>
        <v>3060</v>
      </c>
      <c r="J299" t="s">
        <v>7786</v>
      </c>
      <c r="K299" s="381">
        <f>tlOutputFBProd1Seg1Patients_R2</f>
        <v>3132</v>
      </c>
    </row>
    <row r="300" spans="4:11">
      <c r="D300" t="s">
        <v>4861</v>
      </c>
      <c r="E300" s="381">
        <f>tlOutputFBProd2Seg1Patients_R1</f>
        <v>840</v>
      </c>
      <c r="J300" t="s">
        <v>7787</v>
      </c>
      <c r="K300" s="381">
        <f>tlOutputFBProd2Seg1Patients_R2</f>
        <v>876</v>
      </c>
    </row>
    <row r="301" spans="4:11">
      <c r="D301" t="s">
        <v>4862</v>
      </c>
      <c r="E301" s="381">
        <f>tlOutputFBProd1Seg2Patients_R1</f>
        <v>336</v>
      </c>
      <c r="J301" t="s">
        <v>7788</v>
      </c>
      <c r="K301" s="381">
        <f>tlOutputFBProd1Seg2Patients_R2</f>
        <v>348</v>
      </c>
    </row>
    <row r="302" spans="4:11">
      <c r="D302" t="s">
        <v>4863</v>
      </c>
      <c r="E302" s="381">
        <f>tlOutputFBProd2Seg2Patients_R1</f>
        <v>84</v>
      </c>
      <c r="J302" t="s">
        <v>7789</v>
      </c>
      <c r="K302" s="381">
        <f>tlOutputFBProd2Seg2Patients_R2</f>
        <v>84</v>
      </c>
    </row>
    <row r="303" spans="4:11">
      <c r="D303" t="s">
        <v>4864</v>
      </c>
      <c r="E303" s="381">
        <f>tlOutputFBProd1Seg3Patients_R1</f>
        <v>852</v>
      </c>
      <c r="J303" t="s">
        <v>7790</v>
      </c>
      <c r="K303" s="381">
        <f>tlOutputFBProd1Seg3Patients_R2</f>
        <v>876</v>
      </c>
    </row>
    <row r="304" spans="4:11">
      <c r="D304" t="s">
        <v>4865</v>
      </c>
      <c r="E304" s="381">
        <f>tlOutputFBProd2Seg3Patients_R1</f>
        <v>216</v>
      </c>
      <c r="J304" t="s">
        <v>7791</v>
      </c>
      <c r="K304" s="381">
        <f>tlOutputFBProd2Seg3Patients_R2</f>
        <v>216</v>
      </c>
    </row>
    <row r="305" spans="4:11">
      <c r="D305" t="s">
        <v>4866</v>
      </c>
      <c r="E305" s="381">
        <f>tlOutputFBAdmintPerc_R1</f>
        <v>0.7884187082405345</v>
      </c>
      <c r="J305" t="s">
        <v>7792</v>
      </c>
      <c r="K305" s="381">
        <f>tlOutputFBAdmintPerc_R2</f>
        <v>0.78741865509761388</v>
      </c>
    </row>
    <row r="306" spans="4:11">
      <c r="D306" t="s">
        <v>4867</v>
      </c>
      <c r="E306" s="381">
        <f>tlOutputFBCSATImpact1_R1</f>
        <v>0</v>
      </c>
      <c r="J306" t="s">
        <v>7793</v>
      </c>
      <c r="K306" s="381">
        <f>tlOutputFBCSATImpact1_R2</f>
        <v>0</v>
      </c>
    </row>
    <row r="307" spans="4:11">
      <c r="D307" t="s">
        <v>4868</v>
      </c>
      <c r="E307" s="381">
        <f>tlOutputFBCSATImpact2_R1</f>
        <v>-1.8634743875278418E-2</v>
      </c>
      <c r="J307" t="s">
        <v>7794</v>
      </c>
      <c r="K307" s="381">
        <f>tlOutputFBCSATImpact2_R2</f>
        <v>0</v>
      </c>
    </row>
    <row r="308" spans="4:11">
      <c r="D308" t="s">
        <v>4869</v>
      </c>
      <c r="E308" s="381">
        <f>tlOutputFBCSATImpact3_R1</f>
        <v>0</v>
      </c>
      <c r="J308" t="s">
        <v>7795</v>
      </c>
      <c r="K308" s="381">
        <f>tlOutputFBCSATImpact3_R2</f>
        <v>-6.6154007191040224E-3</v>
      </c>
    </row>
    <row r="309" spans="4:11">
      <c r="D309" t="s">
        <v>4870</v>
      </c>
      <c r="E309" s="381">
        <f>tlOutputFBCSATImpact4_R1</f>
        <v>-1.8634743875278414E-3</v>
      </c>
      <c r="J309" t="s">
        <v>7796</v>
      </c>
      <c r="K309" s="381">
        <f>tlOutputFBCSATImpact4_R2</f>
        <v>-8.8205342921386795E-4</v>
      </c>
    </row>
    <row r="310" spans="4:11">
      <c r="D310" t="s">
        <v>4871</v>
      </c>
      <c r="E310" s="381">
        <f>tlOutputFBCSAT_R1</f>
        <v>0.76669554565701548</v>
      </c>
      <c r="J310" t="s">
        <v>7797</v>
      </c>
      <c r="K310" s="381">
        <f>tlOutputFBCSAT_R2</f>
        <v>0.75776133110113975</v>
      </c>
    </row>
    <row r="311" spans="4:11">
      <c r="D311" t="s">
        <v>4872</v>
      </c>
      <c r="E311" s="381">
        <f>tlOutputFBStarsImpact1_R1</f>
        <v>0</v>
      </c>
      <c r="J311" t="s">
        <v>7798</v>
      </c>
      <c r="K311" s="381">
        <f>tlOutputFBStarsImpact1_R2</f>
        <v>0</v>
      </c>
    </row>
    <row r="312" spans="4:11">
      <c r="D312" t="s">
        <v>4873</v>
      </c>
      <c r="E312" s="381">
        <f>tlOutputFBStarsImpact2_R1</f>
        <v>0</v>
      </c>
      <c r="J312" t="s">
        <v>7799</v>
      </c>
      <c r="K312" s="381">
        <f>tlOutputFBStarsImpact2_R2</f>
        <v>0</v>
      </c>
    </row>
    <row r="313" spans="4:11">
      <c r="D313" t="s">
        <v>4874</v>
      </c>
      <c r="E313" s="381">
        <f>tlOutputFBStarsImpact3_R1</f>
        <v>-1.8634743875278418E-2</v>
      </c>
      <c r="J313" t="s">
        <v>7800</v>
      </c>
      <c r="K313" s="381">
        <f>tlOutputFBStarsImpact3_R2</f>
        <v>0</v>
      </c>
    </row>
    <row r="314" spans="4:11">
      <c r="D314" t="s">
        <v>4875</v>
      </c>
      <c r="E314" s="381">
        <f>tlOutputFBStarsImpact4_R1</f>
        <v>0</v>
      </c>
      <c r="J314" t="s">
        <v>7801</v>
      </c>
      <c r="K314" s="381">
        <f>tlOutputFBStarsImpact4_R2</f>
        <v>0</v>
      </c>
    </row>
    <row r="315" spans="4:11">
      <c r="D315" t="s">
        <v>4876</v>
      </c>
      <c r="E315" s="381">
        <f>tlOutputFBStarsImpact5_R1</f>
        <v>0</v>
      </c>
      <c r="J315" t="s">
        <v>7802</v>
      </c>
      <c r="K315" s="381">
        <f>tlOutputFBStarsImpact5_R2</f>
        <v>-8.8205342921386966E-3</v>
      </c>
    </row>
    <row r="316" spans="4:11">
      <c r="D316" t="s">
        <v>4877</v>
      </c>
      <c r="E316" s="381">
        <f>tlOutputFBStars_R1</f>
        <v>0.72786859688195993</v>
      </c>
      <c r="J316" t="s">
        <v>7803</v>
      </c>
      <c r="K316" s="381">
        <f>tlOutputFBStars_R2</f>
        <v>0.7181057129963645</v>
      </c>
    </row>
    <row r="317" spans="4:11">
      <c r="D317" t="s">
        <v>4878</v>
      </c>
      <c r="E317" s="381">
        <f>tlOutputFBESATImpact1_R1</f>
        <v>0</v>
      </c>
      <c r="J317" t="s">
        <v>7804</v>
      </c>
      <c r="K317" s="381">
        <f>tlOutputFBESATImpact1_R2</f>
        <v>0</v>
      </c>
    </row>
    <row r="318" spans="4:11">
      <c r="D318" t="s">
        <v>4879</v>
      </c>
      <c r="E318" s="381">
        <f>tlOutputFBESATImpact2_R1</f>
        <v>0</v>
      </c>
      <c r="J318" t="s">
        <v>7805</v>
      </c>
      <c r="K318" s="381">
        <f>tlOutputFBESATImpact2_R2</f>
        <v>0</v>
      </c>
    </row>
    <row r="319" spans="4:11">
      <c r="D319" t="s">
        <v>4880</v>
      </c>
      <c r="E319" s="381">
        <f>tlOutputFBESATImpact3_R1</f>
        <v>0</v>
      </c>
      <c r="J319" t="s">
        <v>7806</v>
      </c>
      <c r="K319" s="381">
        <f>tlOutputFBESATImpact3_R2</f>
        <v>0</v>
      </c>
    </row>
    <row r="320" spans="4:11">
      <c r="D320" t="s">
        <v>4881</v>
      </c>
      <c r="E320" s="381">
        <f>tlOutputFBESAT_R1</f>
        <v>0.7</v>
      </c>
      <c r="J320" t="s">
        <v>7807</v>
      </c>
      <c r="K320" s="381">
        <f>tlOutputFBESAT_R2</f>
        <v>0.68023703712147898</v>
      </c>
    </row>
    <row r="321" spans="4:11">
      <c r="D321" t="s">
        <v>4882</v>
      </c>
      <c r="E321" s="381">
        <f>tlOutputFBEmp1Cost_R1</f>
        <v>2968749.6646223394</v>
      </c>
      <c r="J321" t="s">
        <v>7808</v>
      </c>
      <c r="K321" s="381">
        <f>tlOutputFBEmp1Cost_R2</f>
        <v>2715790.3085554922</v>
      </c>
    </row>
    <row r="322" spans="4:11">
      <c r="D322" t="s">
        <v>4883</v>
      </c>
      <c r="E322" s="381">
        <f>tlOutputFBEmp2Cost_R1</f>
        <v>672066.9695010311</v>
      </c>
      <c r="J322" t="s">
        <v>7809</v>
      </c>
      <c r="K322" s="381">
        <f>tlOutputFBEmp2Cost_R2</f>
        <v>607686.61885250837</v>
      </c>
    </row>
    <row r="323" spans="4:11">
      <c r="D323" t="s">
        <v>4899</v>
      </c>
      <c r="E323" s="381">
        <f>tlOutputFBEmp3Cost_R1</f>
        <v>2491997.3120000004</v>
      </c>
      <c r="J323" t="s">
        <v>7810</v>
      </c>
      <c r="K323" s="381">
        <f>tlOutputFBEmp3Cost_R2</f>
        <v>2234779.2445194493</v>
      </c>
    </row>
    <row r="324" spans="4:11">
      <c r="D324" t="s">
        <v>4884</v>
      </c>
      <c r="E324" s="381">
        <f>tlOutputFBGrossProfit_R1</f>
        <v>6662510.0538766291</v>
      </c>
      <c r="J324" t="s">
        <v>7811</v>
      </c>
      <c r="K324" s="381">
        <f>tlOutputFBGrossProfit_R2</f>
        <v>7575161.8280725498</v>
      </c>
    </row>
    <row r="325" spans="4:11">
      <c r="D325" t="s">
        <v>4885</v>
      </c>
      <c r="E325" s="381">
        <f>tlOutputFBGrossMargin_R1</f>
        <v>0.52069881574523857</v>
      </c>
      <c r="J325" t="s">
        <v>7812</v>
      </c>
      <c r="K325" s="381">
        <f>tlOutputFBGrossMargin_R2</f>
        <v>0.57678525331886565</v>
      </c>
    </row>
    <row r="326" spans="4:11">
      <c r="D326" t="s">
        <v>4886</v>
      </c>
      <c r="E326" s="381">
        <f>tlOutputFBEmp1Capacity_R1</f>
        <v>39789.721547892543</v>
      </c>
      <c r="J326" t="s">
        <v>7813</v>
      </c>
      <c r="K326" s="381">
        <f>tlOutputFBEmp1Capacity_R2</f>
        <v>36681.040927888826</v>
      </c>
    </row>
    <row r="327" spans="4:11">
      <c r="D327" t="s">
        <v>4887</v>
      </c>
      <c r="E327" s="381">
        <f>tlOutputFBEmp1Visits_R1</f>
        <v>42278.400000000001</v>
      </c>
      <c r="J327" t="s">
        <v>7814</v>
      </c>
      <c r="K327" s="381">
        <f>tlOutputFBEmp1Visits_R2</f>
        <v>43497.599999999999</v>
      </c>
    </row>
    <row r="328" spans="4:11">
      <c r="D328" t="s">
        <v>4888</v>
      </c>
      <c r="E328" s="381">
        <f>tlOutputFBEmp2Capacity_R1</f>
        <v>7457.666109603907</v>
      </c>
      <c r="J328" t="s">
        <v>7815</v>
      </c>
      <c r="K328" s="381">
        <f>tlOutputFBEmp2Capacity_R2</f>
        <v>6746.357867706467</v>
      </c>
    </row>
    <row r="329" spans="4:11">
      <c r="D329" t="s">
        <v>4889</v>
      </c>
      <c r="E329" s="381">
        <f>tlOutputFBEmp2Visits_R1</f>
        <v>8188.2000000000007</v>
      </c>
      <c r="J329" t="s">
        <v>7816</v>
      </c>
      <c r="K329" s="381">
        <f>tlOutputFBEmp2Visits_R2</f>
        <v>8387.4</v>
      </c>
    </row>
    <row r="330" spans="4:11">
      <c r="D330" t="s">
        <v>4890</v>
      </c>
      <c r="E330" s="381">
        <f>tlOutputFBEmp3Capacity_R1</f>
        <v>27053.913402061855</v>
      </c>
      <c r="J330" t="s">
        <v>7817</v>
      </c>
      <c r="K330" s="381">
        <f>tlOutputFBEmp3Capacity_R2</f>
        <v>24397.305346838773</v>
      </c>
    </row>
    <row r="331" spans="4:11">
      <c r="D331" t="s">
        <v>4891</v>
      </c>
      <c r="E331" s="381">
        <f>tlOutputFBEmp3Visits_R1</f>
        <v>30321.600000000002</v>
      </c>
      <c r="J331" t="s">
        <v>7818</v>
      </c>
      <c r="K331" s="381">
        <f>tlOutputFBEmp3Visits_R2</f>
        <v>31032</v>
      </c>
    </row>
    <row r="332" spans="4:11">
      <c r="D332" t="s">
        <v>4892</v>
      </c>
      <c r="E332" s="381">
        <f>tlOutputFBCapacityPerc_R1</f>
        <v>8.0295128997077581E-2</v>
      </c>
      <c r="J332" t="s">
        <v>7819</v>
      </c>
      <c r="K332" s="381">
        <f>tlOutputFBCapacityPerc_R2</f>
        <v>0.18201690675694904</v>
      </c>
    </row>
    <row r="333" spans="4:11">
      <c r="D333" t="s">
        <v>4893</v>
      </c>
      <c r="E333" s="381">
        <f>tlOutputFBServiceCost_R1</f>
        <v>6132813.9461233709</v>
      </c>
      <c r="J333" t="s">
        <v>7820</v>
      </c>
      <c r="K333" s="381">
        <f>tlOutputFBServiceCost_R2</f>
        <v>5558256.1719274502</v>
      </c>
    </row>
    <row r="334" spans="4:11">
      <c r="D334" t="s">
        <v>4894</v>
      </c>
      <c r="E334" s="381">
        <f>tlOutputFBEmpOverhead_R1</f>
        <v>4623875</v>
      </c>
      <c r="J334" t="s">
        <v>7821</v>
      </c>
      <c r="K334" s="381">
        <f>tlOutputFBEmpOverhead_R2</f>
        <v>5150843.75</v>
      </c>
    </row>
    <row r="335" spans="4:11">
      <c r="D335" t="s">
        <v>4895</v>
      </c>
      <c r="E335" s="381">
        <f>tlOutputFBOpProfit_R1</f>
        <v>2038635.0538766291</v>
      </c>
      <c r="J335" t="s">
        <v>7822</v>
      </c>
      <c r="K335" s="381">
        <f>tlOutputFBOpProfit_R2</f>
        <v>2424318.0780725498</v>
      </c>
    </row>
    <row r="336" spans="4:11">
      <c r="D336" t="s">
        <v>4896</v>
      </c>
      <c r="E336" s="381">
        <f>tlOutputFBOpMargin_R1</f>
        <v>0.15932656757082736</v>
      </c>
      <c r="J336" t="s">
        <v>7823</v>
      </c>
      <c r="K336" s="381">
        <f>tlOutputFBOpMargin_R2</f>
        <v>0.18459155705487709</v>
      </c>
    </row>
    <row r="337" spans="4:11">
      <c r="D337" t="s">
        <v>8226</v>
      </c>
      <c r="E337">
        <f>tlOutputFBLOB1ESATImpact4_R1</f>
        <v>0</v>
      </c>
      <c r="J337" t="s">
        <v>588</v>
      </c>
      <c r="K337">
        <f>tlOutputR2Event4</f>
        <v>0</v>
      </c>
    </row>
    <row r="338" spans="4:11">
      <c r="D338" t="s">
        <v>8232</v>
      </c>
      <c r="E338">
        <f>tlOutputFBLOB2ESATImpact4_R1</f>
        <v>0</v>
      </c>
      <c r="J338" t="s">
        <v>589</v>
      </c>
      <c r="K338">
        <f>tlOutputR2Event5</f>
        <v>0</v>
      </c>
    </row>
    <row r="339" spans="4:11">
      <c r="D339" t="s">
        <v>8234</v>
      </c>
      <c r="E339">
        <f>tlOutputFBESATImpact4_R1</f>
        <v>0</v>
      </c>
      <c r="J339" t="s">
        <v>8227</v>
      </c>
      <c r="K339">
        <f>tlOutputFBLOB1ESATImpact4_R2</f>
        <v>0</v>
      </c>
    </row>
    <row r="340" spans="4:11">
      <c r="D340" t="s">
        <v>8228</v>
      </c>
      <c r="E340">
        <f>tlOutputComp1FBESATImpact4_R1</f>
        <v>0</v>
      </c>
      <c r="J340" t="s">
        <v>8233</v>
      </c>
      <c r="K340">
        <f>tlOutputFBLOB2ESATImpact4_R2</f>
        <v>0</v>
      </c>
    </row>
    <row r="341" spans="4:11">
      <c r="D341" t="s">
        <v>8230</v>
      </c>
      <c r="E341">
        <f>tlOutputComp2FBESATImpact4_R1</f>
        <v>0</v>
      </c>
      <c r="J341" t="s">
        <v>8235</v>
      </c>
      <c r="K341">
        <f>tlOutputFBESATImpact4_R2</f>
        <v>0</v>
      </c>
    </row>
    <row r="342" spans="4:11">
      <c r="D342" t="s">
        <v>8476</v>
      </c>
      <c r="E342">
        <f>tlInputTeamNumber</f>
        <v>1</v>
      </c>
      <c r="J342" t="s">
        <v>8229</v>
      </c>
      <c r="K342">
        <f>tlOutputComp1FBESATImpact4_R2</f>
        <v>0</v>
      </c>
    </row>
    <row r="343" spans="4:11">
      <c r="J343" t="s">
        <v>8231</v>
      </c>
      <c r="K343">
        <f>tlOutputComp2FBESATImpact4_R2</f>
        <v>0</v>
      </c>
    </row>
    <row r="344" spans="4:11">
      <c r="J344" t="s">
        <v>8476</v>
      </c>
      <c r="K344">
        <f>tlInputTeamNumber</f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N417"/>
  <sheetViews>
    <sheetView workbookViewId="0">
      <selection activeCell="E21" sqref="E21"/>
    </sheetView>
  </sheetViews>
  <sheetFormatPr defaultRowHeight="10"/>
  <cols>
    <col min="1" max="1" width="13.6640625" customWidth="1"/>
    <col min="3" max="3" width="5.44140625" customWidth="1"/>
    <col min="4" max="4" width="12" customWidth="1"/>
    <col min="5" max="7" width="16" customWidth="1"/>
    <col min="8" max="8" width="28.109375" customWidth="1"/>
    <col min="9" max="9" width="15" customWidth="1"/>
    <col min="10" max="10" width="11.109375" customWidth="1"/>
    <col min="11" max="13" width="22.77734375" customWidth="1"/>
  </cols>
  <sheetData>
    <row r="1" spans="1:13">
      <c r="A1" t="s">
        <v>7826</v>
      </c>
    </row>
    <row r="2" spans="1:13">
      <c r="A2">
        <v>1</v>
      </c>
      <c r="B2">
        <v>2</v>
      </c>
      <c r="C2">
        <v>3</v>
      </c>
      <c r="D2">
        <v>4</v>
      </c>
      <c r="E2">
        <v>4</v>
      </c>
      <c r="F2">
        <v>5</v>
      </c>
      <c r="G2">
        <v>6</v>
      </c>
      <c r="H2" t="s">
        <v>7833</v>
      </c>
    </row>
    <row r="4" spans="1:13">
      <c r="B4" t="s">
        <v>230</v>
      </c>
      <c r="E4">
        <v>1</v>
      </c>
      <c r="F4">
        <v>2</v>
      </c>
      <c r="G4">
        <v>3</v>
      </c>
    </row>
    <row r="5" spans="1:13">
      <c r="B5" t="s">
        <v>231</v>
      </c>
      <c r="E5">
        <f>decTeamName</f>
        <v>0</v>
      </c>
      <c r="F5" t="str">
        <f>decTeamName</f>
        <v>CHL Group</v>
      </c>
      <c r="G5" t="str">
        <f>decTeamName</f>
        <v>Kinder</v>
      </c>
      <c r="H5" t="s">
        <v>7834</v>
      </c>
    </row>
    <row r="7" spans="1:13">
      <c r="B7" t="s">
        <v>7827</v>
      </c>
      <c r="E7">
        <v>127.50799499999999</v>
      </c>
      <c r="F7">
        <v>116.07963000000001</v>
      </c>
      <c r="G7">
        <v>115.29093</v>
      </c>
    </row>
    <row r="8" spans="1:13">
      <c r="B8" t="s">
        <v>7828</v>
      </c>
      <c r="E8">
        <v>98.463852166666655</v>
      </c>
      <c r="F8">
        <v>86.937096333333329</v>
      </c>
      <c r="G8">
        <v>93.167388333333335</v>
      </c>
    </row>
    <row r="9" spans="1:13">
      <c r="B9" t="s">
        <v>7829</v>
      </c>
      <c r="E9">
        <v>2</v>
      </c>
      <c r="F9">
        <v>5</v>
      </c>
      <c r="G9">
        <v>4</v>
      </c>
    </row>
    <row r="11" spans="1:13" ht="10.5">
      <c r="B11" s="667" t="s">
        <v>7836</v>
      </c>
      <c r="C11" s="668"/>
      <c r="D11" s="668"/>
      <c r="E11" s="668"/>
      <c r="F11" s="668"/>
      <c r="G11" s="698"/>
      <c r="I11" s="667" t="s">
        <v>7836</v>
      </c>
      <c r="J11" s="668"/>
      <c r="K11" s="668"/>
      <c r="L11" s="668"/>
      <c r="M11" s="698"/>
    </row>
    <row r="12" spans="1:13">
      <c r="B12" s="389" t="s">
        <v>7837</v>
      </c>
      <c r="C12" s="388"/>
      <c r="D12" s="388"/>
      <c r="E12" s="388"/>
      <c r="F12" s="388"/>
      <c r="G12" s="391"/>
      <c r="I12" s="389" t="s">
        <v>7837</v>
      </c>
      <c r="J12" s="388"/>
      <c r="K12" s="388"/>
      <c r="L12" s="388"/>
      <c r="M12" s="391"/>
    </row>
    <row r="13" spans="1:13">
      <c r="B13" s="669" t="s">
        <v>7829</v>
      </c>
      <c r="C13" s="388"/>
      <c r="D13" s="388"/>
      <c r="E13" s="388" t="s">
        <v>7838</v>
      </c>
      <c r="F13" s="388" t="s">
        <v>156</v>
      </c>
      <c r="G13" s="659" t="s">
        <v>7839</v>
      </c>
      <c r="I13" s="669" t="s">
        <v>7829</v>
      </c>
      <c r="J13" s="388"/>
      <c r="K13" s="388" t="s">
        <v>7838</v>
      </c>
      <c r="L13" s="388" t="s">
        <v>156</v>
      </c>
      <c r="M13" s="659" t="s">
        <v>7839</v>
      </c>
    </row>
    <row r="14" spans="1:13">
      <c r="B14" s="389">
        <v>1</v>
      </c>
      <c r="C14" s="388"/>
      <c r="D14" s="388"/>
      <c r="E14" s="388">
        <f>MATCH(B14,$E$20:$G$20,0)</f>
        <v>2</v>
      </c>
      <c r="F14" s="388" t="str">
        <f>INDEX($E$5:$G$5,,E14)</f>
        <v>CHL Group</v>
      </c>
      <c r="G14" s="391">
        <f>INDEX($E$25:$G$25,,E14)</f>
        <v>8.0001999999999995</v>
      </c>
      <c r="I14" s="389">
        <v>1</v>
      </c>
      <c r="J14" s="388"/>
      <c r="K14" s="388">
        <f>MATCH(I14,$K$20:$M$20,0)</f>
        <v>3</v>
      </c>
      <c r="L14" s="388" t="str">
        <f>INDEX($E$5:$G$5,,K14)</f>
        <v>Kinder</v>
      </c>
      <c r="M14" s="391">
        <f>INDEX($K$25:$M$25,,K14)</f>
        <v>8.0002999999999993</v>
      </c>
    </row>
    <row r="15" spans="1:13">
      <c r="B15" s="389">
        <v>2</v>
      </c>
      <c r="C15" s="388"/>
      <c r="D15" s="388"/>
      <c r="E15" s="388">
        <f t="shared" ref="E15:E16" si="0">MATCH(B15,$E$20:$G$20,0)</f>
        <v>1</v>
      </c>
      <c r="F15" s="388">
        <f>INDEX($E$5:$G$5,,E15)</f>
        <v>0</v>
      </c>
      <c r="G15" s="391">
        <f t="shared" ref="G15:G16" si="1">INDEX($E$25:$G$25,,E15)</f>
        <v>8.0000999999999998</v>
      </c>
      <c r="I15" s="389">
        <v>2</v>
      </c>
      <c r="J15" s="388"/>
      <c r="K15" s="388">
        <f t="shared" ref="K15:K16" si="2">MATCH(I15,$K$20:$M$20,0)</f>
        <v>2</v>
      </c>
      <c r="L15" s="388" t="str">
        <f>INDEX($E$5:$G$5,,K15)</f>
        <v>CHL Group</v>
      </c>
      <c r="M15" s="391">
        <f t="shared" ref="M15:M16" si="3">INDEX($K$25:$M$25,,K15)</f>
        <v>8.0001999999999995</v>
      </c>
    </row>
    <row r="16" spans="1:13">
      <c r="B16" s="389">
        <v>3</v>
      </c>
      <c r="C16" s="388"/>
      <c r="D16" s="388"/>
      <c r="E16" s="388">
        <f t="shared" si="0"/>
        <v>3</v>
      </c>
      <c r="F16" s="388" t="str">
        <f>INDEX($E$5:$G$5,,E16)</f>
        <v>Kinder</v>
      </c>
      <c r="G16" s="391">
        <f t="shared" si="1"/>
        <v>7.0003000000000002</v>
      </c>
      <c r="I16" s="389">
        <v>3</v>
      </c>
      <c r="J16" s="388"/>
      <c r="K16" s="388">
        <f t="shared" si="2"/>
        <v>1</v>
      </c>
      <c r="L16" s="388">
        <f>INDEX($E$5:$G$5,,K16)</f>
        <v>0</v>
      </c>
      <c r="M16" s="391">
        <f t="shared" si="3"/>
        <v>7.0000999999999998</v>
      </c>
    </row>
    <row r="17" spans="2:14">
      <c r="B17" s="389">
        <v>4</v>
      </c>
      <c r="C17" s="388"/>
      <c r="D17" s="388"/>
      <c r="E17" s="388"/>
      <c r="F17" s="388"/>
      <c r="G17" s="391"/>
      <c r="I17" s="389">
        <v>4</v>
      </c>
      <c r="J17" s="388"/>
      <c r="K17" s="388"/>
      <c r="L17" s="388"/>
      <c r="M17" s="391"/>
    </row>
    <row r="18" spans="2:14">
      <c r="B18" s="389">
        <v>5</v>
      </c>
      <c r="C18" s="388"/>
      <c r="D18" s="388"/>
      <c r="E18" s="388"/>
      <c r="F18" s="388"/>
      <c r="G18" s="391"/>
      <c r="I18" s="389">
        <v>5</v>
      </c>
      <c r="J18" s="388"/>
      <c r="K18" s="388"/>
      <c r="L18" s="388"/>
      <c r="M18" s="391"/>
    </row>
    <row r="19" spans="2:14">
      <c r="B19" s="389"/>
      <c r="C19" s="388"/>
      <c r="D19" s="388"/>
      <c r="E19" s="388"/>
      <c r="F19" s="388"/>
      <c r="G19" s="391"/>
      <c r="I19" s="389"/>
      <c r="J19" s="388"/>
      <c r="K19" s="388"/>
      <c r="L19" s="388"/>
      <c r="M19" s="391"/>
    </row>
    <row r="20" spans="2:14">
      <c r="B20" s="389" t="s">
        <v>7829</v>
      </c>
      <c r="C20" s="388"/>
      <c r="D20" s="388"/>
      <c r="E20" s="388">
        <f>RANK(E25,$E25:$G25,0)</f>
        <v>2</v>
      </c>
      <c r="F20" s="388">
        <f t="shared" ref="F20" si="4">RANK(F25,$E25:$G25,0)</f>
        <v>1</v>
      </c>
      <c r="G20" s="391">
        <f>RANK(G25,$E25:$G25,0)</f>
        <v>3</v>
      </c>
      <c r="I20" s="389" t="s">
        <v>7829</v>
      </c>
      <c r="J20" s="388"/>
      <c r="K20" s="388">
        <f>RANK(K25,$K25:$M25,0)</f>
        <v>3</v>
      </c>
      <c r="L20" s="388">
        <f t="shared" ref="L20:M20" si="5">RANK(L25,$K25:$M25,0)</f>
        <v>2</v>
      </c>
      <c r="M20" s="391">
        <f t="shared" si="5"/>
        <v>1</v>
      </c>
    </row>
    <row r="21" spans="2:14">
      <c r="B21" s="660" t="s">
        <v>486</v>
      </c>
      <c r="C21" s="388"/>
      <c r="D21" s="388"/>
      <c r="E21" s="661">
        <f>cbalRevGrowth</f>
        <v>8.7486130057792266E-3</v>
      </c>
      <c r="F21" s="661">
        <f>cbalRevGrowth</f>
        <v>0</v>
      </c>
      <c r="G21" s="693">
        <f>cbalRevGrowth</f>
        <v>0</v>
      </c>
      <c r="H21" t="s">
        <v>4859</v>
      </c>
      <c r="I21" s="660" t="s">
        <v>486</v>
      </c>
      <c r="J21" s="388"/>
      <c r="K21" s="661">
        <f>cbalR2RevGrowth</f>
        <v>2.6423246492234265E-2</v>
      </c>
      <c r="L21" s="661">
        <f>cbalR2RevGrowth</f>
        <v>0</v>
      </c>
      <c r="M21" s="693">
        <f>cbalR2RevGrowth</f>
        <v>0</v>
      </c>
      <c r="N21" t="s">
        <v>7785</v>
      </c>
    </row>
    <row r="22" spans="2:14">
      <c r="B22" s="660" t="s">
        <v>487</v>
      </c>
      <c r="C22" s="388"/>
      <c r="D22" s="388"/>
      <c r="E22" s="662">
        <f>finPNLOpProfit</f>
        <v>2038635.0538766291</v>
      </c>
      <c r="F22" s="662">
        <f>finPNLOpProfit</f>
        <v>1592364.9631649274</v>
      </c>
      <c r="G22" s="694">
        <f>finPNLOpProfit</f>
        <v>2543226.0294137411</v>
      </c>
      <c r="H22" t="s">
        <v>4895</v>
      </c>
      <c r="I22" s="660" t="s">
        <v>487</v>
      </c>
      <c r="J22" s="388"/>
      <c r="K22" s="662">
        <f>finR2PNLOpProfit</f>
        <v>2424318.0780725498</v>
      </c>
      <c r="L22" s="662">
        <f>finR2PNLOpProfit</f>
        <v>1646853.7687137956</v>
      </c>
      <c r="M22" s="694">
        <f>finR2PNLOpProfit</f>
        <v>2650268.7470579017</v>
      </c>
      <c r="N22" t="s">
        <v>7822</v>
      </c>
    </row>
    <row r="23" spans="2:14">
      <c r="B23" s="660" t="s">
        <v>7831</v>
      </c>
      <c r="C23" s="388"/>
      <c r="D23" s="388"/>
      <c r="E23" s="661">
        <f>cbalCSAT</f>
        <v>0.76669554565701548</v>
      </c>
      <c r="F23" s="661">
        <f>cbalCSAT</f>
        <v>0.80836485029940119</v>
      </c>
      <c r="G23" s="693">
        <f>cbalCSAT</f>
        <v>0.75397217118997917</v>
      </c>
      <c r="H23" t="s">
        <v>4871</v>
      </c>
      <c r="I23" s="660" t="s">
        <v>7831</v>
      </c>
      <c r="J23" s="388"/>
      <c r="K23" s="661">
        <f>cbalR2CSAT</f>
        <v>0.75776133110113975</v>
      </c>
      <c r="L23" s="661">
        <f>cbalR2CSAT</f>
        <v>0.83709167664670658</v>
      </c>
      <c r="M23" s="693">
        <f>cbalR2CSAT</f>
        <v>0.7748023985179231</v>
      </c>
      <c r="N23" t="s">
        <v>7797</v>
      </c>
    </row>
    <row r="24" spans="2:14">
      <c r="B24" s="660" t="s">
        <v>7832</v>
      </c>
      <c r="C24" s="388"/>
      <c r="D24" s="388"/>
      <c r="E24" s="661">
        <f>cbalESAT</f>
        <v>0.7</v>
      </c>
      <c r="F24" s="661">
        <f>cbalESAT</f>
        <v>0.74275000000000002</v>
      </c>
      <c r="G24" s="693">
        <f>cbalESAT</f>
        <v>0.72324999999999995</v>
      </c>
      <c r="H24" t="s">
        <v>4881</v>
      </c>
      <c r="I24" s="660" t="s">
        <v>7832</v>
      </c>
      <c r="J24" s="388"/>
      <c r="K24" s="661">
        <f>cbalR2ESAT</f>
        <v>0.68023703712147898</v>
      </c>
      <c r="L24" s="661">
        <f>cbalR2ESAT</f>
        <v>0.78300000000000014</v>
      </c>
      <c r="M24" s="693">
        <f>cbalR2ESAT</f>
        <v>0.72122078750812268</v>
      </c>
      <c r="N24" t="s">
        <v>7807</v>
      </c>
    </row>
    <row r="25" spans="2:14">
      <c r="B25" s="663" t="s">
        <v>7830</v>
      </c>
      <c r="C25" s="664"/>
      <c r="D25" s="664"/>
      <c r="E25" s="715">
        <f>SUM(E26:E29)+0.0001</f>
        <v>8.0000999999999998</v>
      </c>
      <c r="F25" s="715">
        <f>SUM(F26:F29)+0.0002</f>
        <v>8.0001999999999995</v>
      </c>
      <c r="G25" s="716">
        <f>SUM(G26:G29)+0.0003</f>
        <v>7.0003000000000002</v>
      </c>
      <c r="I25" s="663" t="s">
        <v>7830</v>
      </c>
      <c r="J25" s="664"/>
      <c r="K25" s="715">
        <f>SUM(K26:K29)+0.0001</f>
        <v>7.0000999999999998</v>
      </c>
      <c r="L25" s="715">
        <f>SUM(L26:L29)+0.0002</f>
        <v>8.0001999999999995</v>
      </c>
      <c r="M25" s="716">
        <f>SUM(M26:M29)+0.0003</f>
        <v>8.0002999999999993</v>
      </c>
    </row>
    <row r="26" spans="2:14">
      <c r="B26" s="663" t="s">
        <v>486</v>
      </c>
      <c r="C26" s="664"/>
      <c r="D26" s="664"/>
      <c r="E26" s="665">
        <f>RANK(E21,$E21:$G21,1)</f>
        <v>3</v>
      </c>
      <c r="F26" s="665">
        <f t="shared" ref="F26:G26" si="6">RANK(F21,$E21:$G21,1)</f>
        <v>1</v>
      </c>
      <c r="G26" s="699">
        <f t="shared" si="6"/>
        <v>1</v>
      </c>
      <c r="I26" s="663" t="s">
        <v>486</v>
      </c>
      <c r="J26" s="664"/>
      <c r="K26" s="665">
        <f>RANK(K21,$K21:$M21,1)</f>
        <v>3</v>
      </c>
      <c r="L26" s="665">
        <f t="shared" ref="L26:M26" si="7">RANK(L21,$K21:$M21,1)</f>
        <v>1</v>
      </c>
      <c r="M26" s="699">
        <f t="shared" si="7"/>
        <v>1</v>
      </c>
    </row>
    <row r="27" spans="2:14">
      <c r="B27" s="663" t="s">
        <v>487</v>
      </c>
      <c r="C27" s="664"/>
      <c r="D27" s="664"/>
      <c r="E27" s="665">
        <f t="shared" ref="E27:G27" si="8">RANK(E22,$E22:$G22,1)</f>
        <v>2</v>
      </c>
      <c r="F27" s="665">
        <f t="shared" si="8"/>
        <v>1</v>
      </c>
      <c r="G27" s="699">
        <f t="shared" si="8"/>
        <v>3</v>
      </c>
      <c r="I27" s="663" t="s">
        <v>487</v>
      </c>
      <c r="J27" s="664"/>
      <c r="K27" s="665">
        <f>RANK(K22,$K22:$M22,1)</f>
        <v>2</v>
      </c>
      <c r="L27" s="665">
        <f t="shared" ref="L27:M27" si="9">RANK(L22,$K22:$M22,1)</f>
        <v>1</v>
      </c>
      <c r="M27" s="699">
        <f t="shared" si="9"/>
        <v>3</v>
      </c>
    </row>
    <row r="28" spans="2:14">
      <c r="B28" s="663" t="s">
        <v>7831</v>
      </c>
      <c r="C28" s="664"/>
      <c r="D28" s="664"/>
      <c r="E28" s="665">
        <f t="shared" ref="E28:G28" si="10">RANK(E23,$E23:$G23,1)</f>
        <v>2</v>
      </c>
      <c r="F28" s="665">
        <f t="shared" si="10"/>
        <v>3</v>
      </c>
      <c r="G28" s="699">
        <f t="shared" si="10"/>
        <v>1</v>
      </c>
      <c r="I28" s="663" t="s">
        <v>7831</v>
      </c>
      <c r="J28" s="664"/>
      <c r="K28" s="665">
        <f>RANK(K23,$K23:$M23,1)</f>
        <v>1</v>
      </c>
      <c r="L28" s="665">
        <f t="shared" ref="L28:M28" si="11">RANK(L23,$K23:$M23,1)</f>
        <v>3</v>
      </c>
      <c r="M28" s="699">
        <f t="shared" si="11"/>
        <v>2</v>
      </c>
    </row>
    <row r="29" spans="2:14">
      <c r="B29" s="663" t="s">
        <v>7832</v>
      </c>
      <c r="C29" s="664"/>
      <c r="D29" s="664"/>
      <c r="E29" s="665">
        <f t="shared" ref="E29:G29" si="12">RANK(E24,$E24:$G24,1)</f>
        <v>1</v>
      </c>
      <c r="F29" s="665">
        <f t="shared" si="12"/>
        <v>3</v>
      </c>
      <c r="G29" s="699">
        <f t="shared" si="12"/>
        <v>2</v>
      </c>
      <c r="I29" s="663" t="s">
        <v>7832</v>
      </c>
      <c r="J29" s="664"/>
      <c r="K29" s="665">
        <f>RANK(K24,$K24:$M24,1)</f>
        <v>1</v>
      </c>
      <c r="L29" s="665">
        <f t="shared" ref="L29:M29" si="13">RANK(L24,$K24:$M24,1)</f>
        <v>3</v>
      </c>
      <c r="M29" s="699">
        <f t="shared" si="13"/>
        <v>2</v>
      </c>
    </row>
    <row r="30" spans="2:14">
      <c r="B30" s="389"/>
      <c r="C30" s="388"/>
      <c r="D30" s="388"/>
      <c r="E30" s="666"/>
      <c r="F30" s="666"/>
      <c r="G30" s="695"/>
      <c r="I30" s="389"/>
      <c r="J30" s="388"/>
      <c r="K30" s="666"/>
      <c r="L30" s="666"/>
      <c r="M30" s="695"/>
    </row>
    <row r="31" spans="2:14" ht="10.5">
      <c r="B31" s="670" t="s">
        <v>347</v>
      </c>
      <c r="C31" s="388"/>
      <c r="D31" s="388"/>
      <c r="E31" s="388"/>
      <c r="F31" s="388"/>
      <c r="G31" s="391"/>
      <c r="I31" s="670" t="s">
        <v>347</v>
      </c>
      <c r="J31" s="388"/>
      <c r="K31" s="388"/>
      <c r="L31" s="388"/>
      <c r="M31" s="391"/>
    </row>
    <row r="32" spans="2:14">
      <c r="B32" s="660" t="s">
        <v>620</v>
      </c>
      <c r="C32" s="388"/>
      <c r="D32" s="388"/>
      <c r="E32" s="508">
        <f>finPNLSeg1Rev</f>
        <v>10148464.800000001</v>
      </c>
      <c r="F32" s="508">
        <f>finPNLSeg1Rev</f>
        <v>10704948</v>
      </c>
      <c r="G32" s="555">
        <f>finPNLSeg1Rev</f>
        <v>11363628</v>
      </c>
      <c r="H32" t="s">
        <v>4434</v>
      </c>
      <c r="I32" s="660" t="s">
        <v>620</v>
      </c>
      <c r="J32" s="388"/>
      <c r="K32" s="508">
        <f>finR2PNLSeg1Rev</f>
        <v>10425240</v>
      </c>
      <c r="L32" s="508">
        <f>finR2PNLSeg1Rev</f>
        <v>10704948</v>
      </c>
      <c r="M32" s="555">
        <f>finR2PNLSeg1Rev</f>
        <v>11363628</v>
      </c>
      <c r="N32" t="s">
        <v>7870</v>
      </c>
    </row>
    <row r="33" spans="1:14">
      <c r="B33" s="660" t="s">
        <v>621</v>
      </c>
      <c r="C33" s="388"/>
      <c r="D33" s="388"/>
      <c r="E33" s="508">
        <f>finPNLSeg2Rev</f>
        <v>1016929.2</v>
      </c>
      <c r="F33" s="508">
        <f>finPNLSeg2Rev</f>
        <v>1313163</v>
      </c>
      <c r="G33" s="555">
        <f>finPNLSeg2Rev</f>
        <v>965247</v>
      </c>
      <c r="H33" t="s">
        <v>4435</v>
      </c>
      <c r="I33" s="660" t="s">
        <v>621</v>
      </c>
      <c r="J33" s="388"/>
      <c r="K33" s="508">
        <f>finR2PNLSeg2Rev</f>
        <v>1043298</v>
      </c>
      <c r="L33" s="508">
        <f>finR2PNLSeg2Rev</f>
        <v>1313163</v>
      </c>
      <c r="M33" s="555">
        <f>finR2PNLSeg2Rev</f>
        <v>965247</v>
      </c>
      <c r="N33" t="s">
        <v>7871</v>
      </c>
    </row>
    <row r="34" spans="1:14">
      <c r="B34" s="683" t="s">
        <v>592</v>
      </c>
      <c r="C34" s="393"/>
      <c r="D34" s="393"/>
      <c r="E34" s="682">
        <f>finPNLSeg3Rev</f>
        <v>1629930</v>
      </c>
      <c r="F34" s="682">
        <f>finPNLSeg3Rev</f>
        <v>2184420</v>
      </c>
      <c r="G34" s="700">
        <f>finPNLSeg3Rev</f>
        <v>1340400</v>
      </c>
      <c r="H34" t="s">
        <v>4436</v>
      </c>
      <c r="I34" s="683" t="s">
        <v>592</v>
      </c>
      <c r="J34" s="393"/>
      <c r="K34" s="682">
        <f>finR2PNLSeg3Rev</f>
        <v>1664880</v>
      </c>
      <c r="L34" s="682">
        <f>finR2PNLSeg3Rev</f>
        <v>2184420</v>
      </c>
      <c r="M34" s="700">
        <f>finR2PNLSeg3Rev</f>
        <v>1340400</v>
      </c>
      <c r="N34" t="s">
        <v>7872</v>
      </c>
    </row>
    <row r="35" spans="1:14">
      <c r="B35" s="660" t="s">
        <v>406</v>
      </c>
      <c r="C35" s="388"/>
      <c r="D35" s="388"/>
      <c r="E35" s="508">
        <f>finPNLRev</f>
        <v>12795324</v>
      </c>
      <c r="F35" s="508">
        <f>finPNLRev</f>
        <v>14202531</v>
      </c>
      <c r="G35" s="555">
        <f>finPNLRev</f>
        <v>13669275</v>
      </c>
      <c r="H35" t="s">
        <v>477</v>
      </c>
      <c r="I35" s="660" t="s">
        <v>406</v>
      </c>
      <c r="J35" s="388"/>
      <c r="K35" s="508">
        <f>finR2PNLRev</f>
        <v>13133418</v>
      </c>
      <c r="L35" s="508">
        <f>finR2PNLRev</f>
        <v>14202531</v>
      </c>
      <c r="M35" s="555">
        <f>finR2PNLRev</f>
        <v>13669275</v>
      </c>
      <c r="N35" t="s">
        <v>7873</v>
      </c>
    </row>
    <row r="36" spans="1:14">
      <c r="B36" s="683" t="s">
        <v>407</v>
      </c>
      <c r="C36" s="393"/>
      <c r="D36" s="393"/>
      <c r="E36" s="682">
        <f>finPNLServiceCost</f>
        <v>6132813.9461233709</v>
      </c>
      <c r="F36" s="682">
        <f>finPNLServiceCost</f>
        <v>8281666.0368350726</v>
      </c>
      <c r="G36" s="700">
        <f>finPNLServiceCost</f>
        <v>6892798.9705862589</v>
      </c>
      <c r="H36" t="s">
        <v>2788</v>
      </c>
      <c r="I36" s="683" t="s">
        <v>407</v>
      </c>
      <c r="J36" s="393"/>
      <c r="K36" s="682">
        <f>finR2PNLServiceCost</f>
        <v>5558256.1719274502</v>
      </c>
      <c r="L36" s="682">
        <f>finR2PNLServiceCost</f>
        <v>8150002.2312862044</v>
      </c>
      <c r="M36" s="700">
        <f>finR2PNLServiceCost</f>
        <v>6672093.7529420983</v>
      </c>
      <c r="N36" t="s">
        <v>7874</v>
      </c>
    </row>
    <row r="37" spans="1:14">
      <c r="B37" s="660" t="s">
        <v>341</v>
      </c>
      <c r="C37" s="388"/>
      <c r="D37" s="388"/>
      <c r="E37" s="677">
        <f>finPNLGrossMargin</f>
        <v>0.52069881574523857</v>
      </c>
      <c r="F37" s="677">
        <f>finPNLGrossMargin</f>
        <v>0.41688801546463283</v>
      </c>
      <c r="G37" s="680">
        <f>finPNLGrossMargin</f>
        <v>0.49574509470427225</v>
      </c>
      <c r="H37" t="s">
        <v>4711</v>
      </c>
      <c r="I37" s="660" t="s">
        <v>341</v>
      </c>
      <c r="J37" s="388"/>
      <c r="K37" s="677">
        <f>finR2PNLGrossMargin</f>
        <v>0.57678525331886565</v>
      </c>
      <c r="L37" s="677">
        <f>finR2PNLGrossMargin</f>
        <v>0.4261584620877642</v>
      </c>
      <c r="M37" s="680">
        <f>finR2PNLGrossMargin</f>
        <v>0.5118911754323402</v>
      </c>
      <c r="N37" t="s">
        <v>7875</v>
      </c>
    </row>
    <row r="38" spans="1:14">
      <c r="B38" s="660" t="s">
        <v>4713</v>
      </c>
      <c r="C38" s="388"/>
      <c r="D38" s="388"/>
      <c r="E38" s="508"/>
      <c r="F38" s="508"/>
      <c r="G38" s="555"/>
      <c r="I38" s="660" t="s">
        <v>4713</v>
      </c>
      <c r="J38" s="388"/>
      <c r="K38" s="508"/>
      <c r="L38" s="508"/>
      <c r="M38" s="555"/>
    </row>
    <row r="39" spans="1:14">
      <c r="B39" s="660" t="s">
        <v>4714</v>
      </c>
      <c r="C39" s="388"/>
      <c r="D39" s="388"/>
      <c r="E39" s="508">
        <f>finPNLEmpOverhead</f>
        <v>4623875</v>
      </c>
      <c r="F39" s="508">
        <f>finPNLEmpOverhead</f>
        <v>4328500</v>
      </c>
      <c r="G39" s="555">
        <f>finPNLEmpOverhead</f>
        <v>4233250</v>
      </c>
      <c r="H39" t="s">
        <v>2789</v>
      </c>
      <c r="I39" s="660" t="s">
        <v>4714</v>
      </c>
      <c r="J39" s="388"/>
      <c r="K39" s="508">
        <f>finR2PNLEmpOverhead</f>
        <v>5150843.75</v>
      </c>
      <c r="L39" s="508">
        <f>finR2PNLEmpOverhead</f>
        <v>4405675</v>
      </c>
      <c r="M39" s="555">
        <f>finR2PNLEmpOverhead</f>
        <v>4346912.5</v>
      </c>
      <c r="N39" t="s">
        <v>7876</v>
      </c>
    </row>
    <row r="40" spans="1:14">
      <c r="B40" s="683" t="s">
        <v>4715</v>
      </c>
      <c r="C40" s="393"/>
      <c r="D40" s="393"/>
      <c r="E40" s="682">
        <f>finPNLServiceCost+finPNLEmpOverhead</f>
        <v>10756688.946123371</v>
      </c>
      <c r="F40" s="682">
        <f>finPNLServiceCost+finPNLEmpOverhead</f>
        <v>12610166.036835073</v>
      </c>
      <c r="G40" s="700">
        <f>finPNLServiceCost+finPNLEmpOverhead</f>
        <v>11126048.970586259</v>
      </c>
      <c r="H40" t="s">
        <v>478</v>
      </c>
      <c r="I40" s="683" t="s">
        <v>4715</v>
      </c>
      <c r="J40" s="393"/>
      <c r="K40" s="682">
        <f>finR2PNLServiceCost+finR2PNLEmpOverhead</f>
        <v>10709099.92192745</v>
      </c>
      <c r="L40" s="682">
        <f>finR2PNLServiceCost+finR2PNLEmpOverhead</f>
        <v>12555677.231286205</v>
      </c>
      <c r="M40" s="700">
        <f>finR2PNLServiceCost+finR2PNLEmpOverhead</f>
        <v>11019006.252942098</v>
      </c>
      <c r="N40" t="s">
        <v>7877</v>
      </c>
    </row>
    <row r="41" spans="1:14">
      <c r="B41" s="660" t="s">
        <v>487</v>
      </c>
      <c r="C41" s="388"/>
      <c r="D41" s="388"/>
      <c r="E41" s="508">
        <f>finPNLOpProfit</f>
        <v>2038635.0538766291</v>
      </c>
      <c r="F41" s="508">
        <f>finPNLOpProfit</f>
        <v>1592364.9631649274</v>
      </c>
      <c r="G41" s="555">
        <f>finPNLOpProfit</f>
        <v>2543226.0294137411</v>
      </c>
      <c r="H41" t="s">
        <v>2790</v>
      </c>
      <c r="I41" s="660" t="s">
        <v>487</v>
      </c>
      <c r="J41" s="388"/>
      <c r="K41" s="508">
        <f>finR2PNLOpProfit</f>
        <v>2424318.0780725498</v>
      </c>
      <c r="L41" s="508">
        <f>finR2PNLOpProfit</f>
        <v>1646853.7687137956</v>
      </c>
      <c r="M41" s="555">
        <f>finR2PNLOpProfit</f>
        <v>2650268.7470579017</v>
      </c>
      <c r="N41" t="s">
        <v>7878</v>
      </c>
    </row>
    <row r="42" spans="1:14">
      <c r="B42" s="660" t="s">
        <v>4716</v>
      </c>
      <c r="C42" s="388"/>
      <c r="D42" s="388"/>
      <c r="E42" s="677">
        <f>finPNLOpMargin</f>
        <v>0.15932656757082736</v>
      </c>
      <c r="F42" s="677">
        <f>finPNLOpMargin</f>
        <v>0.11211839376833097</v>
      </c>
      <c r="G42" s="680">
        <f>finPNLOpMargin</f>
        <v>0.18605420034447628</v>
      </c>
      <c r="H42" t="s">
        <v>2775</v>
      </c>
      <c r="I42" s="660" t="s">
        <v>4716</v>
      </c>
      <c r="J42" s="388"/>
      <c r="K42" s="677">
        <f>finR2PNLOpMargin</f>
        <v>0.18459155705487709</v>
      </c>
      <c r="L42" s="677">
        <f>finR2PNLOpMargin</f>
        <v>0.11595494977013573</v>
      </c>
      <c r="M42" s="680">
        <f>finR2PNLOpMargin</f>
        <v>0.19388509976263568</v>
      </c>
      <c r="N42" t="s">
        <v>7879</v>
      </c>
    </row>
    <row r="43" spans="1:14" ht="10.5">
      <c r="B43" s="670"/>
      <c r="C43" s="388"/>
      <c r="D43" s="388"/>
      <c r="E43" s="388"/>
      <c r="F43" s="388"/>
      <c r="G43" s="391"/>
      <c r="I43" s="670"/>
      <c r="J43" s="388"/>
      <c r="K43" s="388"/>
      <c r="L43" s="388"/>
      <c r="M43" s="391"/>
    </row>
    <row r="44" spans="1:14" ht="10.5">
      <c r="B44" s="670" t="s">
        <v>4674</v>
      </c>
      <c r="C44" s="388"/>
      <c r="D44" s="388"/>
      <c r="E44" s="388"/>
      <c r="F44" s="388"/>
      <c r="G44" s="391"/>
      <c r="I44" s="670" t="s">
        <v>4674</v>
      </c>
      <c r="J44" s="388"/>
      <c r="K44" s="388"/>
      <c r="L44" s="388"/>
      <c r="M44" s="391"/>
    </row>
    <row r="45" spans="1:14" ht="10.5">
      <c r="B45" s="670" t="s">
        <v>4675</v>
      </c>
      <c r="C45" s="388"/>
      <c r="D45" s="388"/>
      <c r="E45" s="388">
        <f>tlOutputR1Event1</f>
        <v>0</v>
      </c>
      <c r="F45" s="388"/>
      <c r="G45" s="391"/>
      <c r="H45" t="s">
        <v>581</v>
      </c>
      <c r="I45" s="670" t="s">
        <v>4675</v>
      </c>
      <c r="J45" s="388"/>
      <c r="K45" s="388"/>
      <c r="L45" s="388"/>
      <c r="M45" s="391"/>
      <c r="N45" t="s">
        <v>581</v>
      </c>
    </row>
    <row r="46" spans="1:14">
      <c r="A46">
        <v>50</v>
      </c>
      <c r="B46" s="660" t="s">
        <v>4676</v>
      </c>
      <c r="C46" s="388"/>
      <c r="D46" s="388"/>
      <c r="E46" s="388">
        <f>COUNTIF(dec!E$134:E$137,$A46)</f>
        <v>0</v>
      </c>
      <c r="F46" s="388">
        <f>COUNTIF(dec!F$134:F$137,$A46)</f>
        <v>0</v>
      </c>
      <c r="G46" s="391">
        <f>COUNTIF(dec!G$134:G$137,$A46)</f>
        <v>1</v>
      </c>
      <c r="I46" s="660" t="s">
        <v>4676</v>
      </c>
      <c r="J46" s="388"/>
      <c r="K46" s="388">
        <f>COUNTIF(dec!L$134:L$137,$A46)</f>
        <v>0</v>
      </c>
      <c r="L46" s="388">
        <f>COUNTIF(dec!M$134:M$137,$A46)</f>
        <v>1</v>
      </c>
      <c r="M46" s="391">
        <f>COUNTIF(dec!N$134:N$137,$A46)</f>
        <v>0</v>
      </c>
    </row>
    <row r="47" spans="1:14">
      <c r="A47">
        <v>51</v>
      </c>
      <c r="B47" s="660" t="s">
        <v>4677</v>
      </c>
      <c r="C47" s="388"/>
      <c r="D47" s="388"/>
      <c r="E47" s="388">
        <f>COUNTIF(dec!E$134:E$137,$A47)</f>
        <v>0</v>
      </c>
      <c r="F47" s="388">
        <f>COUNTIF(dec!F$134:F$137,$A47)</f>
        <v>1</v>
      </c>
      <c r="G47" s="391">
        <f>COUNTIF(dec!G$134:G$137,$A47)</f>
        <v>0</v>
      </c>
      <c r="I47" s="660" t="s">
        <v>4677</v>
      </c>
      <c r="J47" s="388"/>
      <c r="K47" s="388">
        <f>COUNTIF(dec!L$134:L$137,$A47)</f>
        <v>1</v>
      </c>
      <c r="L47" s="388">
        <f>COUNTIF(dec!M$134:M$137,$A47)</f>
        <v>0</v>
      </c>
      <c r="M47" s="391">
        <f>COUNTIF(dec!N$134:N$137,$A47)</f>
        <v>0</v>
      </c>
    </row>
    <row r="48" spans="1:14">
      <c r="A48">
        <v>52</v>
      </c>
      <c r="B48" s="660" t="s">
        <v>4678</v>
      </c>
      <c r="C48" s="388"/>
      <c r="D48" s="388"/>
      <c r="E48" s="388">
        <f>COUNTIF(dec!E$134:E$137,$A48)</f>
        <v>0</v>
      </c>
      <c r="F48" s="388">
        <f>COUNTIF(dec!F$134:F$137,$A48)</f>
        <v>0</v>
      </c>
      <c r="G48" s="391">
        <f>COUNTIF(dec!G$134:G$137,$A48)</f>
        <v>0</v>
      </c>
      <c r="I48" s="660" t="s">
        <v>4678</v>
      </c>
      <c r="J48" s="388"/>
      <c r="K48" s="388">
        <f>COUNTIF(dec!L$134:L$137,$A48)</f>
        <v>0</v>
      </c>
      <c r="L48" s="388">
        <f>COUNTIF(dec!M$134:M$137,$A48)</f>
        <v>0</v>
      </c>
      <c r="M48" s="391">
        <f>COUNTIF(dec!N$134:N$137,$A48)</f>
        <v>0</v>
      </c>
    </row>
    <row r="49" spans="1:14" ht="10.5">
      <c r="B49" s="670"/>
      <c r="C49" s="388"/>
      <c r="D49" s="388"/>
      <c r="E49" s="388"/>
      <c r="F49" s="388"/>
      <c r="G49" s="391"/>
      <c r="I49" s="670"/>
      <c r="J49" s="388"/>
      <c r="K49" s="388"/>
      <c r="L49" s="388"/>
      <c r="M49" s="391"/>
    </row>
    <row r="50" spans="1:14" ht="10.5">
      <c r="B50" s="670" t="s">
        <v>4679</v>
      </c>
      <c r="C50" s="388"/>
      <c r="D50" s="388"/>
      <c r="E50" s="388"/>
      <c r="F50" s="388"/>
      <c r="G50" s="391"/>
      <c r="H50" t="s">
        <v>582</v>
      </c>
      <c r="I50" s="670" t="s">
        <v>4679</v>
      </c>
      <c r="J50" s="388"/>
      <c r="K50" s="388"/>
      <c r="L50" s="388"/>
      <c r="M50" s="391"/>
      <c r="N50" t="s">
        <v>582</v>
      </c>
    </row>
    <row r="51" spans="1:14">
      <c r="A51">
        <v>53</v>
      </c>
      <c r="B51" s="660" t="s">
        <v>4682</v>
      </c>
      <c r="C51" s="388"/>
      <c r="D51" s="388"/>
      <c r="E51" s="388">
        <f>COUNTIF(dec!E$134:E$137,$A51)</f>
        <v>0</v>
      </c>
      <c r="F51" s="388">
        <f>COUNTIF(dec!F$134:F$137,$A51)</f>
        <v>1</v>
      </c>
      <c r="G51" s="391">
        <f>COUNTIF(dec!G$134:G$137,$A51)</f>
        <v>1</v>
      </c>
      <c r="I51" s="660" t="s">
        <v>4682</v>
      </c>
      <c r="J51" s="388"/>
      <c r="K51" s="388">
        <f>COUNTIF(dec!L$134:L$137,$A51)</f>
        <v>1</v>
      </c>
      <c r="L51" s="388">
        <f>COUNTIF(dec!M$134:M$137,$A51)</f>
        <v>1</v>
      </c>
      <c r="M51" s="391">
        <f>COUNTIF(dec!N$134:N$137,$A51)</f>
        <v>0</v>
      </c>
    </row>
    <row r="52" spans="1:14">
      <c r="A52">
        <v>54</v>
      </c>
      <c r="B52" s="660" t="s">
        <v>4681</v>
      </c>
      <c r="C52" s="388"/>
      <c r="D52" s="388"/>
      <c r="E52" s="388">
        <f>COUNTIF(dec!E$134:E$137,$A52)</f>
        <v>0</v>
      </c>
      <c r="F52" s="388">
        <f>COUNTIF(dec!F$134:F$137,$A52)</f>
        <v>0</v>
      </c>
      <c r="G52" s="391">
        <f>COUNTIF(dec!G$134:G$137,$A52)</f>
        <v>0</v>
      </c>
      <c r="I52" s="660" t="s">
        <v>4681</v>
      </c>
      <c r="J52" s="388"/>
      <c r="K52" s="388">
        <f>COUNTIF(dec!L$134:L$137,$A52)</f>
        <v>0</v>
      </c>
      <c r="L52" s="388">
        <f>COUNTIF(dec!M$134:M$137,$A52)</f>
        <v>0</v>
      </c>
      <c r="M52" s="391">
        <f>COUNTIF(dec!N$134:N$137,$A52)</f>
        <v>0</v>
      </c>
    </row>
    <row r="53" spans="1:14">
      <c r="A53">
        <v>55</v>
      </c>
      <c r="B53" s="660" t="s">
        <v>4680</v>
      </c>
      <c r="C53" s="388"/>
      <c r="D53" s="388"/>
      <c r="E53" s="388">
        <f>COUNTIF(dec!E$134:E$137,$A53)</f>
        <v>0</v>
      </c>
      <c r="F53" s="388">
        <f>COUNTIF(dec!F$134:F$137,$A53)</f>
        <v>0</v>
      </c>
      <c r="G53" s="391">
        <f>COUNTIF(dec!G$134:G$137,$A53)</f>
        <v>0</v>
      </c>
      <c r="I53" s="660" t="s">
        <v>4680</v>
      </c>
      <c r="J53" s="388"/>
      <c r="K53" s="388">
        <f>COUNTIF(dec!L$134:L$137,$A53)</f>
        <v>0</v>
      </c>
      <c r="L53" s="388">
        <f>COUNTIF(dec!M$134:M$137,$A53)</f>
        <v>0</v>
      </c>
      <c r="M53" s="391">
        <f>COUNTIF(dec!N$134:N$137,$A53)</f>
        <v>0</v>
      </c>
    </row>
    <row r="54" spans="1:14" ht="10.5">
      <c r="B54" s="670"/>
      <c r="C54" s="388"/>
      <c r="D54" s="388"/>
      <c r="E54" s="388"/>
      <c r="F54" s="388"/>
      <c r="G54" s="391"/>
      <c r="I54" s="670"/>
      <c r="J54" s="388"/>
      <c r="K54" s="388"/>
      <c r="L54" s="388"/>
      <c r="M54" s="391"/>
    </row>
    <row r="55" spans="1:14" ht="10.5">
      <c r="B55" s="670" t="s">
        <v>4683</v>
      </c>
      <c r="C55" s="388"/>
      <c r="D55" s="388"/>
      <c r="E55" s="388"/>
      <c r="F55" s="388"/>
      <c r="G55" s="391"/>
      <c r="H55" t="s">
        <v>583</v>
      </c>
      <c r="I55" s="670" t="s">
        <v>4683</v>
      </c>
      <c r="J55" s="388"/>
      <c r="K55" s="388"/>
      <c r="L55" s="388"/>
      <c r="M55" s="391"/>
      <c r="N55" t="s">
        <v>583</v>
      </c>
    </row>
    <row r="56" spans="1:14">
      <c r="A56">
        <v>56</v>
      </c>
      <c r="B56" s="660" t="s">
        <v>4684</v>
      </c>
      <c r="C56" s="388"/>
      <c r="D56" s="388"/>
      <c r="E56" s="388">
        <f>COUNTIF(dec!E$134:E$137,$A56)</f>
        <v>0</v>
      </c>
      <c r="F56" s="388">
        <f>COUNTIF(dec!F$134:F$137,$A56)</f>
        <v>1</v>
      </c>
      <c r="G56" s="391">
        <f>COUNTIF(dec!G$134:G$137,$A56)</f>
        <v>0</v>
      </c>
      <c r="I56" s="660" t="s">
        <v>4684</v>
      </c>
      <c r="J56" s="388"/>
      <c r="K56" s="388">
        <f>COUNTIF(dec!L$134:L$137,$A56)</f>
        <v>1</v>
      </c>
      <c r="L56" s="388">
        <f>COUNTIF(dec!M$134:M$137,$A56)</f>
        <v>0</v>
      </c>
      <c r="M56" s="391">
        <f>COUNTIF(dec!N$134:N$137,$A56)</f>
        <v>0</v>
      </c>
    </row>
    <row r="57" spans="1:14">
      <c r="A57">
        <v>57</v>
      </c>
      <c r="B57" s="660" t="s">
        <v>4685</v>
      </c>
      <c r="C57" s="388"/>
      <c r="D57" s="388"/>
      <c r="E57" s="388">
        <f>COUNTIF(dec!E$134:E$137,$A57)</f>
        <v>0</v>
      </c>
      <c r="F57" s="388">
        <f>COUNTIF(dec!F$134:F$137,$A57)</f>
        <v>0</v>
      </c>
      <c r="G57" s="391">
        <f>COUNTIF(dec!G$134:G$137,$A57)</f>
        <v>1</v>
      </c>
      <c r="I57" s="660" t="s">
        <v>4685</v>
      </c>
      <c r="J57" s="388"/>
      <c r="K57" s="388">
        <f>COUNTIF(dec!L$134:L$137,$A57)</f>
        <v>0</v>
      </c>
      <c r="L57" s="388">
        <f>COUNTIF(dec!M$134:M$137,$A57)</f>
        <v>1</v>
      </c>
      <c r="M57" s="391">
        <f>COUNTIF(dec!N$134:N$137,$A57)</f>
        <v>0</v>
      </c>
    </row>
    <row r="58" spans="1:14">
      <c r="A58">
        <v>58</v>
      </c>
      <c r="B58" s="660" t="s">
        <v>4685</v>
      </c>
      <c r="C58" s="388"/>
      <c r="D58" s="388"/>
      <c r="E58" s="388">
        <f>COUNTIF(dec!E$134:E$137,$A58)</f>
        <v>0</v>
      </c>
      <c r="F58" s="388">
        <f>COUNTIF(dec!F$134:F$137,$A58)</f>
        <v>0</v>
      </c>
      <c r="G58" s="391">
        <f>COUNTIF(dec!G$134:G$137,$A58)</f>
        <v>0</v>
      </c>
      <c r="I58" s="660" t="s">
        <v>4685</v>
      </c>
      <c r="J58" s="388"/>
      <c r="K58" s="388">
        <f>COUNTIF(dec!L$134:L$137,$A58)</f>
        <v>0</v>
      </c>
      <c r="L58" s="388">
        <f>COUNTIF(dec!M$134:M$137,$A58)</f>
        <v>0</v>
      </c>
      <c r="M58" s="391">
        <f>COUNTIF(dec!N$134:N$137,$A58)</f>
        <v>0</v>
      </c>
    </row>
    <row r="59" spans="1:14" ht="10.5">
      <c r="B59" s="670"/>
      <c r="C59" s="388"/>
      <c r="D59" s="388"/>
      <c r="E59" s="388"/>
      <c r="F59" s="388"/>
      <c r="G59" s="391"/>
      <c r="I59" s="670"/>
      <c r="J59" s="388"/>
      <c r="K59" s="388"/>
      <c r="L59" s="388"/>
      <c r="M59" s="391"/>
    </row>
    <row r="60" spans="1:14" ht="10.5">
      <c r="B60" s="670"/>
      <c r="C60" s="388"/>
      <c r="D60" s="388"/>
      <c r="E60" s="388"/>
      <c r="F60" s="388"/>
      <c r="G60" s="391"/>
      <c r="I60" s="670"/>
      <c r="J60" s="388"/>
      <c r="K60" s="388"/>
      <c r="L60" s="388"/>
      <c r="M60" s="391"/>
    </row>
    <row r="61" spans="1:14" ht="10.5">
      <c r="B61" s="667" t="str">
        <f>nmLOB1</f>
        <v>Riverside</v>
      </c>
      <c r="C61" s="668"/>
      <c r="D61" s="668"/>
      <c r="E61" s="668"/>
      <c r="F61" s="668"/>
      <c r="G61" s="698"/>
      <c r="I61" s="667" t="str">
        <f>nmLOB1</f>
        <v>Riverside</v>
      </c>
      <c r="J61" s="668"/>
      <c r="K61" s="668"/>
      <c r="L61" s="668"/>
      <c r="M61" s="698"/>
    </row>
    <row r="62" spans="1:14" ht="10.5">
      <c r="B62" s="670"/>
      <c r="C62" s="388"/>
      <c r="D62" s="388"/>
      <c r="E62" s="388"/>
      <c r="F62" s="388"/>
      <c r="G62" s="391"/>
      <c r="I62" s="670"/>
      <c r="J62" s="388"/>
      <c r="K62" s="388"/>
      <c r="L62" s="388"/>
      <c r="M62" s="391"/>
    </row>
    <row r="63" spans="1:14" ht="10.5">
      <c r="B63" s="670" t="s">
        <v>347</v>
      </c>
      <c r="C63" s="388"/>
      <c r="D63" s="388"/>
      <c r="E63" s="388"/>
      <c r="F63" s="388"/>
      <c r="G63" s="391"/>
      <c r="I63" s="670" t="s">
        <v>347</v>
      </c>
      <c r="J63" s="388"/>
      <c r="K63" s="388"/>
      <c r="L63" s="388"/>
      <c r="M63" s="391"/>
    </row>
    <row r="64" spans="1:14">
      <c r="B64" s="660" t="s">
        <v>620</v>
      </c>
      <c r="C64" s="388"/>
      <c r="D64" s="388"/>
      <c r="E64" s="508">
        <f>finPNLLOB1Seg1Rev</f>
        <v>5006556</v>
      </c>
      <c r="F64" s="508">
        <f>finPNLLOB1Seg1Rev</f>
        <v>6863292</v>
      </c>
      <c r="G64" s="555">
        <f>finPNLLOB1Seg1Rev</f>
        <v>3680316</v>
      </c>
      <c r="H64" t="s">
        <v>4428</v>
      </c>
      <c r="I64" s="660" t="s">
        <v>620</v>
      </c>
      <c r="J64" s="388"/>
      <c r="K64" s="508">
        <f>finR2PNLLOB1Seg1Rev</f>
        <v>5106024</v>
      </c>
      <c r="L64" s="508">
        <f>finR2PNLLOB1Seg1Rev</f>
        <v>6863292</v>
      </c>
      <c r="M64" s="555">
        <f>finR2PNLLOB1Seg1Rev</f>
        <v>3680316</v>
      </c>
      <c r="N64" t="s">
        <v>7678</v>
      </c>
    </row>
    <row r="65" spans="1:14">
      <c r="B65" s="660" t="s">
        <v>621</v>
      </c>
      <c r="C65" s="388"/>
      <c r="D65" s="388"/>
      <c r="E65" s="508">
        <f>finPNLLOB1Seg2Rev</f>
        <v>779610</v>
      </c>
      <c r="F65" s="508">
        <f>finPNLLOB1Seg2Rev</f>
        <v>1049475</v>
      </c>
      <c r="G65" s="555">
        <f>finPNLLOB1Seg2Rev</f>
        <v>569715</v>
      </c>
      <c r="H65" t="s">
        <v>4429</v>
      </c>
      <c r="I65" s="660" t="s">
        <v>621</v>
      </c>
      <c r="J65" s="388"/>
      <c r="K65" s="508">
        <f>finR2PNLLOB1Seg2Rev</f>
        <v>779610</v>
      </c>
      <c r="L65" s="508">
        <f>finR2PNLLOB1Seg2Rev</f>
        <v>1049475</v>
      </c>
      <c r="M65" s="555">
        <f>finR2PNLLOB1Seg2Rev</f>
        <v>569715</v>
      </c>
      <c r="N65" t="s">
        <v>7680</v>
      </c>
    </row>
    <row r="66" spans="1:14">
      <c r="B66" s="683" t="s">
        <v>592</v>
      </c>
      <c r="C66" s="393"/>
      <c r="D66" s="393"/>
      <c r="E66" s="682">
        <f>finPNLLOB1Seg3Rev</f>
        <v>1547280</v>
      </c>
      <c r="F66" s="682">
        <f>finPNLLOB1Seg3Rev</f>
        <v>2118300</v>
      </c>
      <c r="G66" s="700">
        <f>finPNLLOB1Seg3Rev</f>
        <v>1142040</v>
      </c>
      <c r="H66" t="s">
        <v>4430</v>
      </c>
      <c r="I66" s="683" t="s">
        <v>592</v>
      </c>
      <c r="J66" s="393"/>
      <c r="K66" s="682">
        <f>finR2PNLLOB1Seg3Rev</f>
        <v>1565700</v>
      </c>
      <c r="L66" s="682">
        <f>finR2PNLLOB1Seg3Rev</f>
        <v>2118300</v>
      </c>
      <c r="M66" s="700">
        <f>finR2PNLLOB1Seg3Rev</f>
        <v>1142040</v>
      </c>
      <c r="N66" t="s">
        <v>7682</v>
      </c>
    </row>
    <row r="67" spans="1:14">
      <c r="B67" s="660" t="s">
        <v>406</v>
      </c>
      <c r="C67" s="388"/>
      <c r="D67" s="388"/>
      <c r="E67" s="508">
        <f>finPNLLOB1Rev</f>
        <v>7333446</v>
      </c>
      <c r="F67" s="508">
        <f>finPNLLOB1Rev</f>
        <v>10031067</v>
      </c>
      <c r="G67" s="555">
        <f>finPNLLOB1Rev</f>
        <v>5392071</v>
      </c>
      <c r="H67" t="s">
        <v>2776</v>
      </c>
      <c r="I67" s="660" t="s">
        <v>406</v>
      </c>
      <c r="J67" s="388"/>
      <c r="K67" s="508">
        <f>finR2PNLLOB1Rev</f>
        <v>7451334</v>
      </c>
      <c r="L67" s="508">
        <f>finR2PNLLOB1Rev</f>
        <v>10031067</v>
      </c>
      <c r="M67" s="555">
        <f>finR2PNLLOB1Rev</f>
        <v>5392071</v>
      </c>
      <c r="N67" t="s">
        <v>7684</v>
      </c>
    </row>
    <row r="68" spans="1:14">
      <c r="B68" s="683" t="s">
        <v>407</v>
      </c>
      <c r="C68" s="393"/>
      <c r="D68" s="393"/>
      <c r="E68" s="682">
        <f>finPNLLOB1ServiceCost</f>
        <v>3681123.1135499999</v>
      </c>
      <c r="F68" s="682">
        <f>finPNLLOB1ServiceCost</f>
        <v>6272740.7542617014</v>
      </c>
      <c r="G68" s="700">
        <f>finPNLLOB1ServiceCost</f>
        <v>3681316.1880128887</v>
      </c>
      <c r="H68" t="s">
        <v>2782</v>
      </c>
      <c r="I68" s="683" t="s">
        <v>407</v>
      </c>
      <c r="J68" s="393"/>
      <c r="K68" s="682">
        <f>finR2PNLLOB1ServiceCost</f>
        <v>3197474.164277419</v>
      </c>
      <c r="L68" s="682">
        <f>finR2PNLLOB1ServiceCost</f>
        <v>6141076.9487128332</v>
      </c>
      <c r="M68" s="700">
        <f>finR2PNLLOB1ServiceCost</f>
        <v>3460610.970368728</v>
      </c>
      <c r="N68" t="s">
        <v>7686</v>
      </c>
    </row>
    <row r="69" spans="1:14">
      <c r="B69" s="660" t="s">
        <v>341</v>
      </c>
      <c r="C69" s="388"/>
      <c r="D69" s="388"/>
      <c r="E69" s="677">
        <f>finPNLLOB1GrossMargin</f>
        <v>0.49803637832064218</v>
      </c>
      <c r="F69" s="677">
        <f>finPNLLOB1GrossMargin</f>
        <v>0.37466864150526547</v>
      </c>
      <c r="G69" s="680">
        <f>finPNLLOB1GrossMargin</f>
        <v>0.31727230817010965</v>
      </c>
      <c r="H69" t="s">
        <v>4709</v>
      </c>
      <c r="I69" s="660" t="s">
        <v>341</v>
      </c>
      <c r="J69" s="388"/>
      <c r="K69" s="677">
        <f>finR2PNLLOB1GrossMargin</f>
        <v>0.5708856743936831</v>
      </c>
      <c r="L69" s="677">
        <f>finR2PNLLOB1GrossMargin</f>
        <v>0.38779424474855634</v>
      </c>
      <c r="M69" s="680">
        <f>finR2PNLLOB1GrossMargin</f>
        <v>0.35820374576508207</v>
      </c>
      <c r="N69" t="s">
        <v>7688</v>
      </c>
    </row>
    <row r="70" spans="1:14">
      <c r="B70" s="660" t="s">
        <v>4713</v>
      </c>
      <c r="C70" s="388"/>
      <c r="D70" s="388"/>
      <c r="E70" s="508"/>
      <c r="F70" s="508"/>
      <c r="G70" s="555"/>
      <c r="I70" s="660" t="s">
        <v>4713</v>
      </c>
      <c r="J70" s="388"/>
      <c r="K70" s="508"/>
      <c r="L70" s="508"/>
      <c r="M70" s="555"/>
    </row>
    <row r="71" spans="1:14">
      <c r="B71" s="660" t="s">
        <v>4714</v>
      </c>
      <c r="C71" s="388"/>
      <c r="D71" s="388"/>
      <c r="E71" s="508">
        <f>finPNLLOB1EmpOverhead</f>
        <v>2516000</v>
      </c>
      <c r="F71" s="508">
        <f>finPNLLOB1EmpOverhead</f>
        <v>2785000</v>
      </c>
      <c r="G71" s="555">
        <f>finPNLLOB1EmpOverhead</f>
        <v>1960000</v>
      </c>
      <c r="H71" t="s">
        <v>2783</v>
      </c>
      <c r="I71" s="660" t="s">
        <v>4714</v>
      </c>
      <c r="J71" s="388"/>
      <c r="K71" s="508">
        <f>finR2PNLLOB1EmpOverhead</f>
        <v>2516000</v>
      </c>
      <c r="L71" s="508">
        <f>finR2PNLLOB1EmpOverhead</f>
        <v>2785000</v>
      </c>
      <c r="M71" s="555">
        <f>finR2PNLLOB1EmpOverhead</f>
        <v>1960000</v>
      </c>
      <c r="N71" t="s">
        <v>7690</v>
      </c>
    </row>
    <row r="72" spans="1:14">
      <c r="B72" s="683" t="s">
        <v>4715</v>
      </c>
      <c r="C72" s="393"/>
      <c r="D72" s="393"/>
      <c r="E72" s="682">
        <f>finPNLLOB1ServiceCost+finPNLLOB1EmpOverhead</f>
        <v>6197123.1135499999</v>
      </c>
      <c r="F72" s="682">
        <f>finPNLLOB1ServiceCost+finPNLLOB1EmpOverhead</f>
        <v>9057740.7542617023</v>
      </c>
      <c r="G72" s="700">
        <f>finPNLLOB1ServiceCost+finPNLLOB1EmpOverhead</f>
        <v>5641316.1880128887</v>
      </c>
      <c r="H72" t="s">
        <v>2777</v>
      </c>
      <c r="I72" s="683" t="s">
        <v>4715</v>
      </c>
      <c r="J72" s="393"/>
      <c r="K72" s="682">
        <f>finR2PNLLOB1ServiceCost+finR2PNLLOB1EmpOverhead</f>
        <v>5713474.1642774194</v>
      </c>
      <c r="L72" s="682">
        <f>finR2PNLLOB1ServiceCost+finR2PNLLOB1EmpOverhead</f>
        <v>8926076.9487128332</v>
      </c>
      <c r="M72" s="700">
        <f>finR2PNLLOB1ServiceCost+finR2PNLLOB1EmpOverhead</f>
        <v>5420610.970368728</v>
      </c>
      <c r="N72" t="s">
        <v>7692</v>
      </c>
    </row>
    <row r="73" spans="1:14">
      <c r="B73" s="660" t="s">
        <v>487</v>
      </c>
      <c r="C73" s="388"/>
      <c r="D73" s="388"/>
      <c r="E73" s="508">
        <f>finPNLLOB1OpProfit</f>
        <v>1136322.8864500001</v>
      </c>
      <c r="F73" s="508">
        <f>finPNLLOB1OpProfit</f>
        <v>973326.24573829863</v>
      </c>
      <c r="G73" s="555">
        <f>finPNLLOB1OpProfit</f>
        <v>-249245.18801288866</v>
      </c>
      <c r="H73" t="s">
        <v>2784</v>
      </c>
      <c r="I73" s="660" t="s">
        <v>487</v>
      </c>
      <c r="J73" s="388"/>
      <c r="K73" s="508">
        <f>finR2PNLLOB1OpProfit</f>
        <v>1737859.8357225806</v>
      </c>
      <c r="L73" s="508">
        <f>finR2PNLLOB1OpProfit</f>
        <v>1104990.0512871668</v>
      </c>
      <c r="M73" s="555">
        <f>finR2PNLLOB1OpProfit</f>
        <v>-28539.970368728042</v>
      </c>
      <c r="N73" t="s">
        <v>7694</v>
      </c>
    </row>
    <row r="74" spans="1:14">
      <c r="B74" s="660" t="s">
        <v>4716</v>
      </c>
      <c r="C74" s="388"/>
      <c r="D74" s="388"/>
      <c r="E74" s="677">
        <f>finPNLLOB1OpMargin</f>
        <v>0.15495074027271763</v>
      </c>
      <c r="F74" s="677">
        <f>finPNLLOB1OpMargin</f>
        <v>9.7031177813715994E-2</v>
      </c>
      <c r="G74" s="680">
        <f>finPNLLOB1OpMargin</f>
        <v>-4.6224389110026305E-2</v>
      </c>
      <c r="H74" t="s">
        <v>2778</v>
      </c>
      <c r="I74" s="660" t="s">
        <v>4716</v>
      </c>
      <c r="J74" s="388"/>
      <c r="K74" s="677">
        <f>finR2PNLLOB1OpMargin</f>
        <v>0.23322801470482743</v>
      </c>
      <c r="L74" s="677">
        <f>finR2PNLLOB1OpMargin</f>
        <v>0.11015678105700688</v>
      </c>
      <c r="M74" s="680">
        <f>finR2PNLLOB1OpMargin</f>
        <v>-5.2929515150538708E-3</v>
      </c>
      <c r="N74" t="s">
        <v>7696</v>
      </c>
    </row>
    <row r="75" spans="1:14" ht="10.5">
      <c r="B75" s="670"/>
      <c r="C75" s="388"/>
      <c r="D75" s="388"/>
      <c r="E75" s="388"/>
      <c r="F75" s="388"/>
      <c r="G75" s="391"/>
      <c r="I75" s="670"/>
      <c r="J75" s="388"/>
      <c r="K75" s="388"/>
      <c r="L75" s="388"/>
      <c r="M75" s="391"/>
    </row>
    <row r="76" spans="1:14" ht="10.5">
      <c r="B76" s="670" t="s">
        <v>2980</v>
      </c>
      <c r="C76" s="388"/>
      <c r="D76" s="388"/>
      <c r="E76" s="388"/>
      <c r="F76" s="388"/>
      <c r="G76" s="391"/>
      <c r="I76" s="670" t="s">
        <v>2980</v>
      </c>
      <c r="J76" s="388"/>
      <c r="K76" s="388"/>
      <c r="L76" s="388"/>
      <c r="M76" s="391"/>
    </row>
    <row r="77" spans="1:14">
      <c r="A77">
        <v>1</v>
      </c>
      <c r="B77" s="389" t="s">
        <v>701</v>
      </c>
      <c r="C77" s="388"/>
      <c r="D77" s="388"/>
      <c r="E77" s="388">
        <f>COUNTIF(dec!E$13:E$16,$A77)</f>
        <v>0</v>
      </c>
      <c r="F77" s="388">
        <f>COUNTIF(dec!F$13:F$16,$A77)</f>
        <v>0</v>
      </c>
      <c r="G77" s="391">
        <f>COUNTIF(dec!G$13:G$16,$A77)</f>
        <v>0</v>
      </c>
      <c r="H77" t="s">
        <v>744</v>
      </c>
      <c r="I77" s="389" t="s">
        <v>701</v>
      </c>
      <c r="J77" s="388"/>
      <c r="K77" s="388">
        <f>COUNTIF(dec!L$13:L$16,$A77)</f>
        <v>0</v>
      </c>
      <c r="L77" s="388">
        <f>COUNTIF(dec!M$13:M$16,$A77)</f>
        <v>0</v>
      </c>
      <c r="M77" s="391">
        <f>COUNTIF(dec!N$13:N$16,$A77)</f>
        <v>0</v>
      </c>
      <c r="N77" t="s">
        <v>745</v>
      </c>
    </row>
    <row r="78" spans="1:14">
      <c r="A78">
        <v>2</v>
      </c>
      <c r="B78" s="389" t="s">
        <v>3990</v>
      </c>
      <c r="C78" s="388"/>
      <c r="D78" s="388"/>
      <c r="E78" s="388">
        <f>COUNTIF(dec!E$13:E$16,$A78)</f>
        <v>0</v>
      </c>
      <c r="F78" s="388">
        <f>COUNTIF(dec!F$13:F$16,$A78)</f>
        <v>0</v>
      </c>
      <c r="G78" s="391">
        <f>COUNTIF(dec!G$13:G$16,$A78)</f>
        <v>0</v>
      </c>
      <c r="H78" t="s">
        <v>746</v>
      </c>
      <c r="I78" s="389" t="s">
        <v>3990</v>
      </c>
      <c r="J78" s="388"/>
      <c r="K78" s="388">
        <f>COUNTIF(dec!L$13:L$16,$A78)</f>
        <v>0</v>
      </c>
      <c r="L78" s="388">
        <f>COUNTIF(dec!M$13:M$16,$A78)</f>
        <v>0</v>
      </c>
      <c r="M78" s="391">
        <f>COUNTIF(dec!N$13:N$16,$A78)</f>
        <v>0</v>
      </c>
      <c r="N78" t="s">
        <v>747</v>
      </c>
    </row>
    <row r="79" spans="1:14">
      <c r="A79">
        <v>3</v>
      </c>
      <c r="B79" s="389" t="s">
        <v>2931</v>
      </c>
      <c r="C79" s="388"/>
      <c r="D79" s="388"/>
      <c r="E79" s="388">
        <f>COUNTIF(dec!E$13:E$16,$A79)</f>
        <v>0</v>
      </c>
      <c r="F79" s="388">
        <f>COUNTIF(dec!F$13:F$16,$A79)</f>
        <v>0</v>
      </c>
      <c r="G79" s="391">
        <f>COUNTIF(dec!G$13:G$16,$A79)</f>
        <v>0</v>
      </c>
      <c r="H79" t="s">
        <v>748</v>
      </c>
      <c r="I79" s="389" t="s">
        <v>2931</v>
      </c>
      <c r="J79" s="388"/>
      <c r="K79" s="388">
        <f>COUNTIF(dec!L$13:L$16,$A79)</f>
        <v>0</v>
      </c>
      <c r="L79" s="388">
        <f>COUNTIF(dec!M$13:M$16,$A79)</f>
        <v>0</v>
      </c>
      <c r="M79" s="391">
        <f>COUNTIF(dec!N$13:N$16,$A79)</f>
        <v>0</v>
      </c>
      <c r="N79" t="s">
        <v>749</v>
      </c>
    </row>
    <row r="80" spans="1:14">
      <c r="A80">
        <v>4</v>
      </c>
      <c r="B80" s="389" t="s">
        <v>2932</v>
      </c>
      <c r="C80" s="388"/>
      <c r="D80" s="388"/>
      <c r="E80" s="388">
        <f>COUNTIF(dec!E$13:E$16,$A80)</f>
        <v>0</v>
      </c>
      <c r="F80" s="388">
        <f>COUNTIF(dec!F$13:F$16,$A80)</f>
        <v>0</v>
      </c>
      <c r="G80" s="391">
        <f>COUNTIF(dec!G$13:G$16,$A80)</f>
        <v>0</v>
      </c>
      <c r="H80" t="s">
        <v>750</v>
      </c>
      <c r="I80" s="389" t="s">
        <v>2932</v>
      </c>
      <c r="J80" s="388"/>
      <c r="K80" s="388">
        <f>COUNTIF(dec!L$13:L$16,$A80)</f>
        <v>0</v>
      </c>
      <c r="L80" s="388">
        <f>COUNTIF(dec!M$13:M$16,$A80)</f>
        <v>0</v>
      </c>
      <c r="M80" s="391">
        <f>COUNTIF(dec!N$13:N$16,$A80)</f>
        <v>0</v>
      </c>
      <c r="N80" t="s">
        <v>751</v>
      </c>
    </row>
    <row r="81" spans="1:13">
      <c r="A81">
        <v>5</v>
      </c>
      <c r="B81" s="389" t="s">
        <v>2933</v>
      </c>
      <c r="C81" s="388"/>
      <c r="D81" s="388"/>
      <c r="E81" s="388">
        <f>COUNTIF(dec!E$13:E$16,$A81)</f>
        <v>0</v>
      </c>
      <c r="F81" s="388">
        <f>COUNTIF(dec!F$13:F$16,$A81)</f>
        <v>0</v>
      </c>
      <c r="G81" s="391">
        <f>COUNTIF(dec!G$13:G$16,$A81)</f>
        <v>0</v>
      </c>
      <c r="I81" s="389" t="s">
        <v>2933</v>
      </c>
      <c r="J81" s="388"/>
      <c r="K81" s="388">
        <f>COUNTIF(dec!L$13:L$16,$A81)</f>
        <v>0</v>
      </c>
      <c r="L81" s="388">
        <f>COUNTIF(dec!M$13:M$16,$A81)</f>
        <v>0</v>
      </c>
      <c r="M81" s="391">
        <f>COUNTIF(dec!N$13:N$16,$A81)</f>
        <v>0</v>
      </c>
    </row>
    <row r="82" spans="1:13">
      <c r="A82">
        <v>6</v>
      </c>
      <c r="B82" s="389" t="s">
        <v>2934</v>
      </c>
      <c r="C82" s="388"/>
      <c r="D82" s="388"/>
      <c r="E82" s="388">
        <f>COUNTIF(dec!E$13:E$16,$A82)</f>
        <v>0</v>
      </c>
      <c r="F82" s="388">
        <f>COUNTIF(dec!F$13:F$16,$A82)</f>
        <v>0</v>
      </c>
      <c r="G82" s="391">
        <f>COUNTIF(dec!G$13:G$16,$A82)</f>
        <v>0</v>
      </c>
      <c r="I82" s="389" t="s">
        <v>2934</v>
      </c>
      <c r="J82" s="388"/>
      <c r="K82" s="388">
        <f>COUNTIF(dec!L$13:L$16,$A82)</f>
        <v>0</v>
      </c>
      <c r="L82" s="388">
        <f>COUNTIF(dec!M$13:M$16,$A82)</f>
        <v>0</v>
      </c>
      <c r="M82" s="391">
        <f>COUNTIF(dec!N$13:N$16,$A82)</f>
        <v>0</v>
      </c>
    </row>
    <row r="83" spans="1:13">
      <c r="A83">
        <v>7</v>
      </c>
      <c r="B83" s="389" t="s">
        <v>3991</v>
      </c>
      <c r="C83" s="388"/>
      <c r="D83" s="388"/>
      <c r="E83" s="388">
        <f>COUNTIF(dec!E$13:E$16,$A83)</f>
        <v>0</v>
      </c>
      <c r="F83" s="388">
        <f>COUNTIF(dec!F$13:F$16,$A83)</f>
        <v>0</v>
      </c>
      <c r="G83" s="391">
        <f>COUNTIF(dec!G$13:G$16,$A83)</f>
        <v>0</v>
      </c>
      <c r="I83" s="389" t="s">
        <v>3991</v>
      </c>
      <c r="J83" s="388"/>
      <c r="K83" s="388">
        <f>COUNTIF(dec!L$13:L$16,$A83)</f>
        <v>0</v>
      </c>
      <c r="L83" s="388">
        <f>COUNTIF(dec!M$13:M$16,$A83)</f>
        <v>0</v>
      </c>
      <c r="M83" s="391">
        <f>COUNTIF(dec!N$13:N$16,$A83)</f>
        <v>0</v>
      </c>
    </row>
    <row r="84" spans="1:13">
      <c r="A84">
        <v>8</v>
      </c>
      <c r="B84" s="389" t="s">
        <v>702</v>
      </c>
      <c r="C84" s="388"/>
      <c r="D84" s="388"/>
      <c r="E84" s="388">
        <f>COUNTIF(dec!E$13:E$16,$A84)</f>
        <v>0</v>
      </c>
      <c r="F84" s="388">
        <f>COUNTIF(dec!F$13:F$16,$A84)</f>
        <v>0</v>
      </c>
      <c r="G84" s="391">
        <f>COUNTIF(dec!G$13:G$16,$A84)</f>
        <v>0</v>
      </c>
      <c r="I84" s="389" t="s">
        <v>702</v>
      </c>
      <c r="J84" s="388"/>
      <c r="K84" s="388">
        <f>COUNTIF(dec!L$13:L$16,$A84)</f>
        <v>0</v>
      </c>
      <c r="L84" s="388">
        <f>COUNTIF(dec!M$13:M$16,$A84)</f>
        <v>0</v>
      </c>
      <c r="M84" s="391">
        <f>COUNTIF(dec!N$13:N$16,$A84)</f>
        <v>0</v>
      </c>
    </row>
    <row r="85" spans="1:13">
      <c r="A85">
        <v>9</v>
      </c>
      <c r="B85" s="389" t="s">
        <v>4585</v>
      </c>
      <c r="C85" s="388"/>
      <c r="D85" s="388"/>
      <c r="E85" s="388">
        <f>COUNTIF(dec!E$13:E$16,$A85)</f>
        <v>0</v>
      </c>
      <c r="F85" s="388">
        <f>COUNTIF(dec!F$13:F$16,$A85)</f>
        <v>0</v>
      </c>
      <c r="G85" s="391">
        <f>COUNTIF(dec!G$13:G$16,$A85)</f>
        <v>0</v>
      </c>
      <c r="I85" s="389" t="s">
        <v>4585</v>
      </c>
      <c r="J85" s="388"/>
      <c r="K85" s="388">
        <f>COUNTIF(dec!L$13:L$16,$A85)</f>
        <v>0</v>
      </c>
      <c r="L85" s="388">
        <f>COUNTIF(dec!M$13:M$16,$A85)</f>
        <v>0</v>
      </c>
      <c r="M85" s="391">
        <f>COUNTIF(dec!N$13:N$16,$A85)</f>
        <v>0</v>
      </c>
    </row>
    <row r="86" spans="1:13">
      <c r="A86">
        <v>10</v>
      </c>
      <c r="B86" s="389" t="s">
        <v>703</v>
      </c>
      <c r="C86" s="388"/>
      <c r="D86" s="388"/>
      <c r="E86" s="388">
        <f>COUNTIF(dec!E$13:E$16,$A86)</f>
        <v>0</v>
      </c>
      <c r="F86" s="388">
        <f>COUNTIF(dec!F$13:F$16,$A86)</f>
        <v>0</v>
      </c>
      <c r="G86" s="391">
        <f>COUNTIF(dec!G$13:G$16,$A86)</f>
        <v>0</v>
      </c>
      <c r="I86" s="389" t="s">
        <v>703</v>
      </c>
      <c r="J86" s="388"/>
      <c r="K86" s="388">
        <f>COUNTIF(dec!L$13:L$16,$A86)</f>
        <v>0</v>
      </c>
      <c r="L86" s="388">
        <f>COUNTIF(dec!M$13:M$16,$A86)</f>
        <v>0</v>
      </c>
      <c r="M86" s="391">
        <f>COUNTIF(dec!N$13:N$16,$A86)</f>
        <v>0</v>
      </c>
    </row>
    <row r="87" spans="1:13">
      <c r="A87">
        <v>11</v>
      </c>
      <c r="B87" s="389" t="s">
        <v>2935</v>
      </c>
      <c r="C87" s="388"/>
      <c r="D87" s="388"/>
      <c r="E87" s="388">
        <f>COUNTIF(dec!E$13:E$16,$A87)</f>
        <v>0</v>
      </c>
      <c r="F87" s="388">
        <f>COUNTIF(dec!F$13:F$16,$A87)</f>
        <v>0</v>
      </c>
      <c r="G87" s="391">
        <f>COUNTIF(dec!G$13:G$16,$A87)</f>
        <v>0</v>
      </c>
      <c r="I87" s="389" t="s">
        <v>2935</v>
      </c>
      <c r="J87" s="388"/>
      <c r="K87" s="388">
        <f>COUNTIF(dec!L$13:L$16,$A87)</f>
        <v>0</v>
      </c>
      <c r="L87" s="388">
        <f>COUNTIF(dec!M$13:M$16,$A87)</f>
        <v>0</v>
      </c>
      <c r="M87" s="391">
        <f>COUNTIF(dec!N$13:N$16,$A87)</f>
        <v>0</v>
      </c>
    </row>
    <row r="88" spans="1:13">
      <c r="A88">
        <v>12</v>
      </c>
      <c r="B88" s="389" t="s">
        <v>2936</v>
      </c>
      <c r="C88" s="388"/>
      <c r="D88" s="388"/>
      <c r="E88" s="388">
        <f>COUNTIF(dec!E$13:E$16,$A88)</f>
        <v>0</v>
      </c>
      <c r="F88" s="388">
        <f>COUNTIF(dec!F$13:F$16,$A88)</f>
        <v>0</v>
      </c>
      <c r="G88" s="391">
        <f>COUNTIF(dec!G$13:G$16,$A88)</f>
        <v>0</v>
      </c>
      <c r="I88" s="389" t="s">
        <v>2936</v>
      </c>
      <c r="J88" s="388"/>
      <c r="K88" s="388">
        <f>COUNTIF(dec!L$13:L$16,$A88)</f>
        <v>0</v>
      </c>
      <c r="L88" s="388">
        <f>COUNTIF(dec!M$13:M$16,$A88)</f>
        <v>0</v>
      </c>
      <c r="M88" s="391">
        <f>COUNTIF(dec!N$13:N$16,$A88)</f>
        <v>0</v>
      </c>
    </row>
    <row r="89" spans="1:13">
      <c r="A89">
        <v>13</v>
      </c>
      <c r="B89" s="389" t="s">
        <v>2937</v>
      </c>
      <c r="C89" s="388"/>
      <c r="D89" s="388"/>
      <c r="E89" s="388">
        <f>COUNTIF(dec!E$13:E$16,$A89)</f>
        <v>0</v>
      </c>
      <c r="F89" s="388">
        <f>COUNTIF(dec!F$13:F$16,$A89)</f>
        <v>0</v>
      </c>
      <c r="G89" s="391">
        <f>COUNTIF(dec!G$13:G$16,$A89)</f>
        <v>0</v>
      </c>
      <c r="I89" s="389" t="s">
        <v>2937</v>
      </c>
      <c r="J89" s="388"/>
      <c r="K89" s="388">
        <f>COUNTIF(dec!L$13:L$16,$A89)</f>
        <v>0</v>
      </c>
      <c r="L89" s="388">
        <f>COUNTIF(dec!M$13:M$16,$A89)</f>
        <v>0</v>
      </c>
      <c r="M89" s="391">
        <f>COUNTIF(dec!N$13:N$16,$A89)</f>
        <v>0</v>
      </c>
    </row>
    <row r="90" spans="1:13">
      <c r="A90">
        <v>14</v>
      </c>
      <c r="B90" s="389" t="s">
        <v>2938</v>
      </c>
      <c r="C90" s="388"/>
      <c r="D90" s="388"/>
      <c r="E90" s="388">
        <f>COUNTIF(dec!E$13:E$16,$A90)</f>
        <v>0</v>
      </c>
      <c r="F90" s="388">
        <f>COUNTIF(dec!F$13:F$16,$A90)</f>
        <v>0</v>
      </c>
      <c r="G90" s="391">
        <f>COUNTIF(dec!G$13:G$16,$A90)</f>
        <v>0</v>
      </c>
      <c r="I90" s="389" t="s">
        <v>2938</v>
      </c>
      <c r="J90" s="388"/>
      <c r="K90" s="388">
        <f>COUNTIF(dec!L$13:L$16,$A90)</f>
        <v>0</v>
      </c>
      <c r="L90" s="388">
        <f>COUNTIF(dec!M$13:M$16,$A90)</f>
        <v>0</v>
      </c>
      <c r="M90" s="391">
        <f>COUNTIF(dec!N$13:N$16,$A90)</f>
        <v>0</v>
      </c>
    </row>
    <row r="91" spans="1:13">
      <c r="A91">
        <v>15</v>
      </c>
      <c r="B91" s="389" t="s">
        <v>2939</v>
      </c>
      <c r="C91" s="388"/>
      <c r="D91" s="388"/>
      <c r="E91" s="388">
        <f>COUNTIF(dec!E$13:E$16,$A91)</f>
        <v>0</v>
      </c>
      <c r="F91" s="388">
        <f>COUNTIF(dec!F$13:F$16,$A91)</f>
        <v>0</v>
      </c>
      <c r="G91" s="391">
        <f>COUNTIF(dec!G$13:G$16,$A91)</f>
        <v>0</v>
      </c>
      <c r="I91" s="389" t="s">
        <v>2939</v>
      </c>
      <c r="J91" s="388"/>
      <c r="K91" s="388">
        <f>COUNTIF(dec!L$13:L$16,$A91)</f>
        <v>0</v>
      </c>
      <c r="L91" s="388">
        <f>COUNTIF(dec!M$13:M$16,$A91)</f>
        <v>0</v>
      </c>
      <c r="M91" s="391">
        <f>COUNTIF(dec!N$13:N$16,$A91)</f>
        <v>0</v>
      </c>
    </row>
    <row r="92" spans="1:13">
      <c r="A92">
        <v>16</v>
      </c>
      <c r="B92" s="389" t="s">
        <v>708</v>
      </c>
      <c r="C92" s="388"/>
      <c r="D92" s="388"/>
      <c r="E92" s="388">
        <f>COUNTIF(dec!E$13:E$16,$A92)</f>
        <v>0</v>
      </c>
      <c r="F92" s="388">
        <f>COUNTIF(dec!F$13:F$16,$A92)</f>
        <v>0</v>
      </c>
      <c r="G92" s="391">
        <f>COUNTIF(dec!G$13:G$16,$A92)</f>
        <v>0</v>
      </c>
      <c r="I92" s="389" t="s">
        <v>708</v>
      </c>
      <c r="J92" s="388"/>
      <c r="K92" s="388">
        <f>COUNTIF(dec!L$13:L$16,$A92)</f>
        <v>0</v>
      </c>
      <c r="L92" s="388">
        <f>COUNTIF(dec!M$13:M$16,$A92)</f>
        <v>0</v>
      </c>
      <c r="M92" s="391">
        <f>COUNTIF(dec!N$13:N$16,$A92)</f>
        <v>0</v>
      </c>
    </row>
    <row r="93" spans="1:13">
      <c r="A93">
        <v>17</v>
      </c>
      <c r="B93" s="389" t="s">
        <v>2940</v>
      </c>
      <c r="C93" s="388"/>
      <c r="D93" s="388"/>
      <c r="E93" s="388">
        <f>COUNTIF(dec!E$13:E$16,$A93)</f>
        <v>0</v>
      </c>
      <c r="F93" s="388">
        <f>COUNTIF(dec!F$13:F$16,$A93)</f>
        <v>0</v>
      </c>
      <c r="G93" s="391">
        <f>COUNTIF(dec!G$13:G$16,$A93)</f>
        <v>0</v>
      </c>
      <c r="I93" s="389" t="s">
        <v>2940</v>
      </c>
      <c r="J93" s="388"/>
      <c r="K93" s="388">
        <f>COUNTIF(dec!L$13:L$16,$A93)</f>
        <v>0</v>
      </c>
      <c r="L93" s="388">
        <f>COUNTIF(dec!M$13:M$16,$A93)</f>
        <v>0</v>
      </c>
      <c r="M93" s="391">
        <f>COUNTIF(dec!N$13:N$16,$A93)</f>
        <v>0</v>
      </c>
    </row>
    <row r="94" spans="1:13">
      <c r="A94">
        <v>18</v>
      </c>
      <c r="B94" s="389" t="s">
        <v>2941</v>
      </c>
      <c r="C94" s="388"/>
      <c r="D94" s="388"/>
      <c r="E94" s="388">
        <f>COUNTIF(dec!E$13:E$16,$A94)</f>
        <v>0</v>
      </c>
      <c r="F94" s="388">
        <f>COUNTIF(dec!F$13:F$16,$A94)</f>
        <v>0</v>
      </c>
      <c r="G94" s="391">
        <f>COUNTIF(dec!G$13:G$16,$A94)</f>
        <v>0</v>
      </c>
      <c r="I94" s="389" t="s">
        <v>2941</v>
      </c>
      <c r="J94" s="388"/>
      <c r="K94" s="388">
        <f>COUNTIF(dec!L$13:L$16,$A94)</f>
        <v>0</v>
      </c>
      <c r="L94" s="388">
        <f>COUNTIF(dec!M$13:M$16,$A94)</f>
        <v>0</v>
      </c>
      <c r="M94" s="391">
        <f>COUNTIF(dec!N$13:N$16,$A94)</f>
        <v>0</v>
      </c>
    </row>
    <row r="95" spans="1:13">
      <c r="A95">
        <v>19</v>
      </c>
      <c r="B95" s="389" t="s">
        <v>2942</v>
      </c>
      <c r="C95" s="388"/>
      <c r="D95" s="388"/>
      <c r="E95" s="388">
        <f>COUNTIF(dec!E$13:E$16,$A95)</f>
        <v>0</v>
      </c>
      <c r="F95" s="388">
        <f>COUNTIF(dec!F$13:F$16,$A95)</f>
        <v>0</v>
      </c>
      <c r="G95" s="391">
        <f>COUNTIF(dec!G$13:G$16,$A95)</f>
        <v>0</v>
      </c>
      <c r="I95" s="389" t="s">
        <v>2942</v>
      </c>
      <c r="J95" s="388"/>
      <c r="K95" s="388">
        <f>COUNTIF(dec!L$13:L$16,$A95)</f>
        <v>0</v>
      </c>
      <c r="L95" s="388">
        <f>COUNTIF(dec!M$13:M$16,$A95)</f>
        <v>0</v>
      </c>
      <c r="M95" s="391">
        <f>COUNTIF(dec!N$13:N$16,$A95)</f>
        <v>0</v>
      </c>
    </row>
    <row r="96" spans="1:13">
      <c r="A96">
        <v>20</v>
      </c>
      <c r="B96" s="389" t="s">
        <v>4372</v>
      </c>
      <c r="C96" s="388"/>
      <c r="D96" s="388"/>
      <c r="E96" s="388">
        <f>COUNTIF(dec!E$13:E$16,$A96)</f>
        <v>0</v>
      </c>
      <c r="F96" s="388">
        <f>COUNTIF(dec!F$13:F$16,$A96)</f>
        <v>0</v>
      </c>
      <c r="G96" s="391">
        <f>COUNTIF(dec!G$13:G$16,$A96)</f>
        <v>0</v>
      </c>
      <c r="I96" s="389" t="s">
        <v>4372</v>
      </c>
      <c r="J96" s="388"/>
      <c r="K96" s="388">
        <f>COUNTIF(dec!L$13:L$16,$A96)</f>
        <v>0</v>
      </c>
      <c r="L96" s="388">
        <f>COUNTIF(dec!M$13:M$16,$A96)</f>
        <v>0</v>
      </c>
      <c r="M96" s="391">
        <f>COUNTIF(dec!N$13:N$16,$A96)</f>
        <v>0</v>
      </c>
    </row>
    <row r="97" spans="2:14">
      <c r="B97" s="389"/>
      <c r="C97" s="388"/>
      <c r="D97" s="388"/>
      <c r="E97" s="388"/>
      <c r="F97" s="388"/>
      <c r="G97" s="391"/>
      <c r="I97" s="389"/>
      <c r="J97" s="388"/>
      <c r="K97" s="388"/>
      <c r="L97" s="388"/>
      <c r="M97" s="391"/>
    </row>
    <row r="98" spans="2:14" ht="10.5">
      <c r="B98" s="670" t="s">
        <v>7841</v>
      </c>
      <c r="C98" s="388"/>
      <c r="D98" s="388"/>
      <c r="E98" s="388"/>
      <c r="F98" s="388"/>
      <c r="G98" s="391"/>
      <c r="I98" s="670" t="s">
        <v>7841</v>
      </c>
      <c r="J98" s="388"/>
      <c r="K98" s="388"/>
      <c r="L98" s="388"/>
      <c r="M98" s="391"/>
    </row>
    <row r="99" spans="2:14">
      <c r="B99" s="389" t="s">
        <v>562</v>
      </c>
      <c r="C99" s="388"/>
      <c r="D99" s="388"/>
      <c r="E99" s="388">
        <f>decLOB1DOOAdjTime2_R1</f>
        <v>0</v>
      </c>
      <c r="F99" s="388">
        <f>decLOB1DOOAdjTime2_R1</f>
        <v>0</v>
      </c>
      <c r="G99" s="391">
        <f>decLOB1DOOAdjTime2_R1</f>
        <v>0</v>
      </c>
      <c r="H99" t="s">
        <v>759</v>
      </c>
      <c r="I99" s="389" t="s">
        <v>562</v>
      </c>
      <c r="J99" s="388"/>
      <c r="K99" s="388">
        <f>decLOB1DOOAdjTime2_R2</f>
        <v>0</v>
      </c>
      <c r="L99" s="388">
        <f>decLOB1DOOAdjTime2_R2</f>
        <v>0</v>
      </c>
      <c r="M99" s="391">
        <f>decLOB1DOOAdjTime2_R2</f>
        <v>0</v>
      </c>
      <c r="N99" t="s">
        <v>762</v>
      </c>
    </row>
    <row r="100" spans="2:14">
      <c r="B100" s="389" t="s">
        <v>563</v>
      </c>
      <c r="C100" s="388"/>
      <c r="D100" s="388"/>
      <c r="E100" s="388">
        <f>decLOB1DOOAdjTime3_R1</f>
        <v>0</v>
      </c>
      <c r="F100" s="388">
        <f>decLOB1DOOAdjTime3_R1</f>
        <v>0.03</v>
      </c>
      <c r="G100" s="391">
        <f>decLOB1DOOAdjTime3_R1</f>
        <v>0.01</v>
      </c>
      <c r="H100" t="s">
        <v>765</v>
      </c>
      <c r="I100" s="389" t="s">
        <v>563</v>
      </c>
      <c r="J100" s="388"/>
      <c r="K100" s="388">
        <f>decLOB1DOOAdjTime3_R2</f>
        <v>0</v>
      </c>
      <c r="L100" s="388">
        <f>decLOB1DOOAdjTime3_R2</f>
        <v>0.03</v>
      </c>
      <c r="M100" s="391">
        <f>decLOB1DOOAdjTime3_R2</f>
        <v>0.05</v>
      </c>
      <c r="N100" t="s">
        <v>768</v>
      </c>
    </row>
    <row r="101" spans="2:14">
      <c r="B101" s="389" t="s">
        <v>564</v>
      </c>
      <c r="C101" s="388"/>
      <c r="D101" s="388"/>
      <c r="E101" s="388">
        <f>decLOB1DOOAdjTime4_R1</f>
        <v>0</v>
      </c>
      <c r="F101" s="388">
        <f>decLOB1DOOAdjTime4_R1</f>
        <v>0</v>
      </c>
      <c r="G101" s="391">
        <f>decLOB1DOOAdjTime4_R1</f>
        <v>0</v>
      </c>
      <c r="H101" t="s">
        <v>771</v>
      </c>
      <c r="I101" s="389" t="s">
        <v>564</v>
      </c>
      <c r="J101" s="388"/>
      <c r="K101" s="388">
        <f>decLOB1DOOAdjTime4_R2</f>
        <v>0</v>
      </c>
      <c r="L101" s="388">
        <f>decLOB1DOOAdjTime4_R2</f>
        <v>0</v>
      </c>
      <c r="M101" s="391">
        <f>decLOB1DOOAdjTime4_R2</f>
        <v>0</v>
      </c>
      <c r="N101" t="s">
        <v>774</v>
      </c>
    </row>
    <row r="102" spans="2:14">
      <c r="B102" s="389" t="s">
        <v>565</v>
      </c>
      <c r="C102" s="388"/>
      <c r="D102" s="388"/>
      <c r="E102" s="388">
        <f>decLOB1DOOAdjTime5_R1</f>
        <v>0</v>
      </c>
      <c r="F102" s="388">
        <f>decLOB1DOOAdjTime5_R1</f>
        <v>0</v>
      </c>
      <c r="G102" s="391">
        <f>decLOB1DOOAdjTime5_R1</f>
        <v>0</v>
      </c>
      <c r="H102" t="s">
        <v>777</v>
      </c>
      <c r="I102" s="389" t="s">
        <v>565</v>
      </c>
      <c r="J102" s="388"/>
      <c r="K102" s="388">
        <f>decLOB1DOOAdjTime5_R2</f>
        <v>0</v>
      </c>
      <c r="L102" s="388">
        <f>decLOB1DOOAdjTime5_R2</f>
        <v>0</v>
      </c>
      <c r="M102" s="391">
        <f>decLOB1DOOAdjTime5_R2</f>
        <v>0</v>
      </c>
      <c r="N102" t="s">
        <v>780</v>
      </c>
    </row>
    <row r="103" spans="2:14">
      <c r="B103" s="389" t="s">
        <v>566</v>
      </c>
      <c r="C103" s="388"/>
      <c r="D103" s="388"/>
      <c r="E103" s="388">
        <f>decLOB1DOOAdjTime6_R1</f>
        <v>0</v>
      </c>
      <c r="F103" s="388">
        <f>decLOB1DOOAdjTime6_R1</f>
        <v>0</v>
      </c>
      <c r="G103" s="391">
        <f>decLOB1DOOAdjTime6_R1</f>
        <v>0</v>
      </c>
      <c r="H103" t="s">
        <v>783</v>
      </c>
      <c r="I103" s="389" t="s">
        <v>566</v>
      </c>
      <c r="J103" s="388"/>
      <c r="K103" s="388">
        <f>decLOB1DOOAdjTime6_R2</f>
        <v>0</v>
      </c>
      <c r="L103" s="388">
        <f>decLOB1DOOAdjTime6_R2</f>
        <v>0</v>
      </c>
      <c r="M103" s="391">
        <f>decLOB1DOOAdjTime6_R2</f>
        <v>0</v>
      </c>
      <c r="N103" t="s">
        <v>786</v>
      </c>
    </row>
    <row r="104" spans="2:14">
      <c r="B104" s="389"/>
      <c r="C104" s="388"/>
      <c r="D104" s="388"/>
      <c r="E104" s="388"/>
      <c r="F104" s="388"/>
      <c r="G104" s="391"/>
      <c r="I104" s="389"/>
      <c r="J104" s="388"/>
      <c r="K104" s="388"/>
      <c r="L104" s="388"/>
      <c r="M104" s="391"/>
    </row>
    <row r="105" spans="2:14" ht="10.5">
      <c r="B105" s="670" t="s">
        <v>7842</v>
      </c>
      <c r="C105" s="388"/>
      <c r="D105" s="388"/>
      <c r="E105" s="388"/>
      <c r="F105" s="388"/>
      <c r="G105" s="391"/>
      <c r="I105" s="670" t="s">
        <v>7842</v>
      </c>
      <c r="J105" s="388"/>
      <c r="K105" s="388"/>
      <c r="L105" s="388"/>
      <c r="M105" s="391"/>
    </row>
    <row r="106" spans="2:14">
      <c r="B106" s="389" t="s">
        <v>561</v>
      </c>
      <c r="C106" s="388"/>
      <c r="D106" s="388"/>
      <c r="E106" s="614">
        <f>calcLOB1DOOPlanTime1</f>
        <v>0.8</v>
      </c>
      <c r="F106" s="614">
        <f>calcLOB1DOOPlanTime1</f>
        <v>0.9</v>
      </c>
      <c r="G106" s="701">
        <f>calcLOB1DOOPlanTime1</f>
        <v>1.02</v>
      </c>
      <c r="H106" t="s">
        <v>754</v>
      </c>
      <c r="I106" s="389" t="s">
        <v>561</v>
      </c>
      <c r="J106" s="388"/>
      <c r="K106" s="614">
        <f>calcR2LOB1DOOPlanTime1</f>
        <v>0.74</v>
      </c>
      <c r="L106" s="614">
        <f>calcR2LOB1DOOPlanTime1</f>
        <v>0.98</v>
      </c>
      <c r="M106" s="701">
        <f>calcR2LOB1DOOPlanTime1</f>
        <v>1.02</v>
      </c>
      <c r="N106" t="s">
        <v>757</v>
      </c>
    </row>
    <row r="107" spans="2:14">
      <c r="B107" s="389" t="s">
        <v>562</v>
      </c>
      <c r="C107" s="388"/>
      <c r="D107" s="388"/>
      <c r="E107" s="614">
        <f>calcLOB1DOOPlanTime2</f>
        <v>0</v>
      </c>
      <c r="F107" s="614">
        <f>calcLOB1DOOPlanTime2</f>
        <v>0</v>
      </c>
      <c r="G107" s="701">
        <f>calcLOB1DOOPlanTime2</f>
        <v>0</v>
      </c>
      <c r="H107" t="s">
        <v>760</v>
      </c>
      <c r="I107" s="389" t="s">
        <v>562</v>
      </c>
      <c r="J107" s="388"/>
      <c r="K107" s="614">
        <f>calcR2LOB1DOOPlanTime2</f>
        <v>0</v>
      </c>
      <c r="L107" s="614">
        <f>calcR2LOB1DOOPlanTime2</f>
        <v>0</v>
      </c>
      <c r="M107" s="701">
        <f>calcR2LOB1DOOPlanTime2</f>
        <v>0</v>
      </c>
      <c r="N107" t="s">
        <v>763</v>
      </c>
    </row>
    <row r="108" spans="2:14">
      <c r="B108" s="389" t="s">
        <v>563</v>
      </c>
      <c r="C108" s="388"/>
      <c r="D108" s="388"/>
      <c r="E108" s="614">
        <f>calcLOB1DOOPlanTime3</f>
        <v>0</v>
      </c>
      <c r="F108" s="614">
        <f>calcLOB1DOOPlanTime3</f>
        <v>0.03</v>
      </c>
      <c r="G108" s="701">
        <f>calcLOB1DOOPlanTime3</f>
        <v>0.01</v>
      </c>
      <c r="H108" t="s">
        <v>766</v>
      </c>
      <c r="I108" s="389" t="s">
        <v>563</v>
      </c>
      <c r="J108" s="388"/>
      <c r="K108" s="614">
        <f>calcR2LOB1DOOPlanTime3</f>
        <v>0</v>
      </c>
      <c r="L108" s="614">
        <f>calcR2LOB1DOOPlanTime3</f>
        <v>0.03</v>
      </c>
      <c r="M108" s="701">
        <f>calcR2LOB1DOOPlanTime3</f>
        <v>0.05</v>
      </c>
      <c r="N108" t="s">
        <v>769</v>
      </c>
    </row>
    <row r="109" spans="2:14">
      <c r="B109" s="389" t="s">
        <v>564</v>
      </c>
      <c r="C109" s="388"/>
      <c r="D109" s="388"/>
      <c r="E109" s="614">
        <f>calcLOB1DOOPlanTime4</f>
        <v>0</v>
      </c>
      <c r="F109" s="614">
        <f>calcLOB1DOOPlanTime4</f>
        <v>0</v>
      </c>
      <c r="G109" s="701">
        <f>calcLOB1DOOPlanTime4</f>
        <v>0</v>
      </c>
      <c r="H109" t="s">
        <v>772</v>
      </c>
      <c r="I109" s="389" t="s">
        <v>564</v>
      </c>
      <c r="J109" s="388"/>
      <c r="K109" s="614">
        <f>calcR2LOB1DOOPlanTime4</f>
        <v>0</v>
      </c>
      <c r="L109" s="614">
        <f>calcR2LOB1DOOPlanTime4</f>
        <v>0</v>
      </c>
      <c r="M109" s="701">
        <f>calcR2LOB1DOOPlanTime4</f>
        <v>0</v>
      </c>
      <c r="N109" t="s">
        <v>775</v>
      </c>
    </row>
    <row r="110" spans="2:14">
      <c r="B110" s="389" t="s">
        <v>565</v>
      </c>
      <c r="C110" s="388"/>
      <c r="D110" s="388"/>
      <c r="E110" s="614">
        <f>calcLOB1DOOPlanTime5</f>
        <v>0</v>
      </c>
      <c r="F110" s="614">
        <f>calcLOB1DOOPlanTime5</f>
        <v>0</v>
      </c>
      <c r="G110" s="701">
        <f>calcLOB1DOOPlanTime5</f>
        <v>0</v>
      </c>
      <c r="H110" t="s">
        <v>778</v>
      </c>
      <c r="I110" s="389" t="s">
        <v>565</v>
      </c>
      <c r="J110" s="388"/>
      <c r="K110" s="614">
        <f>calcR2LOB1DOOPlanTime5</f>
        <v>0</v>
      </c>
      <c r="L110" s="614">
        <f>calcR2LOB1DOOPlanTime5</f>
        <v>0</v>
      </c>
      <c r="M110" s="701">
        <f>calcR2LOB1DOOPlanTime5</f>
        <v>0</v>
      </c>
      <c r="N110" t="s">
        <v>781</v>
      </c>
    </row>
    <row r="111" spans="2:14">
      <c r="B111" s="389" t="s">
        <v>566</v>
      </c>
      <c r="C111" s="388"/>
      <c r="D111" s="388"/>
      <c r="E111" s="614">
        <f>calcLOB1DOOPlanTime6</f>
        <v>0</v>
      </c>
      <c r="F111" s="614">
        <f>calcLOB1DOOPlanTime6</f>
        <v>0</v>
      </c>
      <c r="G111" s="701">
        <f>calcLOB1DOOPlanTime6</f>
        <v>0</v>
      </c>
      <c r="H111" t="s">
        <v>784</v>
      </c>
      <c r="I111" s="389" t="s">
        <v>566</v>
      </c>
      <c r="J111" s="388"/>
      <c r="K111" s="614">
        <f>calcR2LOB1DOOPlanTime6</f>
        <v>0</v>
      </c>
      <c r="L111" s="614">
        <f>calcR2LOB1DOOPlanTime6</f>
        <v>0</v>
      </c>
      <c r="M111" s="701">
        <f>calcR2LOB1DOOPlanTime6</f>
        <v>0</v>
      </c>
      <c r="N111" t="s">
        <v>787</v>
      </c>
    </row>
    <row r="112" spans="2:14">
      <c r="B112" s="389" t="s">
        <v>13</v>
      </c>
      <c r="C112" s="388"/>
      <c r="D112" s="388"/>
      <c r="E112" s="677">
        <f>calcLOB1DOOTotalPlanTime</f>
        <v>0.8</v>
      </c>
      <c r="F112" s="677">
        <f>calcLOB1DOOTotalPlanTime</f>
        <v>0.93</v>
      </c>
      <c r="G112" s="680">
        <f>calcLOB1DOOTotalPlanTime</f>
        <v>1.03</v>
      </c>
      <c r="H112" t="s">
        <v>789</v>
      </c>
      <c r="I112" s="389" t="s">
        <v>13</v>
      </c>
      <c r="J112" s="388"/>
      <c r="K112" s="677">
        <f>calcR2LOB1DOOTotalPlanTime</f>
        <v>0.74</v>
      </c>
      <c r="L112" s="677">
        <f>calcR2LOB1DOOTotalPlanTime</f>
        <v>1.01</v>
      </c>
      <c r="M112" s="680">
        <f>calcR2LOB1DOOTotalPlanTime</f>
        <v>1.07</v>
      </c>
      <c r="N112" t="s">
        <v>791</v>
      </c>
    </row>
    <row r="113" spans="2:14">
      <c r="B113" s="389"/>
      <c r="C113" s="388"/>
      <c r="D113" s="388"/>
      <c r="E113" s="613"/>
      <c r="F113" s="388"/>
      <c r="G113" s="391"/>
      <c r="I113" s="389"/>
      <c r="J113" s="388"/>
      <c r="K113" s="613"/>
      <c r="L113" s="388"/>
      <c r="M113" s="391"/>
    </row>
    <row r="114" spans="2:14" ht="10.5">
      <c r="B114" s="670" t="s">
        <v>251</v>
      </c>
      <c r="C114" s="388"/>
      <c r="D114" s="388"/>
      <c r="E114" s="388"/>
      <c r="F114" s="388"/>
      <c r="G114" s="391"/>
      <c r="I114" s="670" t="s">
        <v>251</v>
      </c>
      <c r="J114" s="388"/>
      <c r="K114" s="388"/>
      <c r="L114" s="388"/>
      <c r="M114" s="391"/>
    </row>
    <row r="115" spans="2:14">
      <c r="B115" s="389" t="s">
        <v>534</v>
      </c>
      <c r="C115" s="388"/>
      <c r="D115" s="388"/>
      <c r="E115" s="508">
        <f>decLOB1Prod1Seg1Adj_R1*12</f>
        <v>1452</v>
      </c>
      <c r="F115" s="508">
        <f>decLOB1Prod1Seg1Adj_R1*12</f>
        <v>1992</v>
      </c>
      <c r="G115" s="555">
        <f>decLOB1Prod1Seg1Adj_R1*12</f>
        <v>1068</v>
      </c>
      <c r="H115" t="s">
        <v>812</v>
      </c>
      <c r="I115" s="389" t="s">
        <v>534</v>
      </c>
      <c r="J115" s="388"/>
      <c r="K115" s="508">
        <f>decLOB1Prod1Seg1Adj_R2*12</f>
        <v>1476</v>
      </c>
      <c r="L115" s="508">
        <f>decLOB1Prod1Seg1Adj_R2*12</f>
        <v>1992</v>
      </c>
      <c r="M115" s="555">
        <f>decLOB1Prod1Seg1Adj_R2*12</f>
        <v>1068</v>
      </c>
      <c r="N115" t="s">
        <v>818</v>
      </c>
    </row>
    <row r="116" spans="2:14">
      <c r="B116" s="389" t="s">
        <v>535</v>
      </c>
      <c r="C116" s="388"/>
      <c r="D116" s="388"/>
      <c r="E116" s="508">
        <f>decLOB1Prod1Seg2Adj_R1*12</f>
        <v>252</v>
      </c>
      <c r="F116" s="508">
        <f>decLOB1Prod1Seg2Adj_R1*12</f>
        <v>336</v>
      </c>
      <c r="G116" s="555">
        <f>decLOB1Prod1Seg2Adj_R1*12</f>
        <v>180</v>
      </c>
      <c r="H116" t="s">
        <v>824</v>
      </c>
      <c r="I116" s="389" t="s">
        <v>535</v>
      </c>
      <c r="J116" s="388"/>
      <c r="K116" s="508">
        <f>decLOB1Prod1Seg2Adj_R2*12</f>
        <v>252</v>
      </c>
      <c r="L116" s="508">
        <f>decLOB1Prod1Seg2Adj_R2*12</f>
        <v>336</v>
      </c>
      <c r="M116" s="555">
        <f>decLOB1Prod1Seg2Adj_R2*12</f>
        <v>180</v>
      </c>
      <c r="N116" t="s">
        <v>830</v>
      </c>
    </row>
    <row r="117" spans="2:14">
      <c r="B117" s="389" t="s">
        <v>536</v>
      </c>
      <c r="C117" s="388"/>
      <c r="D117" s="388"/>
      <c r="E117" s="508">
        <f>decLOB1Prod1Seg3Adj_R1*12</f>
        <v>804</v>
      </c>
      <c r="F117" s="508">
        <f>decLOB1Prod1Seg3Adj_R1*12</f>
        <v>1104</v>
      </c>
      <c r="G117" s="555">
        <f>decLOB1Prod1Seg3Adj_R1*12</f>
        <v>600</v>
      </c>
      <c r="H117" t="s">
        <v>836</v>
      </c>
      <c r="I117" s="389" t="s">
        <v>536</v>
      </c>
      <c r="J117" s="388"/>
      <c r="K117" s="508">
        <f>decLOB1Prod1Seg3Adj_R2*12</f>
        <v>816</v>
      </c>
      <c r="L117" s="508">
        <f>decLOB1Prod1Seg3Adj_R2*12</f>
        <v>1104</v>
      </c>
      <c r="M117" s="555">
        <f>decLOB1Prod1Seg3Adj_R2*12</f>
        <v>600</v>
      </c>
      <c r="N117" t="s">
        <v>842</v>
      </c>
    </row>
    <row r="118" spans="2:14">
      <c r="B118" s="389" t="s">
        <v>537</v>
      </c>
      <c r="C118" s="388"/>
      <c r="D118" s="388"/>
      <c r="E118" s="508">
        <f>decLOB1Prod2Seg1Adj_R1*12</f>
        <v>360</v>
      </c>
      <c r="F118" s="508">
        <f>decLOB1Prod2Seg1Adj_R1*12</f>
        <v>492</v>
      </c>
      <c r="G118" s="555">
        <f>decLOB1Prod2Seg1Adj_R1*12</f>
        <v>264</v>
      </c>
      <c r="H118" t="s">
        <v>848</v>
      </c>
      <c r="I118" s="389" t="s">
        <v>537</v>
      </c>
      <c r="J118" s="388"/>
      <c r="K118" s="508">
        <f>decLOB1Prod2Seg1Adj_R2*12</f>
        <v>372</v>
      </c>
      <c r="L118" s="508">
        <f>decLOB1Prod2Seg1Adj_R2*12</f>
        <v>492</v>
      </c>
      <c r="M118" s="555">
        <f>decLOB1Prod2Seg1Adj_R2*12</f>
        <v>264</v>
      </c>
      <c r="N118" t="s">
        <v>854</v>
      </c>
    </row>
    <row r="119" spans="2:14">
      <c r="B119" s="389" t="s">
        <v>538</v>
      </c>
      <c r="C119" s="388"/>
      <c r="D119" s="388"/>
      <c r="E119" s="508">
        <f>decLOB1Prod2Seg2Adj_R1*12</f>
        <v>60</v>
      </c>
      <c r="F119" s="508">
        <f>decLOB1Prod2Seg2Adj_R1*12</f>
        <v>84</v>
      </c>
      <c r="G119" s="555">
        <f>decLOB1Prod2Seg2Adj_R1*12</f>
        <v>48</v>
      </c>
      <c r="H119" t="s">
        <v>860</v>
      </c>
      <c r="I119" s="389" t="s">
        <v>538</v>
      </c>
      <c r="J119" s="388"/>
      <c r="K119" s="508">
        <f>decLOB1Prod2Seg2Adj_R2*12</f>
        <v>60</v>
      </c>
      <c r="L119" s="508">
        <f>decLOB1Prod2Seg2Adj_R2*12</f>
        <v>84</v>
      </c>
      <c r="M119" s="555">
        <f>decLOB1Prod2Seg2Adj_R2*12</f>
        <v>48</v>
      </c>
      <c r="N119" t="s">
        <v>866</v>
      </c>
    </row>
    <row r="120" spans="2:14">
      <c r="B120" s="389" t="s">
        <v>539</v>
      </c>
      <c r="C120" s="388"/>
      <c r="D120" s="388"/>
      <c r="E120" s="508">
        <f>decLOB1Prod2Seg3Adj_R1*12</f>
        <v>204</v>
      </c>
      <c r="F120" s="508">
        <f>decLOB1Prod2Seg3Adj_R1*12</f>
        <v>276</v>
      </c>
      <c r="G120" s="555">
        <f>decLOB1Prod2Seg3Adj_R1*12</f>
        <v>144</v>
      </c>
      <c r="H120" t="s">
        <v>872</v>
      </c>
      <c r="I120" s="389" t="s">
        <v>539</v>
      </c>
      <c r="J120" s="388"/>
      <c r="K120" s="508">
        <f>decLOB1Prod2Seg3Adj_R2*12</f>
        <v>204</v>
      </c>
      <c r="L120" s="508">
        <f>decLOB1Prod2Seg3Adj_R2*12</f>
        <v>276</v>
      </c>
      <c r="M120" s="555">
        <f>decLOB1Prod2Seg3Adj_R2*12</f>
        <v>144</v>
      </c>
      <c r="N120" t="s">
        <v>878</v>
      </c>
    </row>
    <row r="121" spans="2:14">
      <c r="B121" s="389"/>
      <c r="C121" s="388"/>
      <c r="D121" s="388"/>
      <c r="E121" s="508"/>
      <c r="F121" s="508"/>
      <c r="G121" s="555"/>
      <c r="I121" s="389"/>
      <c r="J121" s="388"/>
      <c r="K121" s="508"/>
      <c r="L121" s="508"/>
      <c r="M121" s="555"/>
    </row>
    <row r="122" spans="2:14" ht="10.5">
      <c r="B122" s="670" t="s">
        <v>4907</v>
      </c>
      <c r="C122" s="388"/>
      <c r="D122" s="388"/>
      <c r="E122" s="508"/>
      <c r="F122" s="508"/>
      <c r="G122" s="555"/>
      <c r="I122" s="670" t="s">
        <v>4907</v>
      </c>
      <c r="J122" s="388"/>
      <c r="K122" s="508"/>
      <c r="L122" s="508"/>
      <c r="M122" s="555"/>
    </row>
    <row r="123" spans="2:14">
      <c r="B123" s="389" t="s">
        <v>534</v>
      </c>
      <c r="C123" s="388"/>
      <c r="D123" s="388"/>
      <c r="E123" s="508">
        <f>calcLOB1Prod1Seg1Budget</f>
        <v>1521</v>
      </c>
      <c r="F123" s="508">
        <f>calcLOB1Prod1Seg1Budget</f>
        <v>1521</v>
      </c>
      <c r="G123" s="555">
        <f>calcLOB1Prod1Seg1Budget</f>
        <v>1521</v>
      </c>
      <c r="H123" t="s">
        <v>5020</v>
      </c>
      <c r="I123" s="389" t="s">
        <v>534</v>
      </c>
      <c r="J123" s="388"/>
      <c r="K123" s="508">
        <f>calcR2LOB1Prod1Seg1Budget</f>
        <v>1545</v>
      </c>
      <c r="L123" s="508">
        <f>calcR2LOB1Prod1Seg1Budget</f>
        <v>1545</v>
      </c>
      <c r="M123" s="555">
        <f>calcR2LOB1Prod1Seg1Budget</f>
        <v>1545</v>
      </c>
      <c r="N123" t="s">
        <v>5027</v>
      </c>
    </row>
    <row r="124" spans="2:14">
      <c r="B124" s="389" t="s">
        <v>535</v>
      </c>
      <c r="C124" s="388"/>
      <c r="D124" s="388"/>
      <c r="E124" s="508">
        <f>calcLOB1Prod1Seg2Budget</f>
        <v>262</v>
      </c>
      <c r="F124" s="508">
        <f>calcLOB1Prod1Seg2Budget</f>
        <v>262</v>
      </c>
      <c r="G124" s="555">
        <f>calcLOB1Prod1Seg2Budget</f>
        <v>262</v>
      </c>
      <c r="H124" t="s">
        <v>5021</v>
      </c>
      <c r="I124" s="389" t="s">
        <v>535</v>
      </c>
      <c r="J124" s="388"/>
      <c r="K124" s="508">
        <f>calcR2LOB1Prod1Seg2Budget</f>
        <v>266</v>
      </c>
      <c r="L124" s="508">
        <f>calcR2LOB1Prod1Seg2Budget</f>
        <v>266</v>
      </c>
      <c r="M124" s="555">
        <f>calcR2LOB1Prod1Seg2Budget</f>
        <v>266</v>
      </c>
      <c r="N124" t="s">
        <v>5028</v>
      </c>
    </row>
    <row r="125" spans="2:14">
      <c r="B125" s="389" t="s">
        <v>536</v>
      </c>
      <c r="C125" s="388"/>
      <c r="D125" s="388"/>
      <c r="E125" s="508">
        <f>calcLOB1Prod1Seg3Budget</f>
        <v>839</v>
      </c>
      <c r="F125" s="508">
        <f>calcLOB1Prod1Seg3Budget</f>
        <v>839</v>
      </c>
      <c r="G125" s="555">
        <f>calcLOB1Prod1Seg3Budget</f>
        <v>839</v>
      </c>
      <c r="H125" t="s">
        <v>5022</v>
      </c>
      <c r="I125" s="389" t="s">
        <v>536</v>
      </c>
      <c r="J125" s="388"/>
      <c r="K125" s="508">
        <f>calcR2LOB1Prod1Seg3Budget</f>
        <v>853</v>
      </c>
      <c r="L125" s="508">
        <f>calcR2LOB1Prod1Seg3Budget</f>
        <v>853</v>
      </c>
      <c r="M125" s="555">
        <f>calcR2LOB1Prod1Seg3Budget</f>
        <v>853</v>
      </c>
      <c r="N125" t="s">
        <v>5029</v>
      </c>
    </row>
    <row r="126" spans="2:14">
      <c r="B126" s="389" t="s">
        <v>537</v>
      </c>
      <c r="C126" s="388"/>
      <c r="D126" s="388"/>
      <c r="E126" s="508">
        <f>calcLOB1Prod2Seg1Budget</f>
        <v>380</v>
      </c>
      <c r="F126" s="508">
        <f>calcLOB1Prod2Seg1Budget</f>
        <v>380</v>
      </c>
      <c r="G126" s="555">
        <f>calcLOB1Prod2Seg1Budget</f>
        <v>380</v>
      </c>
      <c r="H126" t="s">
        <v>5023</v>
      </c>
      <c r="I126" s="389" t="s">
        <v>537</v>
      </c>
      <c r="J126" s="388"/>
      <c r="K126" s="508">
        <f>calcR2LOB1Prod2Seg1Budget</f>
        <v>386</v>
      </c>
      <c r="L126" s="508">
        <f>calcR2LOB1Prod2Seg1Budget</f>
        <v>386</v>
      </c>
      <c r="M126" s="555">
        <f>calcR2LOB1Prod2Seg1Budget</f>
        <v>386</v>
      </c>
      <c r="N126" t="s">
        <v>5030</v>
      </c>
    </row>
    <row r="127" spans="2:14">
      <c r="B127" s="389" t="s">
        <v>538</v>
      </c>
      <c r="C127" s="388"/>
      <c r="D127" s="388"/>
      <c r="E127" s="508">
        <f>calcLOB1Prod2Seg2Budget</f>
        <v>66</v>
      </c>
      <c r="F127" s="508">
        <f>calcLOB1Prod2Seg2Budget</f>
        <v>66</v>
      </c>
      <c r="G127" s="555">
        <f>calcLOB1Prod2Seg2Budget</f>
        <v>66</v>
      </c>
      <c r="H127" t="s">
        <v>5024</v>
      </c>
      <c r="I127" s="389" t="s">
        <v>538</v>
      </c>
      <c r="J127" s="388"/>
      <c r="K127" s="508">
        <f>calcR2LOB1Prod2Seg2Budget</f>
        <v>67</v>
      </c>
      <c r="L127" s="508">
        <f>calcR2LOB1Prod2Seg2Budget</f>
        <v>67</v>
      </c>
      <c r="M127" s="555">
        <f>calcR2LOB1Prod2Seg2Budget</f>
        <v>67</v>
      </c>
      <c r="N127" t="s">
        <v>5031</v>
      </c>
    </row>
    <row r="128" spans="2:14">
      <c r="B128" s="389" t="s">
        <v>539</v>
      </c>
      <c r="C128" s="388"/>
      <c r="D128" s="388"/>
      <c r="E128" s="508">
        <f>calcLOB1Prod2Seg3Budget</f>
        <v>210</v>
      </c>
      <c r="F128" s="508">
        <f>calcLOB1Prod2Seg3Budget</f>
        <v>210</v>
      </c>
      <c r="G128" s="555">
        <f>calcLOB1Prod2Seg3Budget</f>
        <v>210</v>
      </c>
      <c r="H128" t="s">
        <v>5025</v>
      </c>
      <c r="I128" s="389" t="s">
        <v>539</v>
      </c>
      <c r="J128" s="388"/>
      <c r="K128" s="508">
        <f>calcR2LOB1Prod2Seg3Budget</f>
        <v>213</v>
      </c>
      <c r="L128" s="508">
        <f>calcR2LOB1Prod2Seg3Budget</f>
        <v>213</v>
      </c>
      <c r="M128" s="555">
        <f>calcR2LOB1Prod2Seg3Budget</f>
        <v>213</v>
      </c>
      <c r="N128" t="s">
        <v>5032</v>
      </c>
    </row>
    <row r="129" spans="2:14">
      <c r="B129" s="389"/>
      <c r="C129" s="388"/>
      <c r="D129" s="388"/>
      <c r="E129" s="613"/>
      <c r="F129" s="388"/>
      <c r="G129" s="391"/>
      <c r="I129" s="389"/>
      <c r="J129" s="388"/>
      <c r="K129" s="613"/>
      <c r="L129" s="388"/>
      <c r="M129" s="391"/>
    </row>
    <row r="130" spans="2:14" ht="10.5">
      <c r="B130" s="670" t="s">
        <v>7843</v>
      </c>
      <c r="C130" s="388"/>
      <c r="D130" s="388"/>
      <c r="E130" s="508"/>
      <c r="F130" s="508"/>
      <c r="G130" s="555"/>
      <c r="I130" s="670" t="s">
        <v>7843</v>
      </c>
      <c r="J130" s="388"/>
      <c r="K130" s="508"/>
      <c r="L130" s="508"/>
      <c r="M130" s="555"/>
    </row>
    <row r="131" spans="2:14">
      <c r="B131" s="389" t="s">
        <v>534</v>
      </c>
      <c r="C131" s="388"/>
      <c r="D131" s="388"/>
      <c r="E131" s="508">
        <f>calcLOB1Prod1Seg1Patients</f>
        <v>1452</v>
      </c>
      <c r="F131" s="508">
        <f>calcLOB1Prod1Seg1Patients</f>
        <v>1992</v>
      </c>
      <c r="G131" s="555">
        <f>calcLOB1Prod1Seg1Patients</f>
        <v>1068</v>
      </c>
      <c r="H131" t="s">
        <v>4735</v>
      </c>
      <c r="I131" s="389" t="s">
        <v>534</v>
      </c>
      <c r="J131" s="388"/>
      <c r="K131" s="508">
        <f>calcR2LOB1Prod1Seg1Patients</f>
        <v>1476</v>
      </c>
      <c r="L131" s="508">
        <f>calcR2LOB1Prod1Seg1Patients</f>
        <v>1992</v>
      </c>
      <c r="M131" s="555">
        <f>calcR2LOB1Prod1Seg1Patients</f>
        <v>1068</v>
      </c>
      <c r="N131" t="s">
        <v>7702</v>
      </c>
    </row>
    <row r="132" spans="2:14">
      <c r="B132" s="389" t="s">
        <v>535</v>
      </c>
      <c r="C132" s="388"/>
      <c r="D132" s="388"/>
      <c r="E132" s="508">
        <f>calcLOB1Prod2Seg1Patients</f>
        <v>360</v>
      </c>
      <c r="F132" s="508">
        <f>calcLOB1Prod2Seg1Patients</f>
        <v>492</v>
      </c>
      <c r="G132" s="555">
        <f>calcLOB1Prod2Seg1Patients</f>
        <v>264</v>
      </c>
      <c r="H132" t="s">
        <v>4737</v>
      </c>
      <c r="I132" s="389" t="s">
        <v>535</v>
      </c>
      <c r="J132" s="388"/>
      <c r="K132" s="508">
        <f>calcR2LOB1Prod2Seg1Patients</f>
        <v>372</v>
      </c>
      <c r="L132" s="508">
        <f>calcR2LOB1Prod2Seg1Patients</f>
        <v>492</v>
      </c>
      <c r="M132" s="555">
        <f>calcR2LOB1Prod2Seg1Patients</f>
        <v>264</v>
      </c>
      <c r="N132" t="s">
        <v>7703</v>
      </c>
    </row>
    <row r="133" spans="2:14">
      <c r="B133" s="389" t="s">
        <v>536</v>
      </c>
      <c r="C133" s="388"/>
      <c r="D133" s="388"/>
      <c r="E133" s="508">
        <f>calcLOB1Prod1Seg2Patients</f>
        <v>252</v>
      </c>
      <c r="F133" s="508">
        <f>calcLOB1Prod1Seg2Patients</f>
        <v>336</v>
      </c>
      <c r="G133" s="555">
        <f>calcLOB1Prod1Seg2Patients</f>
        <v>180</v>
      </c>
      <c r="H133" t="s">
        <v>4736</v>
      </c>
      <c r="I133" s="389" t="s">
        <v>536</v>
      </c>
      <c r="J133" s="388"/>
      <c r="K133" s="508">
        <f>calcR2LOB1Prod1Seg2Patients</f>
        <v>252</v>
      </c>
      <c r="L133" s="508">
        <f>calcR2LOB1Prod1Seg2Patients</f>
        <v>336</v>
      </c>
      <c r="M133" s="555">
        <f>calcR2LOB1Prod1Seg2Patients</f>
        <v>180</v>
      </c>
      <c r="N133" t="s">
        <v>7704</v>
      </c>
    </row>
    <row r="134" spans="2:14">
      <c r="B134" s="389" t="s">
        <v>537</v>
      </c>
      <c r="C134" s="388"/>
      <c r="D134" s="388"/>
      <c r="E134" s="508">
        <f>calcLOB1Prod2Seg2Patients</f>
        <v>60</v>
      </c>
      <c r="F134" s="508">
        <f>calcLOB1Prod2Seg2Patients</f>
        <v>84</v>
      </c>
      <c r="G134" s="555">
        <f>calcLOB1Prod2Seg2Patients</f>
        <v>48</v>
      </c>
      <c r="H134" t="s">
        <v>4738</v>
      </c>
      <c r="I134" s="389" t="s">
        <v>537</v>
      </c>
      <c r="J134" s="388"/>
      <c r="K134" s="508">
        <f>calcR2LOB1Prod2Seg2Patients</f>
        <v>60</v>
      </c>
      <c r="L134" s="508">
        <f>calcR2LOB1Prod2Seg2Patients</f>
        <v>84</v>
      </c>
      <c r="M134" s="555">
        <f>calcR2LOB1Prod2Seg2Patients</f>
        <v>48</v>
      </c>
      <c r="N134" t="s">
        <v>7705</v>
      </c>
    </row>
    <row r="135" spans="2:14">
      <c r="B135" s="389" t="s">
        <v>538</v>
      </c>
      <c r="C135" s="388"/>
      <c r="D135" s="388"/>
      <c r="E135" s="508">
        <f>calcLOB1Prod1Seg3Patients</f>
        <v>804</v>
      </c>
      <c r="F135" s="508">
        <f>calcLOB1Prod1Seg3Patients</f>
        <v>1104</v>
      </c>
      <c r="G135" s="555">
        <f>calcLOB1Prod1Seg3Patients</f>
        <v>600</v>
      </c>
      <c r="H135" t="s">
        <v>4739</v>
      </c>
      <c r="I135" s="389" t="s">
        <v>538</v>
      </c>
      <c r="J135" s="388"/>
      <c r="K135" s="508">
        <f>calcR2LOB1Prod1Seg3Patients</f>
        <v>816</v>
      </c>
      <c r="L135" s="508">
        <f>calcR2LOB1Prod1Seg3Patients</f>
        <v>1104</v>
      </c>
      <c r="M135" s="555">
        <f>calcR2LOB1Prod1Seg3Patients</f>
        <v>600</v>
      </c>
      <c r="N135" t="s">
        <v>7706</v>
      </c>
    </row>
    <row r="136" spans="2:14">
      <c r="B136" s="389" t="s">
        <v>539</v>
      </c>
      <c r="C136" s="388"/>
      <c r="D136" s="388"/>
      <c r="E136" s="508">
        <f>calcLOB1Prod2Seg3Patients</f>
        <v>204</v>
      </c>
      <c r="F136" s="508">
        <f>calcLOB1Prod2Seg3Patients</f>
        <v>276</v>
      </c>
      <c r="G136" s="555">
        <f>calcLOB1Prod2Seg3Patients</f>
        <v>144</v>
      </c>
      <c r="H136" t="s">
        <v>4740</v>
      </c>
      <c r="I136" s="389" t="s">
        <v>539</v>
      </c>
      <c r="J136" s="388"/>
      <c r="K136" s="508">
        <f>calcR2LOB1Prod2Seg3Patients</f>
        <v>204</v>
      </c>
      <c r="L136" s="508">
        <f>calcR2LOB1Prod2Seg3Patients</f>
        <v>276</v>
      </c>
      <c r="M136" s="555">
        <f>calcR2LOB1Prod2Seg3Patients</f>
        <v>144</v>
      </c>
      <c r="N136" t="s">
        <v>7707</v>
      </c>
    </row>
    <row r="137" spans="2:14">
      <c r="B137" s="389"/>
      <c r="C137" s="388"/>
      <c r="D137" s="388"/>
      <c r="E137" s="613"/>
      <c r="F137" s="388"/>
      <c r="G137" s="391"/>
      <c r="I137" s="389"/>
      <c r="J137" s="388"/>
      <c r="K137" s="613"/>
      <c r="L137" s="388"/>
      <c r="M137" s="391"/>
    </row>
    <row r="138" spans="2:14" ht="10.5">
      <c r="B138" s="670" t="s">
        <v>7844</v>
      </c>
      <c r="C138" s="388"/>
      <c r="D138" s="388"/>
      <c r="E138" s="388"/>
      <c r="F138" s="388"/>
      <c r="G138" s="391"/>
      <c r="I138" s="670" t="s">
        <v>7844</v>
      </c>
      <c r="J138" s="388"/>
      <c r="K138" s="388"/>
      <c r="L138" s="388"/>
      <c r="M138" s="391"/>
    </row>
    <row r="139" spans="2:14">
      <c r="B139" s="397" t="s">
        <v>4354</v>
      </c>
      <c r="C139" s="398"/>
      <c r="D139" s="398">
        <v>10</v>
      </c>
      <c r="E139" s="255">
        <f>mmLOB1Driver1Explain</f>
        <v>-1.3052213305553898E-3</v>
      </c>
      <c r="F139" s="255">
        <f>mmLOB1Driver1Explain</f>
        <v>2.2188150419573935E-2</v>
      </c>
      <c r="G139" s="702">
        <f>mmLOB1Driver1Explain</f>
        <v>-2.0882929089018547E-2</v>
      </c>
      <c r="H139" t="s">
        <v>7848</v>
      </c>
      <c r="I139" s="397" t="s">
        <v>4354</v>
      </c>
      <c r="J139" s="398">
        <v>10</v>
      </c>
      <c r="K139" s="255">
        <f>mmR2LOB1Driver1Explain</f>
        <v>-1.5653478816411572E-2</v>
      </c>
      <c r="L139" s="255">
        <f>mmR2LOB1Driver1Explain</f>
        <v>2.4598456772288762E-2</v>
      </c>
      <c r="M139" s="702">
        <f>mmR2LOB1Driver1Explain</f>
        <v>-8.9449779558771411E-3</v>
      </c>
      <c r="N139" t="s">
        <v>7848</v>
      </c>
    </row>
    <row r="140" spans="2:14">
      <c r="B140" s="389" t="s">
        <v>490</v>
      </c>
      <c r="C140" s="388"/>
      <c r="D140" s="388">
        <v>9</v>
      </c>
      <c r="E140" s="259">
        <f>mmLOB1Driver2Explain</f>
        <v>1.71290940725237E-2</v>
      </c>
      <c r="F140" s="259">
        <f>mmLOB1Driver2Explain</f>
        <v>3.9511867554352193E-3</v>
      </c>
      <c r="G140" s="703">
        <f>mmLOB1Driver2Explain</f>
        <v>-2.108028082795892E-2</v>
      </c>
      <c r="H140" t="s">
        <v>7849</v>
      </c>
      <c r="I140" s="389" t="s">
        <v>490</v>
      </c>
      <c r="J140" s="388">
        <v>9</v>
      </c>
      <c r="K140" s="259">
        <f>mmR2LOB1Driver2Explain</f>
        <v>1.7088421778434248E-3</v>
      </c>
      <c r="L140" s="259">
        <f>mmR2LOB1Driver2Explain</f>
        <v>1.8497746746937736E-2</v>
      </c>
      <c r="M140" s="703">
        <f>mmR2LOB1Driver2Explain</f>
        <v>-2.0206588924781162E-2</v>
      </c>
      <c r="N140" t="s">
        <v>7849</v>
      </c>
    </row>
    <row r="141" spans="2:14">
      <c r="B141" s="392" t="s">
        <v>4352</v>
      </c>
      <c r="C141" s="393"/>
      <c r="D141" s="393">
        <v>6</v>
      </c>
      <c r="E141" s="674">
        <f>mmLOB1Driver3Explain</f>
        <v>-1.1045075418182906E-3</v>
      </c>
      <c r="F141" s="674">
        <f>mmLOB1Driver3Explain</f>
        <v>1.3455962808795192E-2</v>
      </c>
      <c r="G141" s="704">
        <f>mmLOB1Driver3Explain</f>
        <v>-1.2351455266976901E-2</v>
      </c>
      <c r="H141" t="s">
        <v>7850</v>
      </c>
      <c r="I141" s="392" t="s">
        <v>4352</v>
      </c>
      <c r="J141" s="393">
        <v>6</v>
      </c>
      <c r="K141" s="674">
        <f>mmR2LOB1Driver3Explain</f>
        <v>-1.2517978545950755E-4</v>
      </c>
      <c r="L141" s="674">
        <f>mmR2LOB1Driver3Explain</f>
        <v>1.3001243362462998E-2</v>
      </c>
      <c r="M141" s="704">
        <f>mmR2LOB1Driver3Explain</f>
        <v>-1.2876063577003478E-2</v>
      </c>
      <c r="N141" t="s">
        <v>7850</v>
      </c>
    </row>
    <row r="142" spans="2:14">
      <c r="B142" s="675" t="s">
        <v>225</v>
      </c>
      <c r="C142" s="668"/>
      <c r="D142" s="668"/>
      <c r="E142" s="676">
        <f>mmLOB1MarketShare</f>
        <v>0.34805269853348336</v>
      </c>
      <c r="F142" s="676">
        <f>mmLOB1MarketShare</f>
        <v>0.37292863331713766</v>
      </c>
      <c r="G142" s="681">
        <f>mmLOB1MarketShare</f>
        <v>0.27901866814937898</v>
      </c>
      <c r="H142" t="s">
        <v>7851</v>
      </c>
      <c r="I142" s="675" t="s">
        <v>225</v>
      </c>
      <c r="J142" s="668"/>
      <c r="K142" s="676">
        <f>mmR2LOB1MarketShare</f>
        <v>0.31926140582756879</v>
      </c>
      <c r="L142" s="676">
        <f>mmR2LOB1MarketShare</f>
        <v>0.38943919726127463</v>
      </c>
      <c r="M142" s="681">
        <f>mmR2LOB1MarketShare</f>
        <v>0.29129939691115658</v>
      </c>
      <c r="N142" t="s">
        <v>7851</v>
      </c>
    </row>
    <row r="143" spans="2:14">
      <c r="B143" s="389"/>
      <c r="C143" s="388"/>
      <c r="D143" s="388"/>
      <c r="E143" s="388"/>
      <c r="F143" s="388"/>
      <c r="G143" s="391"/>
      <c r="I143" s="389"/>
      <c r="J143" s="388"/>
      <c r="K143" s="388"/>
      <c r="L143" s="388"/>
      <c r="M143" s="391"/>
    </row>
    <row r="144" spans="2:14" ht="10.5">
      <c r="B144" s="670" t="s">
        <v>7852</v>
      </c>
      <c r="C144" s="388"/>
      <c r="D144" s="388"/>
      <c r="E144" s="388"/>
      <c r="F144" s="388"/>
      <c r="G144" s="391"/>
      <c r="I144" s="670" t="s">
        <v>7852</v>
      </c>
      <c r="J144" s="388"/>
      <c r="K144" s="388"/>
      <c r="L144" s="388"/>
      <c r="M144" s="391"/>
    </row>
    <row r="145" spans="1:14">
      <c r="A145">
        <v>1</v>
      </c>
      <c r="B145" s="389" t="s">
        <v>701</v>
      </c>
      <c r="C145" s="388"/>
      <c r="D145" s="388"/>
      <c r="E145" s="388">
        <f>COUNTIF(dec!E$13:E$16,$A145)</f>
        <v>0</v>
      </c>
      <c r="F145" s="388">
        <f>COUNTIF(dec!F$13:F$16,$A145)</f>
        <v>0</v>
      </c>
      <c r="G145" s="391">
        <f>COUNTIF(dec!G$13:G$16,$A145)</f>
        <v>0</v>
      </c>
      <c r="I145" s="389" t="s">
        <v>701</v>
      </c>
      <c r="J145" s="388"/>
      <c r="K145" s="388">
        <f>COUNTIF(dec!L$13:L$16,$A145)</f>
        <v>0</v>
      </c>
      <c r="L145" s="388">
        <f>COUNTIF(dec!M$13:M$16,$A145)</f>
        <v>0</v>
      </c>
      <c r="M145" s="391">
        <f>COUNTIF(dec!N$13:N$16,$A145)</f>
        <v>0</v>
      </c>
    </row>
    <row r="146" spans="1:14">
      <c r="A146">
        <v>2</v>
      </c>
      <c r="B146" s="389" t="s">
        <v>3990</v>
      </c>
      <c r="C146" s="388"/>
      <c r="D146" s="388"/>
      <c r="E146" s="388">
        <f>COUNTIF(dec!E$13:E$16,$A146)</f>
        <v>0</v>
      </c>
      <c r="F146" s="388">
        <f>COUNTIF(dec!F$13:F$16,$A146)</f>
        <v>0</v>
      </c>
      <c r="G146" s="391">
        <f>COUNTIF(dec!G$13:G$16,$A146)</f>
        <v>0</v>
      </c>
      <c r="I146" s="389" t="s">
        <v>3990</v>
      </c>
      <c r="J146" s="388"/>
      <c r="K146" s="388">
        <f>COUNTIF(dec!L$13:L$16,$A146)</f>
        <v>0</v>
      </c>
      <c r="L146" s="388">
        <f>COUNTIF(dec!M$13:M$16,$A146)</f>
        <v>0</v>
      </c>
      <c r="M146" s="391">
        <f>COUNTIF(dec!N$13:N$16,$A146)</f>
        <v>0</v>
      </c>
    </row>
    <row r="147" spans="1:14">
      <c r="A147">
        <v>3</v>
      </c>
      <c r="B147" s="389" t="s">
        <v>2931</v>
      </c>
      <c r="C147" s="388"/>
      <c r="D147" s="388"/>
      <c r="E147" s="388">
        <f>COUNTIF(dec!E$13:E$16,$A147)</f>
        <v>0</v>
      </c>
      <c r="F147" s="388">
        <f>COUNTIF(dec!F$13:F$16,$A147)</f>
        <v>0</v>
      </c>
      <c r="G147" s="391">
        <f>COUNTIF(dec!G$13:G$16,$A147)</f>
        <v>0</v>
      </c>
      <c r="I147" s="389" t="s">
        <v>2931</v>
      </c>
      <c r="J147" s="388"/>
      <c r="K147" s="388">
        <f>COUNTIF(dec!L$13:L$16,$A147)</f>
        <v>0</v>
      </c>
      <c r="L147" s="388">
        <f>COUNTIF(dec!M$13:M$16,$A147)</f>
        <v>0</v>
      </c>
      <c r="M147" s="391">
        <f>COUNTIF(dec!N$13:N$16,$A147)</f>
        <v>0</v>
      </c>
    </row>
    <row r="148" spans="1:14">
      <c r="A148">
        <v>4</v>
      </c>
      <c r="B148" s="389" t="s">
        <v>2932</v>
      </c>
      <c r="C148" s="388"/>
      <c r="D148" s="388"/>
      <c r="E148" s="388">
        <f>COUNTIF(dec!E$13:E$16,$A148)</f>
        <v>0</v>
      </c>
      <c r="F148" s="388">
        <f>COUNTIF(dec!F$13:F$16,$A148)</f>
        <v>0</v>
      </c>
      <c r="G148" s="391">
        <f>COUNTIF(dec!G$13:G$16,$A148)</f>
        <v>0</v>
      </c>
      <c r="I148" s="389" t="s">
        <v>2932</v>
      </c>
      <c r="J148" s="388"/>
      <c r="K148" s="388">
        <f>COUNTIF(dec!L$13:L$16,$A148)</f>
        <v>0</v>
      </c>
      <c r="L148" s="388">
        <f>COUNTIF(dec!M$13:M$16,$A148)</f>
        <v>0</v>
      </c>
      <c r="M148" s="391">
        <f>COUNTIF(dec!N$13:N$16,$A148)</f>
        <v>0</v>
      </c>
    </row>
    <row r="149" spans="1:14">
      <c r="A149">
        <v>5</v>
      </c>
      <c r="B149" s="389" t="s">
        <v>2933</v>
      </c>
      <c r="C149" s="388"/>
      <c r="D149" s="388"/>
      <c r="E149" s="388">
        <f>COUNTIF(dec!E$13:E$16,$A149)</f>
        <v>0</v>
      </c>
      <c r="F149" s="388">
        <f>COUNTIF(dec!F$13:F$16,$A149)</f>
        <v>0</v>
      </c>
      <c r="G149" s="391">
        <f>COUNTIF(dec!G$13:G$16,$A149)</f>
        <v>0</v>
      </c>
      <c r="I149" s="389" t="s">
        <v>2933</v>
      </c>
      <c r="J149" s="388"/>
      <c r="K149" s="388">
        <f>COUNTIF(dec!L$13:L$16,$A149)</f>
        <v>0</v>
      </c>
      <c r="L149" s="388">
        <f>COUNTIF(dec!M$13:M$16,$A149)</f>
        <v>0</v>
      </c>
      <c r="M149" s="391">
        <f>COUNTIF(dec!N$13:N$16,$A149)</f>
        <v>0</v>
      </c>
    </row>
    <row r="150" spans="1:14">
      <c r="A150">
        <v>6</v>
      </c>
      <c r="B150" s="389" t="s">
        <v>2934</v>
      </c>
      <c r="C150" s="388"/>
      <c r="D150" s="388"/>
      <c r="E150" s="388">
        <f>COUNTIF(dec!E$13:E$16,$A150)</f>
        <v>0</v>
      </c>
      <c r="F150" s="388">
        <f>COUNTIF(dec!F$13:F$16,$A150)</f>
        <v>0</v>
      </c>
      <c r="G150" s="391">
        <f>COUNTIF(dec!G$13:G$16,$A150)</f>
        <v>0</v>
      </c>
      <c r="I150" s="389" t="s">
        <v>2934</v>
      </c>
      <c r="J150" s="388"/>
      <c r="K150" s="388">
        <f>COUNTIF(dec!L$13:L$16,$A150)</f>
        <v>0</v>
      </c>
      <c r="L150" s="388">
        <f>COUNTIF(dec!M$13:M$16,$A150)</f>
        <v>0</v>
      </c>
      <c r="M150" s="391">
        <f>COUNTIF(dec!N$13:N$16,$A150)</f>
        <v>0</v>
      </c>
    </row>
    <row r="151" spans="1:14">
      <c r="B151" s="389"/>
      <c r="C151" s="388"/>
      <c r="D151" s="388"/>
      <c r="E151" s="388"/>
      <c r="F151" s="388"/>
      <c r="G151" s="391"/>
      <c r="I151" s="389"/>
      <c r="J151" s="388"/>
      <c r="K151" s="388"/>
      <c r="L151" s="388"/>
      <c r="M151" s="391"/>
    </row>
    <row r="152" spans="1:14">
      <c r="B152" s="389" t="s">
        <v>490</v>
      </c>
      <c r="C152" s="388"/>
      <c r="D152" s="388"/>
      <c r="E152" s="388"/>
      <c r="F152" s="388"/>
      <c r="G152" s="391"/>
      <c r="I152" s="389" t="s">
        <v>490</v>
      </c>
      <c r="J152" s="388"/>
      <c r="K152" s="388"/>
      <c r="L152" s="388"/>
      <c r="M152" s="391"/>
    </row>
    <row r="153" spans="1:14">
      <c r="B153" s="397" t="s">
        <v>2980</v>
      </c>
      <c r="C153" s="398"/>
      <c r="D153" s="398"/>
      <c r="E153" s="678">
        <f>tlOutputFBLOB1CSATImpact1_R1</f>
        <v>0</v>
      </c>
      <c r="F153" s="678">
        <f>tlOutputFBLOB1CSATImpact1_R1</f>
        <v>0</v>
      </c>
      <c r="G153" s="679">
        <f>tlOutputFBLOB1CSATImpact1_R1</f>
        <v>0</v>
      </c>
      <c r="H153" t="s">
        <v>4782</v>
      </c>
      <c r="I153" s="397" t="s">
        <v>2980</v>
      </c>
      <c r="J153" s="398"/>
      <c r="K153" s="678">
        <f>tlOutputFBLOB1CSATImpact1_R2</f>
        <v>0</v>
      </c>
      <c r="L153" s="678">
        <f>tlOutputFBLOB1CSATImpact1_R2</f>
        <v>0</v>
      </c>
      <c r="M153" s="679">
        <f>tlOutputFBLOB1CSATImpact1_R2</f>
        <v>0</v>
      </c>
      <c r="N153" t="s">
        <v>7709</v>
      </c>
    </row>
    <row r="154" spans="1:14">
      <c r="B154" s="389" t="s">
        <v>1615</v>
      </c>
      <c r="C154" s="388"/>
      <c r="D154" s="388"/>
      <c r="E154" s="677">
        <f>tlOutputFBLOB1CSATImpact2_R1</f>
        <v>8.9999999999999802E-3</v>
      </c>
      <c r="F154" s="677">
        <f>tlOutputFBLOB1CSATImpact2_R1</f>
        <v>8.9999999999999802E-3</v>
      </c>
      <c r="G154" s="680">
        <f>tlOutputFBLOB1CSATImpact2_R1</f>
        <v>8.9999999999999802E-3</v>
      </c>
      <c r="H154" t="s">
        <v>4783</v>
      </c>
      <c r="I154" s="389" t="s">
        <v>1615</v>
      </c>
      <c r="J154" s="388"/>
      <c r="K154" s="677">
        <f>tlOutputFBLOB1CSATImpact2_R2</f>
        <v>0</v>
      </c>
      <c r="L154" s="677">
        <f>tlOutputFBLOB1CSATImpact2_R2</f>
        <v>0</v>
      </c>
      <c r="M154" s="680">
        <f>tlOutputFBLOB1CSATImpact2_R2</f>
        <v>0</v>
      </c>
      <c r="N154" t="s">
        <v>7710</v>
      </c>
    </row>
    <row r="155" spans="1:14">
      <c r="B155" s="389" t="s">
        <v>489</v>
      </c>
      <c r="C155" s="388"/>
      <c r="D155" s="388"/>
      <c r="E155" s="677">
        <f>tlOutputFBLOB1CSATImpact3_R1</f>
        <v>0</v>
      </c>
      <c r="F155" s="677">
        <f>tlOutputFBLOB1CSATImpact3_R1</f>
        <v>0</v>
      </c>
      <c r="G155" s="680">
        <f>tlOutputFBLOB1CSATImpact3_R1</f>
        <v>0</v>
      </c>
      <c r="H155" t="s">
        <v>4784</v>
      </c>
      <c r="I155" s="389" t="s">
        <v>489</v>
      </c>
      <c r="J155" s="388"/>
      <c r="K155" s="677">
        <f>tlOutputFBLOB1CSATImpact3_R2</f>
        <v>-1.0515584014389489E-2</v>
      </c>
      <c r="L155" s="677">
        <f>tlOutputFBLOB1CSATImpact3_R2</f>
        <v>-1.0515584014389489E-2</v>
      </c>
      <c r="M155" s="680">
        <f>tlOutputFBLOB1CSATImpact3_R2</f>
        <v>-1.0515584014389489E-2</v>
      </c>
      <c r="N155" t="s">
        <v>7711</v>
      </c>
    </row>
    <row r="156" spans="1:14">
      <c r="B156" s="389" t="s">
        <v>4351</v>
      </c>
      <c r="C156" s="388"/>
      <c r="D156" s="388"/>
      <c r="E156" s="677">
        <f>tlOutputFBLOB1CSATImpact4_R1</f>
        <v>9.0000000000000084E-4</v>
      </c>
      <c r="F156" s="677">
        <f>tlOutputFBLOB1CSATImpact4_R1</f>
        <v>9.0000000000000084E-4</v>
      </c>
      <c r="G156" s="680">
        <f>tlOutputFBLOB1CSATImpact4_R1</f>
        <v>9.0000000000000084E-4</v>
      </c>
      <c r="H156" t="s">
        <v>4785</v>
      </c>
      <c r="I156" s="389" t="s">
        <v>4351</v>
      </c>
      <c r="J156" s="388"/>
      <c r="K156" s="677">
        <f>tlOutputFBLOB1CSATImpact4_R2</f>
        <v>-1.4020778685852608E-3</v>
      </c>
      <c r="L156" s="677">
        <f>tlOutputFBLOB1CSATImpact4_R2</f>
        <v>-1.4020778685852608E-3</v>
      </c>
      <c r="M156" s="680">
        <f>tlOutputFBLOB1CSATImpact4_R2</f>
        <v>-1.4020778685852608E-3</v>
      </c>
      <c r="N156" t="s">
        <v>7712</v>
      </c>
    </row>
    <row r="157" spans="1:14">
      <c r="B157" s="675" t="s">
        <v>2978</v>
      </c>
      <c r="C157" s="668"/>
      <c r="D157" s="668"/>
      <c r="E157" s="676">
        <f>tlOutputFBLOB1CSAT_R1</f>
        <v>0.8599</v>
      </c>
      <c r="F157" s="676">
        <f>tlOutputFBLOB1CSAT_R1</f>
        <v>0.8599</v>
      </c>
      <c r="G157" s="681">
        <f>tlOutputFBLOB1CSAT_R1</f>
        <v>0.8599</v>
      </c>
      <c r="H157" t="s">
        <v>4786</v>
      </c>
      <c r="I157" s="675" t="s">
        <v>2978</v>
      </c>
      <c r="J157" s="668"/>
      <c r="K157" s="676">
        <f>tlOutputFBLOB1CSAT_R2</f>
        <v>0.84798233811702528</v>
      </c>
      <c r="L157" s="676">
        <f>tlOutputFBLOB1CSAT_R2</f>
        <v>0.84798233811702528</v>
      </c>
      <c r="M157" s="681">
        <f>tlOutputFBLOB1CSAT_R2</f>
        <v>0.84798233811702528</v>
      </c>
      <c r="N157" t="s">
        <v>7713</v>
      </c>
    </row>
    <row r="158" spans="1:14">
      <c r="B158" s="389"/>
      <c r="C158" s="388"/>
      <c r="D158" s="388"/>
      <c r="E158" s="388"/>
      <c r="F158" s="388"/>
      <c r="G158" s="391"/>
      <c r="I158" s="389"/>
      <c r="J158" s="388"/>
      <c r="K158" s="388"/>
      <c r="L158" s="388"/>
      <c r="M158" s="391"/>
    </row>
    <row r="159" spans="1:14">
      <c r="B159" s="389" t="s">
        <v>4352</v>
      </c>
      <c r="C159" s="388"/>
      <c r="D159" s="388"/>
      <c r="E159" s="388"/>
      <c r="F159" s="388"/>
      <c r="G159" s="391"/>
      <c r="I159" s="389" t="s">
        <v>4352</v>
      </c>
      <c r="J159" s="388"/>
      <c r="K159" s="388"/>
      <c r="L159" s="388"/>
      <c r="M159" s="391"/>
    </row>
    <row r="160" spans="1:14">
      <c r="B160" s="397" t="s">
        <v>2980</v>
      </c>
      <c r="C160" s="398"/>
      <c r="D160" s="398"/>
      <c r="E160" s="678">
        <f>tlOutputFBLOB1StarsImpact1_R1</f>
        <v>0</v>
      </c>
      <c r="F160" s="678">
        <f>tlOutputFBLOB1StarsImpact1_R1</f>
        <v>0</v>
      </c>
      <c r="G160" s="679">
        <f>tlOutputFBLOB1StarsImpact1_R1</f>
        <v>0</v>
      </c>
      <c r="H160" t="s">
        <v>4787</v>
      </c>
      <c r="I160" s="397" t="s">
        <v>2980</v>
      </c>
      <c r="J160" s="398"/>
      <c r="K160" s="678">
        <f>tlOutputFBLOB1StarsImpact1_R2</f>
        <v>0</v>
      </c>
      <c r="L160" s="678">
        <f>tlOutputFBLOB1StarsImpact1_R2</f>
        <v>0</v>
      </c>
      <c r="M160" s="679">
        <f>tlOutputFBLOB1StarsImpact1_R2</f>
        <v>0</v>
      </c>
      <c r="N160" t="s">
        <v>7714</v>
      </c>
    </row>
    <row r="161" spans="2:14">
      <c r="B161" s="389" t="s">
        <v>491</v>
      </c>
      <c r="C161" s="388"/>
      <c r="D161" s="388"/>
      <c r="E161" s="677">
        <f>tlOutputFBLOB1StarsImpact2_R1</f>
        <v>0</v>
      </c>
      <c r="F161" s="677">
        <f>tlOutputFBLOB1StarsImpact2_R1</f>
        <v>0</v>
      </c>
      <c r="G161" s="680">
        <f>tlOutputFBLOB1StarsImpact2_R1</f>
        <v>0</v>
      </c>
      <c r="H161" t="s">
        <v>4788</v>
      </c>
      <c r="I161" s="389" t="s">
        <v>491</v>
      </c>
      <c r="J161" s="388"/>
      <c r="K161" s="677">
        <f>tlOutputFBLOB1StarsImpact2_R2</f>
        <v>0</v>
      </c>
      <c r="L161" s="677">
        <f>tlOutputFBLOB1StarsImpact2_R2</f>
        <v>0</v>
      </c>
      <c r="M161" s="680">
        <f>tlOutputFBLOB1StarsImpact2_R2</f>
        <v>0</v>
      </c>
      <c r="N161" t="s">
        <v>7715</v>
      </c>
    </row>
    <row r="162" spans="2:14">
      <c r="B162" s="389" t="s">
        <v>1615</v>
      </c>
      <c r="C162" s="388"/>
      <c r="D162" s="388"/>
      <c r="E162" s="677">
        <f>tlOutputFBLOB1StarsImpact3_R1</f>
        <v>8.9999999999999802E-3</v>
      </c>
      <c r="F162" s="677">
        <f>tlOutputFBLOB1StarsImpact3_R1</f>
        <v>8.9999999999999802E-3</v>
      </c>
      <c r="G162" s="680">
        <f>tlOutputFBLOB1StarsImpact3_R1</f>
        <v>8.9999999999999802E-3</v>
      </c>
      <c r="H162" t="s">
        <v>4789</v>
      </c>
      <c r="I162" s="389" t="s">
        <v>1615</v>
      </c>
      <c r="J162" s="388"/>
      <c r="K162" s="677">
        <f>tlOutputFBLOB1StarsImpact3_R2</f>
        <v>0</v>
      </c>
      <c r="L162" s="677">
        <f>tlOutputFBLOB1StarsImpact3_R2</f>
        <v>0</v>
      </c>
      <c r="M162" s="680">
        <f>tlOutputFBLOB1StarsImpact3_R2</f>
        <v>0</v>
      </c>
      <c r="N162" t="s">
        <v>7716</v>
      </c>
    </row>
    <row r="163" spans="2:14">
      <c r="B163" s="389">
        <v>0</v>
      </c>
      <c r="C163" s="388"/>
      <c r="D163" s="388"/>
      <c r="E163" s="677">
        <f>tlOutputFBLOB1StarsImpact4_R1</f>
        <v>0</v>
      </c>
      <c r="F163" s="677">
        <f>tlOutputFBLOB1StarsImpact4_R1</f>
        <v>0</v>
      </c>
      <c r="G163" s="680">
        <f>tlOutputFBLOB1StarsImpact4_R1</f>
        <v>0</v>
      </c>
      <c r="H163" t="s">
        <v>4790</v>
      </c>
      <c r="I163" s="389">
        <v>0</v>
      </c>
      <c r="J163" s="388"/>
      <c r="K163" s="677">
        <f>tlOutputFBLOB1StarsImpact4_R2</f>
        <v>0</v>
      </c>
      <c r="L163" s="677">
        <f>tlOutputFBLOB1StarsImpact4_R2</f>
        <v>0</v>
      </c>
      <c r="M163" s="680">
        <f>tlOutputFBLOB1StarsImpact4_R2</f>
        <v>0</v>
      </c>
      <c r="N163" t="s">
        <v>7717</v>
      </c>
    </row>
    <row r="164" spans="2:14">
      <c r="B164" s="389" t="s">
        <v>489</v>
      </c>
      <c r="C164" s="388"/>
      <c r="D164" s="388"/>
      <c r="E164" s="677">
        <f>tlOutputFBLOB1StarsImpact5_R1</f>
        <v>0</v>
      </c>
      <c r="F164" s="677">
        <f>tlOutputFBLOB1StarsImpact5_R1</f>
        <v>0</v>
      </c>
      <c r="G164" s="680">
        <f>tlOutputFBLOB1StarsImpact5_R1</f>
        <v>0</v>
      </c>
      <c r="H164" t="s">
        <v>4792</v>
      </c>
      <c r="I164" s="389" t="s">
        <v>489</v>
      </c>
      <c r="J164" s="388"/>
      <c r="K164" s="677">
        <f>tlOutputFBLOB1StarsImpact5_R2</f>
        <v>-1.4020778685852654E-2</v>
      </c>
      <c r="L164" s="677">
        <f>tlOutputFBLOB1StarsImpact5_R2</f>
        <v>-1.4020778685852654E-2</v>
      </c>
      <c r="M164" s="680">
        <f>tlOutputFBLOB1StarsImpact5_R2</f>
        <v>-1.4020778685852654E-2</v>
      </c>
      <c r="N164" t="s">
        <v>7718</v>
      </c>
    </row>
    <row r="165" spans="2:14">
      <c r="B165" s="675" t="s">
        <v>4352</v>
      </c>
      <c r="C165" s="668"/>
      <c r="D165" s="668"/>
      <c r="E165" s="676">
        <f>tlOutputFBLOB1Stars_R1</f>
        <v>0.78900000000000003</v>
      </c>
      <c r="F165" s="676">
        <f>tlOutputFBLOB1Stars_R1</f>
        <v>0.78900000000000003</v>
      </c>
      <c r="G165" s="681">
        <f>tlOutputFBLOB1Stars_R1</f>
        <v>0.78900000000000003</v>
      </c>
      <c r="H165" t="s">
        <v>4791</v>
      </c>
      <c r="I165" s="675" t="s">
        <v>4352</v>
      </c>
      <c r="J165" s="668"/>
      <c r="K165" s="676">
        <f>tlOutputFBLOB1Stars_R2</f>
        <v>0.77497922131414743</v>
      </c>
      <c r="L165" s="676">
        <f>tlOutputFBLOB1Stars_R2</f>
        <v>0.77497922131414743</v>
      </c>
      <c r="M165" s="681">
        <f>tlOutputFBLOB1Stars_R2</f>
        <v>0.77497922131414743</v>
      </c>
      <c r="N165" t="s">
        <v>7719</v>
      </c>
    </row>
    <row r="166" spans="2:14">
      <c r="B166" s="389"/>
      <c r="C166" s="388"/>
      <c r="D166" s="388"/>
      <c r="E166" s="388"/>
      <c r="F166" s="388"/>
      <c r="G166" s="391"/>
      <c r="I166" s="389"/>
      <c r="J166" s="388"/>
      <c r="K166" s="388"/>
      <c r="L166" s="388"/>
      <c r="M166" s="391"/>
    </row>
    <row r="167" spans="2:14" ht="10.5">
      <c r="B167" s="670" t="s">
        <v>1585</v>
      </c>
      <c r="C167" s="388"/>
      <c r="D167" s="388"/>
      <c r="E167" s="388"/>
      <c r="F167" s="388"/>
      <c r="G167" s="391"/>
      <c r="I167" s="670" t="s">
        <v>1585</v>
      </c>
      <c r="J167" s="388"/>
      <c r="K167" s="388"/>
      <c r="L167" s="388"/>
      <c r="M167" s="391"/>
    </row>
    <row r="168" spans="2:14">
      <c r="B168" s="389" t="s">
        <v>627</v>
      </c>
      <c r="C168" s="388"/>
      <c r="D168" s="388"/>
      <c r="E168" s="677">
        <f>caclLOB1Emp1Utilization</f>
        <v>1.1259575521425378</v>
      </c>
      <c r="F168" s="677">
        <f>caclLOB1Emp1Utilization</f>
        <v>0.96646933227814447</v>
      </c>
      <c r="G168" s="680">
        <f>caclLOB1Emp1Utilization</f>
        <v>0.85212540049824292</v>
      </c>
      <c r="H168" t="s">
        <v>4761</v>
      </c>
      <c r="I168" s="389" t="s">
        <v>627</v>
      </c>
      <c r="J168" s="388"/>
      <c r="K168" s="677">
        <f>calcR2LOB1Emp1Utilization</f>
        <v>1.3055285567825181</v>
      </c>
      <c r="L168" s="677">
        <f>calcR2LOB1Emp1Utilization</f>
        <v>1.0098148593735243</v>
      </c>
      <c r="M168" s="680">
        <f>calcR2LOB1Emp1Utilization</f>
        <v>0.92116537866393655</v>
      </c>
      <c r="N168" t="s">
        <v>4762</v>
      </c>
    </row>
    <row r="169" spans="2:14">
      <c r="B169" s="389" t="s">
        <v>628</v>
      </c>
      <c r="C169" s="388"/>
      <c r="D169" s="388"/>
      <c r="E169" s="677">
        <f>caclLOB1Emp2Utilization</f>
        <v>1.1483328613809767</v>
      </c>
      <c r="F169" s="677">
        <f>caclLOB1Emp2Utilization</f>
        <v>0.91238274072619374</v>
      </c>
      <c r="G169" s="680">
        <f>caclLOB1Emp2Utilization</f>
        <v>0.76365801279294643</v>
      </c>
      <c r="H169" t="s">
        <v>4763</v>
      </c>
      <c r="I169" s="389" t="s">
        <v>628</v>
      </c>
      <c r="J169" s="388"/>
      <c r="K169" s="677">
        <f>calcR2LOB1Emp2Utilization</f>
        <v>1.341519366981387</v>
      </c>
      <c r="L169" s="677">
        <f>calcR2LOB1Emp2Utilization</f>
        <v>0.91692526047524336</v>
      </c>
      <c r="M169" s="680">
        <f>calcR2LOB1Emp2Utilization</f>
        <v>0.80226148311846779</v>
      </c>
      <c r="N169" t="s">
        <v>4764</v>
      </c>
    </row>
    <row r="170" spans="2:14">
      <c r="B170" s="389" t="s">
        <v>629</v>
      </c>
      <c r="C170" s="388"/>
      <c r="D170" s="388"/>
      <c r="E170" s="677">
        <f>caclLOB1Emp3Utilization</f>
        <v>1.1526974855072172</v>
      </c>
      <c r="F170" s="677">
        <f>caclLOB1Emp3Utilization</f>
        <v>0.90219216971139937</v>
      </c>
      <c r="G170" s="680">
        <f>caclLOB1Emp3Utilization</f>
        <v>0.84576961921894778</v>
      </c>
      <c r="H170" t="s">
        <v>4765</v>
      </c>
      <c r="I170" s="389" t="s">
        <v>629</v>
      </c>
      <c r="J170" s="388"/>
      <c r="K170" s="677">
        <f>calcR2LOB1Emp3Utilization</f>
        <v>1.3425495887098164</v>
      </c>
      <c r="L170" s="677">
        <f>calcR2LOB1Emp3Utilization</f>
        <v>0.9066499459194981</v>
      </c>
      <c r="M170" s="680">
        <f>calcR2LOB1Emp3Utilization</f>
        <v>0.88628743713975133</v>
      </c>
      <c r="N170" t="s">
        <v>4766</v>
      </c>
    </row>
    <row r="171" spans="2:14">
      <c r="B171" s="389"/>
      <c r="C171" s="388"/>
      <c r="D171" s="388"/>
      <c r="E171" s="388"/>
      <c r="F171" s="388"/>
      <c r="G171" s="391"/>
      <c r="I171" s="389"/>
      <c r="J171" s="388"/>
      <c r="K171" s="388"/>
      <c r="L171" s="388"/>
      <c r="M171" s="391"/>
    </row>
    <row r="172" spans="2:14">
      <c r="B172" s="389" t="s">
        <v>7866</v>
      </c>
      <c r="C172" s="388"/>
      <c r="D172" s="388"/>
      <c r="E172" s="388"/>
      <c r="F172" s="388"/>
      <c r="G172" s="391"/>
      <c r="H172" t="s">
        <v>2831</v>
      </c>
      <c r="I172" s="389" t="s">
        <v>7866</v>
      </c>
      <c r="J172" s="388"/>
      <c r="K172" s="388"/>
      <c r="L172" s="388"/>
      <c r="M172" s="391"/>
      <c r="N172" t="s">
        <v>2833</v>
      </c>
    </row>
    <row r="173" spans="2:14">
      <c r="B173" s="389" t="s">
        <v>7867</v>
      </c>
      <c r="C173" s="388"/>
      <c r="D173" s="388"/>
      <c r="E173" s="388" t="str">
        <f>decLOB1Cln11Dis_R1</f>
        <v>Open</v>
      </c>
      <c r="F173" s="388" t="str">
        <f>decLOB1Cln11Dis_R1</f>
        <v>Open</v>
      </c>
      <c r="G173" s="391" t="str">
        <f>decLOB1Cln11Dis_R1</f>
        <v>Open</v>
      </c>
      <c r="H173" t="s">
        <v>2868</v>
      </c>
      <c r="I173" s="389" t="s">
        <v>7867</v>
      </c>
      <c r="J173" s="388"/>
      <c r="K173" s="388" t="str">
        <f>decLOB1Cln11Dis_R2</f>
        <v>Open</v>
      </c>
      <c r="L173" s="388" t="str">
        <f>decLOB1Cln11Dis_R2</f>
        <v>Open</v>
      </c>
      <c r="M173" s="391" t="str">
        <f>decLOB1Cln11Dis_R2</f>
        <v>Open</v>
      </c>
      <c r="N173" t="s">
        <v>2870</v>
      </c>
    </row>
    <row r="174" spans="2:14">
      <c r="B174" s="389" t="s">
        <v>7868</v>
      </c>
      <c r="C174" s="388"/>
      <c r="D174" s="388"/>
      <c r="E174" s="388" t="str">
        <f>decLOB1Cln12Dis_R1</f>
        <v>Open</v>
      </c>
      <c r="F174" s="388" t="str">
        <f>decLOB1Cln12Dis_R1</f>
        <v>Open</v>
      </c>
      <c r="G174" s="391" t="str">
        <f>decLOB1Cln12Dis_R1</f>
        <v>Open</v>
      </c>
      <c r="H174" t="s">
        <v>2832</v>
      </c>
      <c r="I174" s="389" t="s">
        <v>7868</v>
      </c>
      <c r="J174" s="388"/>
      <c r="K174" s="388" t="str">
        <f>decLOB1Cln12Dis_R2</f>
        <v>Open</v>
      </c>
      <c r="L174" s="388" t="str">
        <f>decLOB1Cln12Dis_R2</f>
        <v>Open</v>
      </c>
      <c r="M174" s="391" t="str">
        <f>decLOB1Cln12Dis_R2</f>
        <v>Open</v>
      </c>
      <c r="N174" t="s">
        <v>2834</v>
      </c>
    </row>
    <row r="175" spans="2:14">
      <c r="B175" s="389" t="s">
        <v>2856</v>
      </c>
      <c r="C175" s="388"/>
      <c r="D175" s="388"/>
      <c r="E175" s="388" t="str">
        <f>decLOB1Cln11Status_R1</f>
        <v>Open</v>
      </c>
      <c r="F175" s="388" t="str">
        <f>decLOB1Cln11Status_R1</f>
        <v>Open</v>
      </c>
      <c r="G175" s="391" t="str">
        <f>decLOB1Cln11Status_R1</f>
        <v>Open</v>
      </c>
      <c r="H175" t="s">
        <v>2869</v>
      </c>
      <c r="I175" s="389" t="s">
        <v>2856</v>
      </c>
      <c r="J175" s="388"/>
      <c r="K175" s="388" t="str">
        <f>decLOB1Cln11Status_R2</f>
        <v>Open</v>
      </c>
      <c r="L175" s="388" t="str">
        <f>decLOB1Cln11Status_R2</f>
        <v>Open</v>
      </c>
      <c r="M175" s="391" t="str">
        <f>decLOB1Cln11Status_R2</f>
        <v>Open</v>
      </c>
      <c r="N175" t="s">
        <v>2871</v>
      </c>
    </row>
    <row r="176" spans="2:14">
      <c r="B176" s="389" t="s">
        <v>2911</v>
      </c>
      <c r="C176" s="388"/>
      <c r="D176" s="388"/>
      <c r="E176" s="388" t="str">
        <f>decLOB1Cln12Status_R1</f>
        <v>Open</v>
      </c>
      <c r="F176" s="388" t="str">
        <f>decLOB1Cln12Status_R1</f>
        <v>Open</v>
      </c>
      <c r="G176" s="391" t="str">
        <f>decLOB1Cln12Status_R1</f>
        <v>Open</v>
      </c>
      <c r="I176" s="389" t="s">
        <v>2911</v>
      </c>
      <c r="J176" s="388"/>
      <c r="K176" s="388" t="str">
        <f>decLOB1Cln12Status_R2</f>
        <v>Open</v>
      </c>
      <c r="L176" s="388" t="str">
        <f>decLOB1Cln12Status_R2</f>
        <v>Open</v>
      </c>
      <c r="M176" s="391" t="str">
        <f>decLOB1Cln12Status_R2</f>
        <v>Open</v>
      </c>
    </row>
    <row r="177" spans="2:14">
      <c r="B177" s="389"/>
      <c r="C177" s="388"/>
      <c r="D177" s="388"/>
      <c r="E177" s="388"/>
      <c r="F177" s="388"/>
      <c r="G177" s="391"/>
      <c r="I177" s="389"/>
      <c r="J177" s="388"/>
      <c r="K177" s="388"/>
      <c r="L177" s="388"/>
      <c r="M177" s="391"/>
    </row>
    <row r="178" spans="2:14">
      <c r="B178" s="389" t="s">
        <v>7853</v>
      </c>
      <c r="C178" s="388"/>
      <c r="D178" s="388"/>
      <c r="E178" s="388"/>
      <c r="F178" s="388"/>
      <c r="G178" s="391"/>
      <c r="I178" s="389" t="s">
        <v>7853</v>
      </c>
      <c r="J178" s="388"/>
      <c r="K178" s="388"/>
      <c r="L178" s="388"/>
      <c r="M178" s="391"/>
    </row>
    <row r="179" spans="2:14">
      <c r="B179" s="389" t="str">
        <f>tlOutputLOB1Cln1Name_R2</f>
        <v>Tiana Teachout  </v>
      </c>
      <c r="C179" s="388"/>
      <c r="D179" s="388"/>
      <c r="E179" s="696">
        <f>decLOB1Cln1Mtng_R1</f>
        <v>0</v>
      </c>
      <c r="F179" s="696">
        <f>decLOB1Cln1Mtng_R1</f>
        <v>0</v>
      </c>
      <c r="G179" s="697">
        <f>decLOB1Cln1Mtng_R1</f>
        <v>0</v>
      </c>
      <c r="H179" t="s">
        <v>880</v>
      </c>
      <c r="I179" s="389" t="str">
        <f>tlOutputLOB1Cln1Name_R2</f>
        <v>Tiana Teachout  </v>
      </c>
      <c r="J179" s="388"/>
      <c r="K179" s="696">
        <f>decLOB1Cln1Mtng_R2</f>
        <v>0</v>
      </c>
      <c r="L179" s="696">
        <f>decLOB1Cln1Mtng_R2</f>
        <v>0</v>
      </c>
      <c r="M179" s="697">
        <f>decLOB1Cln1Mtng_R2</f>
        <v>0</v>
      </c>
      <c r="N179" t="s">
        <v>891</v>
      </c>
    </row>
    <row r="180" spans="2:14">
      <c r="B180" s="389" t="str">
        <f>tlOutputLOB1Cln2Name_R2</f>
        <v>Vernon Vale  </v>
      </c>
      <c r="C180" s="388"/>
      <c r="D180" s="388"/>
      <c r="E180" s="696">
        <f>decLOB1Cln2Mtng_R1</f>
        <v>0</v>
      </c>
      <c r="F180" s="696">
        <f>decLOB1Cln2Mtng_R1</f>
        <v>0</v>
      </c>
      <c r="G180" s="697">
        <f>decLOB1Cln2Mtng_R1</f>
        <v>0</v>
      </c>
      <c r="H180" t="s">
        <v>902</v>
      </c>
      <c r="I180" s="389" t="str">
        <f>tlOutputLOB1Cln2Name_R2</f>
        <v>Vernon Vale  </v>
      </c>
      <c r="J180" s="388"/>
      <c r="K180" s="696">
        <f>decLOB1Cln2Mtng_R2</f>
        <v>0</v>
      </c>
      <c r="L180" s="696">
        <f>decLOB1Cln2Mtng_R2</f>
        <v>0</v>
      </c>
      <c r="M180" s="697">
        <f>decLOB1Cln2Mtng_R2</f>
        <v>0</v>
      </c>
      <c r="N180" t="s">
        <v>913</v>
      </c>
    </row>
    <row r="181" spans="2:14">
      <c r="B181" s="389" t="str">
        <f>tlOutputLOB1Cln3Name_R2</f>
        <v>Shelby Schoenfeld  </v>
      </c>
      <c r="C181" s="388"/>
      <c r="D181" s="388"/>
      <c r="E181" s="696">
        <f>decLOB1Cln3Mtng_R1</f>
        <v>0</v>
      </c>
      <c r="F181" s="696">
        <f>decLOB1Cln3Mtng_R1</f>
        <v>0</v>
      </c>
      <c r="G181" s="697">
        <f>decLOB1Cln3Mtng_R1</f>
        <v>0</v>
      </c>
      <c r="H181" t="s">
        <v>924</v>
      </c>
      <c r="I181" s="389" t="str">
        <f>tlOutputLOB1Cln3Name_R2</f>
        <v>Shelby Schoenfeld  </v>
      </c>
      <c r="J181" s="388"/>
      <c r="K181" s="696">
        <f>decLOB1Cln3Mtng_R2</f>
        <v>0</v>
      </c>
      <c r="L181" s="696">
        <f>decLOB1Cln3Mtng_R2</f>
        <v>0</v>
      </c>
      <c r="M181" s="697">
        <f>decLOB1Cln3Mtng_R2</f>
        <v>0</v>
      </c>
      <c r="N181" t="s">
        <v>935</v>
      </c>
    </row>
    <row r="182" spans="2:14">
      <c r="B182" s="389" t="str">
        <f>tlOutputLOB1Cln4Name_R2</f>
        <v>Edmond Estepp  </v>
      </c>
      <c r="C182" s="388"/>
      <c r="D182" s="388"/>
      <c r="E182" s="696">
        <f>decLOB1Cln4Mtng_R1</f>
        <v>0</v>
      </c>
      <c r="F182" s="696">
        <f>decLOB1Cln4Mtng_R1</f>
        <v>0</v>
      </c>
      <c r="G182" s="697">
        <f>decLOB1Cln4Mtng_R1</f>
        <v>0</v>
      </c>
      <c r="H182" t="s">
        <v>946</v>
      </c>
      <c r="I182" s="389" t="str">
        <f>tlOutputLOB1Cln4Name_R2</f>
        <v>Edmond Estepp  </v>
      </c>
      <c r="J182" s="388"/>
      <c r="K182" s="696">
        <f>decLOB1Cln4Mtng_R2</f>
        <v>0</v>
      </c>
      <c r="L182" s="696">
        <f>decLOB1Cln4Mtng_R2</f>
        <v>0</v>
      </c>
      <c r="M182" s="697">
        <f>decLOB1Cln4Mtng_R2</f>
        <v>0</v>
      </c>
      <c r="N182" t="s">
        <v>957</v>
      </c>
    </row>
    <row r="183" spans="2:14">
      <c r="B183" s="389" t="str">
        <f>tlOutputLOB1Cln5Name_R2</f>
        <v>Beatrice Ballew  </v>
      </c>
      <c r="C183" s="388"/>
      <c r="D183" s="388"/>
      <c r="E183" s="696">
        <f>decLOB1Cln5Mtng_R1</f>
        <v>0</v>
      </c>
      <c r="F183" s="696">
        <f>decLOB1Cln5Mtng_R1</f>
        <v>0</v>
      </c>
      <c r="G183" s="697">
        <f>decLOB1Cln5Mtng_R1</f>
        <v>0</v>
      </c>
      <c r="H183" t="s">
        <v>968</v>
      </c>
      <c r="I183" s="389" t="str">
        <f>tlOutputLOB1Cln5Name_R2</f>
        <v>Beatrice Ballew  </v>
      </c>
      <c r="J183" s="388"/>
      <c r="K183" s="696">
        <f>decLOB1Cln5Mtng_R2</f>
        <v>0</v>
      </c>
      <c r="L183" s="696">
        <f>decLOB1Cln5Mtng_R2</f>
        <v>0</v>
      </c>
      <c r="M183" s="697">
        <f>decLOB1Cln5Mtng_R2</f>
        <v>0</v>
      </c>
      <c r="N183" t="s">
        <v>979</v>
      </c>
    </row>
    <row r="184" spans="2:14">
      <c r="B184" s="389" t="str">
        <f>tlOutputLOB1Cln6Name_R2</f>
        <v>Joy Jernigan  </v>
      </c>
      <c r="C184" s="388"/>
      <c r="D184" s="388"/>
      <c r="E184" s="696">
        <f>decLOB1Cln6Mtng_R1</f>
        <v>0</v>
      </c>
      <c r="F184" s="696">
        <f>decLOB1Cln6Mtng_R1</f>
        <v>0</v>
      </c>
      <c r="G184" s="697">
        <f>decLOB1Cln6Mtng_R1</f>
        <v>0</v>
      </c>
      <c r="H184" t="s">
        <v>990</v>
      </c>
      <c r="I184" s="389" t="str">
        <f>tlOutputLOB1Cln6Name_R2</f>
        <v>Joy Jernigan  </v>
      </c>
      <c r="J184" s="388"/>
      <c r="K184" s="696">
        <f>decLOB1Cln6Mtng_R2</f>
        <v>0</v>
      </c>
      <c r="L184" s="696">
        <f>decLOB1Cln6Mtng_R2</f>
        <v>0</v>
      </c>
      <c r="M184" s="697">
        <f>decLOB1Cln6Mtng_R2</f>
        <v>0</v>
      </c>
      <c r="N184" t="s">
        <v>1001</v>
      </c>
    </row>
    <row r="185" spans="2:14">
      <c r="B185" s="389" t="str">
        <f>tlOutputLOB1Cln7Name_R2</f>
        <v>Ellie Elizalde  </v>
      </c>
      <c r="C185" s="388"/>
      <c r="D185" s="388"/>
      <c r="E185" s="696">
        <f>decLOB1Cln7Mtng_R1</f>
        <v>0</v>
      </c>
      <c r="F185" s="696">
        <f>decLOB1Cln7Mtng_R1</f>
        <v>0</v>
      </c>
      <c r="G185" s="697">
        <f>decLOB1Cln7Mtng_R1</f>
        <v>0</v>
      </c>
      <c r="H185" t="s">
        <v>1012</v>
      </c>
      <c r="I185" s="389" t="str">
        <f>tlOutputLOB1Cln7Name_R2</f>
        <v>Ellie Elizalde  </v>
      </c>
      <c r="J185" s="388"/>
      <c r="K185" s="696">
        <f>decLOB1Cln7Mtng_R2</f>
        <v>0</v>
      </c>
      <c r="L185" s="696">
        <f>decLOB1Cln7Mtng_R2</f>
        <v>0</v>
      </c>
      <c r="M185" s="697">
        <f>decLOB1Cln7Mtng_R2</f>
        <v>0</v>
      </c>
      <c r="N185" t="s">
        <v>1023</v>
      </c>
    </row>
    <row r="186" spans="2:14">
      <c r="B186" s="389" t="str">
        <f>tlOutputLOB1Cln8Name_R2</f>
        <v>Jestine Jeffers  </v>
      </c>
      <c r="C186" s="388"/>
      <c r="D186" s="388"/>
      <c r="E186" s="696">
        <f>decLOB1Cln8Mtng_R1</f>
        <v>0</v>
      </c>
      <c r="F186" s="696">
        <f>decLOB1Cln8Mtng_R1</f>
        <v>0</v>
      </c>
      <c r="G186" s="697">
        <f>decLOB1Cln8Mtng_R1</f>
        <v>0</v>
      </c>
      <c r="H186" t="s">
        <v>1034</v>
      </c>
      <c r="I186" s="389" t="str">
        <f>tlOutputLOB1Cln8Name_R2</f>
        <v>Jestine Jeffers  </v>
      </c>
      <c r="J186" s="388"/>
      <c r="K186" s="696">
        <f>decLOB1Cln8Mtng_R2</f>
        <v>0</v>
      </c>
      <c r="L186" s="696">
        <f>decLOB1Cln8Mtng_R2</f>
        <v>0</v>
      </c>
      <c r="M186" s="697">
        <f>decLOB1Cln8Mtng_R2</f>
        <v>0</v>
      </c>
      <c r="N186" t="s">
        <v>1045</v>
      </c>
    </row>
    <row r="187" spans="2:14">
      <c r="B187" s="389" t="str">
        <f>tlOutputLOB1Cln9Name_R2</f>
        <v>Elease Esters  </v>
      </c>
      <c r="C187" s="388"/>
      <c r="D187" s="388"/>
      <c r="E187" s="696">
        <f>decLOB1Cln9Mtng_R1</f>
        <v>0</v>
      </c>
      <c r="F187" s="696">
        <f>decLOB1Cln9Mtng_R1</f>
        <v>0</v>
      </c>
      <c r="G187" s="697">
        <f>decLOB1Cln9Mtng_R1</f>
        <v>0</v>
      </c>
      <c r="H187" t="s">
        <v>1056</v>
      </c>
      <c r="I187" s="389" t="str">
        <f>tlOutputLOB1Cln9Name_R2</f>
        <v>Elease Esters  </v>
      </c>
      <c r="J187" s="388"/>
      <c r="K187" s="696">
        <f>decLOB1Cln9Mtng_R2</f>
        <v>0</v>
      </c>
      <c r="L187" s="696">
        <f>decLOB1Cln9Mtng_R2</f>
        <v>0</v>
      </c>
      <c r="M187" s="697">
        <f>decLOB1Cln9Mtng_R2</f>
        <v>0</v>
      </c>
      <c r="N187" t="s">
        <v>1067</v>
      </c>
    </row>
    <row r="188" spans="2:14">
      <c r="B188" s="389" t="str">
        <f>tlOutputLOB1Cln10Name_R2</f>
        <v>Ginger Gault  </v>
      </c>
      <c r="C188" s="388"/>
      <c r="D188" s="388"/>
      <c r="E188" s="696">
        <f>decLOB1Cln10Mtng_R1</f>
        <v>0</v>
      </c>
      <c r="F188" s="696">
        <f>decLOB1Cln10Mtng_R1</f>
        <v>0</v>
      </c>
      <c r="G188" s="697">
        <f>decLOB1Cln10Mtng_R1</f>
        <v>0</v>
      </c>
      <c r="H188" t="s">
        <v>1078</v>
      </c>
      <c r="I188" s="389" t="str">
        <f>tlOutputLOB1Cln10Name_R2</f>
        <v>Ginger Gault  </v>
      </c>
      <c r="J188" s="388"/>
      <c r="K188" s="696">
        <f>decLOB1Cln10Mtng_R2</f>
        <v>0</v>
      </c>
      <c r="L188" s="696">
        <f>decLOB1Cln10Mtng_R2</f>
        <v>0</v>
      </c>
      <c r="M188" s="697">
        <f>decLOB1Cln10Mtng_R2</f>
        <v>0</v>
      </c>
      <c r="N188" t="s">
        <v>1089</v>
      </c>
    </row>
    <row r="189" spans="2:14">
      <c r="B189" s="389">
        <f>tlOutputLOB1Cln11Name_R2</f>
        <v>0</v>
      </c>
      <c r="C189" s="388"/>
      <c r="D189" s="388"/>
      <c r="E189" s="696">
        <f>decLOB1Cln11Mtng_R1</f>
        <v>0</v>
      </c>
      <c r="F189" s="696">
        <f>decLOB1Cln11Mtng_R1</f>
        <v>0</v>
      </c>
      <c r="G189" s="697">
        <f>decLOB1Cln11Mtng_R1</f>
        <v>0</v>
      </c>
      <c r="H189" t="s">
        <v>3367</v>
      </c>
      <c r="I189" s="389">
        <f>tlOutputLOB1Cln11Name_R2</f>
        <v>0</v>
      </c>
      <c r="J189" s="388"/>
      <c r="K189" s="696">
        <f>decLOB1Cln11Mtng_R2</f>
        <v>0</v>
      </c>
      <c r="L189" s="696">
        <f>decLOB1Cln11Mtng_R2</f>
        <v>0</v>
      </c>
      <c r="M189" s="697">
        <f>decLOB1Cln11Mtng_R2</f>
        <v>0</v>
      </c>
      <c r="N189" t="s">
        <v>3371</v>
      </c>
    </row>
    <row r="190" spans="2:14">
      <c r="B190" s="389">
        <f>tlOutputLOB1Cln12Name_R2</f>
        <v>0</v>
      </c>
      <c r="C190" s="388"/>
      <c r="D190" s="388"/>
      <c r="E190" s="696">
        <f>decLOB1Cln12Mtng_R1</f>
        <v>0</v>
      </c>
      <c r="F190" s="696">
        <f>decLOB1Cln12Mtng_R1</f>
        <v>0</v>
      </c>
      <c r="G190" s="697">
        <f>decLOB1Cln12Mtng_R1</f>
        <v>0</v>
      </c>
      <c r="H190" t="s">
        <v>3369</v>
      </c>
      <c r="I190" s="389">
        <f>tlOutputLOB1Cln12Name_R2</f>
        <v>0</v>
      </c>
      <c r="J190" s="388"/>
      <c r="K190" s="696">
        <f>decLOB1Cln12Mtng_R2</f>
        <v>0</v>
      </c>
      <c r="L190" s="696">
        <f>decLOB1Cln12Mtng_R2</f>
        <v>0</v>
      </c>
      <c r="M190" s="697">
        <f>decLOB1Cln12Mtng_R2</f>
        <v>0</v>
      </c>
      <c r="N190" t="s">
        <v>3373</v>
      </c>
    </row>
    <row r="191" spans="2:14">
      <c r="B191" s="389"/>
      <c r="C191" s="388"/>
      <c r="D191" s="388"/>
      <c r="E191" s="388"/>
      <c r="F191" s="388"/>
      <c r="G191" s="391"/>
      <c r="I191" s="389"/>
      <c r="J191" s="388"/>
      <c r="K191" s="388"/>
      <c r="L191" s="388"/>
      <c r="M191" s="391"/>
    </row>
    <row r="192" spans="2:14">
      <c r="B192" s="389" t="s">
        <v>7854</v>
      </c>
      <c r="C192" s="388"/>
      <c r="D192" s="388"/>
      <c r="E192" s="388"/>
      <c r="F192" s="388"/>
      <c r="G192" s="391"/>
      <c r="I192" s="389" t="s">
        <v>7854</v>
      </c>
      <c r="J192" s="388"/>
      <c r="K192" s="388"/>
      <c r="L192" s="388"/>
      <c r="M192" s="391"/>
    </row>
    <row r="193" spans="2:14">
      <c r="B193" s="389" t="str">
        <f>tlOutputLOB1Cln1Name_R2</f>
        <v>Tiana Teachout  </v>
      </c>
      <c r="C193" s="388"/>
      <c r="D193" s="388"/>
      <c r="E193" s="696" t="str">
        <f>decLOB1Cln1Text_R1</f>
        <v>Enter feedback here</v>
      </c>
      <c r="F193" s="696">
        <f>decLOB1Cln1Text_R1</f>
        <v>0</v>
      </c>
      <c r="G193" s="697">
        <f>decLOB1Cln1Text_R1</f>
        <v>0</v>
      </c>
      <c r="H193" t="s">
        <v>3104</v>
      </c>
      <c r="I193" s="389" t="str">
        <f>tlOutputLOB1Cln1Name_R2</f>
        <v>Tiana Teachout  </v>
      </c>
      <c r="J193" s="388"/>
      <c r="K193" s="696" t="str">
        <f>decLOB1Cln1Text_R2</f>
        <v>Enter feedback here</v>
      </c>
      <c r="L193" s="696">
        <f>decLOB1Cln1Text_R2</f>
        <v>0</v>
      </c>
      <c r="M193" s="697">
        <f>decLOB1Cln1Text_R2</f>
        <v>0</v>
      </c>
      <c r="N193" t="s">
        <v>3114</v>
      </c>
    </row>
    <row r="194" spans="2:14">
      <c r="B194" s="389" t="str">
        <f>tlOutputLOB1Cln2Name_R2</f>
        <v>Vernon Vale  </v>
      </c>
      <c r="C194" s="388"/>
      <c r="D194" s="388"/>
      <c r="E194" s="696" t="str">
        <f>decLOB1Cln2Text_R1</f>
        <v>Enter feedback here</v>
      </c>
      <c r="F194" s="696">
        <f>decLOB1Cln2Text_R1</f>
        <v>0</v>
      </c>
      <c r="G194" s="697">
        <f>decLOB1Cln2Text_R1</f>
        <v>0</v>
      </c>
      <c r="H194" t="s">
        <v>3105</v>
      </c>
      <c r="I194" s="389" t="str">
        <f>tlOutputLOB1Cln2Name_R2</f>
        <v>Vernon Vale  </v>
      </c>
      <c r="J194" s="388"/>
      <c r="K194" s="696" t="str">
        <f>decLOB1Cln2Text_R2</f>
        <v>Enter feedback here</v>
      </c>
      <c r="L194" s="696">
        <f>decLOB1Cln2Text_R2</f>
        <v>0</v>
      </c>
      <c r="M194" s="697">
        <f>decLOB1Cln2Text_R2</f>
        <v>0</v>
      </c>
      <c r="N194" t="s">
        <v>3115</v>
      </c>
    </row>
    <row r="195" spans="2:14">
      <c r="B195" s="389" t="str">
        <f>tlOutputLOB1Cln3Name_R2</f>
        <v>Shelby Schoenfeld  </v>
      </c>
      <c r="C195" s="388"/>
      <c r="D195" s="388"/>
      <c r="E195" s="696" t="str">
        <f>decLOB1Cln3Text_R1</f>
        <v>Enter feedback here</v>
      </c>
      <c r="F195" s="696">
        <f>decLOB1Cln3Text_R1</f>
        <v>0</v>
      </c>
      <c r="G195" s="697">
        <f>decLOB1Cln3Text_R1</f>
        <v>0</v>
      </c>
      <c r="H195" t="s">
        <v>3106</v>
      </c>
      <c r="I195" s="389" t="str">
        <f>tlOutputLOB1Cln3Name_R2</f>
        <v>Shelby Schoenfeld  </v>
      </c>
      <c r="J195" s="388"/>
      <c r="K195" s="696" t="str">
        <f>decLOB1Cln3Text_R2</f>
        <v>Enter feedback here</v>
      </c>
      <c r="L195" s="696">
        <f>decLOB1Cln3Text_R2</f>
        <v>0</v>
      </c>
      <c r="M195" s="697">
        <f>decLOB1Cln3Text_R2</f>
        <v>0</v>
      </c>
      <c r="N195" t="s">
        <v>3116</v>
      </c>
    </row>
    <row r="196" spans="2:14">
      <c r="B196" s="389" t="str">
        <f>tlOutputLOB1Cln4Name_R2</f>
        <v>Edmond Estepp  </v>
      </c>
      <c r="C196" s="388"/>
      <c r="D196" s="388"/>
      <c r="E196" s="696" t="str">
        <f>decLOB1Cln4Text_R1</f>
        <v>Enter feedback here</v>
      </c>
      <c r="F196" s="696">
        <f>decLOB1Cln4Text_R1</f>
        <v>0</v>
      </c>
      <c r="G196" s="697">
        <f>decLOB1Cln4Text_R1</f>
        <v>0</v>
      </c>
      <c r="H196" t="s">
        <v>3107</v>
      </c>
      <c r="I196" s="389" t="str">
        <f>tlOutputLOB1Cln4Name_R2</f>
        <v>Edmond Estepp  </v>
      </c>
      <c r="J196" s="388"/>
      <c r="K196" s="696" t="str">
        <f>decLOB1Cln4Text_R2</f>
        <v>Enter feedback here</v>
      </c>
      <c r="L196" s="696">
        <f>decLOB1Cln4Text_R2</f>
        <v>0</v>
      </c>
      <c r="M196" s="697">
        <f>decLOB1Cln4Text_R2</f>
        <v>0</v>
      </c>
      <c r="N196" t="s">
        <v>3117</v>
      </c>
    </row>
    <row r="197" spans="2:14">
      <c r="B197" s="389" t="str">
        <f>tlOutputLOB1Cln5Name_R2</f>
        <v>Beatrice Ballew  </v>
      </c>
      <c r="C197" s="388"/>
      <c r="D197" s="388"/>
      <c r="E197" s="696" t="str">
        <f>decLOB1Cln5Text_R1</f>
        <v>Enter feedback here</v>
      </c>
      <c r="F197" s="696">
        <f>decLOB1Cln5Text_R1</f>
        <v>0</v>
      </c>
      <c r="G197" s="697">
        <f>decLOB1Cln5Text_R1</f>
        <v>0</v>
      </c>
      <c r="H197" t="s">
        <v>3108</v>
      </c>
      <c r="I197" s="389" t="str">
        <f>tlOutputLOB1Cln5Name_R2</f>
        <v>Beatrice Ballew  </v>
      </c>
      <c r="J197" s="388"/>
      <c r="K197" s="696" t="str">
        <f>decLOB1Cln5Text_R2</f>
        <v>Enter feedback here</v>
      </c>
      <c r="L197" s="696">
        <f>decLOB1Cln5Text_R2</f>
        <v>0</v>
      </c>
      <c r="M197" s="697">
        <f>decLOB1Cln5Text_R2</f>
        <v>0</v>
      </c>
      <c r="N197" t="s">
        <v>3118</v>
      </c>
    </row>
    <row r="198" spans="2:14">
      <c r="B198" s="389" t="str">
        <f>tlOutputLOB1Cln6Name_R2</f>
        <v>Joy Jernigan  </v>
      </c>
      <c r="C198" s="388"/>
      <c r="D198" s="388"/>
      <c r="E198" s="696" t="str">
        <f>decLOB1Cln6Text_R1</f>
        <v>Enter feedback here</v>
      </c>
      <c r="F198" s="696">
        <f>decLOB1Cln6Text_R1</f>
        <v>0</v>
      </c>
      <c r="G198" s="697">
        <f>decLOB1Cln6Text_R1</f>
        <v>0</v>
      </c>
      <c r="H198" t="s">
        <v>3109</v>
      </c>
      <c r="I198" s="389" t="str">
        <f>tlOutputLOB1Cln6Name_R2</f>
        <v>Joy Jernigan  </v>
      </c>
      <c r="J198" s="388"/>
      <c r="K198" s="696" t="str">
        <f>decLOB1Cln6Text_R2</f>
        <v>Enter feedback here</v>
      </c>
      <c r="L198" s="696">
        <f>decLOB1Cln6Text_R2</f>
        <v>0</v>
      </c>
      <c r="M198" s="697">
        <f>decLOB1Cln6Text_R2</f>
        <v>0</v>
      </c>
      <c r="N198" t="s">
        <v>3119</v>
      </c>
    </row>
    <row r="199" spans="2:14">
      <c r="B199" s="389" t="str">
        <f>tlOutputLOB1Cln7Name_R2</f>
        <v>Ellie Elizalde  </v>
      </c>
      <c r="C199" s="388"/>
      <c r="D199" s="388"/>
      <c r="E199" s="696" t="str">
        <f>decLOB1Cln7Text_R1</f>
        <v>Enter feedback here</v>
      </c>
      <c r="F199" s="696">
        <f>decLOB1Cln7Text_R1</f>
        <v>0</v>
      </c>
      <c r="G199" s="697">
        <f>decLOB1Cln7Text_R1</f>
        <v>0</v>
      </c>
      <c r="H199" t="s">
        <v>3110</v>
      </c>
      <c r="I199" s="389" t="str">
        <f>tlOutputLOB1Cln7Name_R2</f>
        <v>Ellie Elizalde  </v>
      </c>
      <c r="J199" s="388"/>
      <c r="K199" s="696" t="str">
        <f>decLOB1Cln7Text_R2</f>
        <v>Enter feedback here</v>
      </c>
      <c r="L199" s="696">
        <f>decLOB1Cln7Text_R2</f>
        <v>0</v>
      </c>
      <c r="M199" s="697">
        <f>decLOB1Cln7Text_R2</f>
        <v>0</v>
      </c>
      <c r="N199" t="s">
        <v>3120</v>
      </c>
    </row>
    <row r="200" spans="2:14">
      <c r="B200" s="389" t="str">
        <f>tlOutputLOB1Cln8Name_R2</f>
        <v>Jestine Jeffers  </v>
      </c>
      <c r="C200" s="388"/>
      <c r="D200" s="388"/>
      <c r="E200" s="696" t="str">
        <f>decLOB1Cln8Text_R1</f>
        <v>Enter feedback here</v>
      </c>
      <c r="F200" s="696">
        <f>decLOB1Cln8Text_R1</f>
        <v>0</v>
      </c>
      <c r="G200" s="697">
        <f>decLOB1Cln8Text_R1</f>
        <v>0</v>
      </c>
      <c r="H200" t="s">
        <v>3111</v>
      </c>
      <c r="I200" s="389" t="str">
        <f>tlOutputLOB1Cln8Name_R2</f>
        <v>Jestine Jeffers  </v>
      </c>
      <c r="J200" s="388"/>
      <c r="K200" s="696" t="str">
        <f>decLOB1Cln8Text_R2</f>
        <v>Enter feedback here</v>
      </c>
      <c r="L200" s="696">
        <f>decLOB1Cln8Text_R2</f>
        <v>0</v>
      </c>
      <c r="M200" s="697">
        <f>decLOB1Cln8Text_R2</f>
        <v>0</v>
      </c>
      <c r="N200" t="s">
        <v>3121</v>
      </c>
    </row>
    <row r="201" spans="2:14">
      <c r="B201" s="389" t="str">
        <f>tlOutputLOB1Cln9Name_R2</f>
        <v>Elease Esters  </v>
      </c>
      <c r="C201" s="388"/>
      <c r="D201" s="388"/>
      <c r="E201" s="696" t="str">
        <f>decLOB1Cln9Text_R1</f>
        <v>Enter feedback here</v>
      </c>
      <c r="F201" s="696">
        <f>decLOB1Cln9Text_R1</f>
        <v>0</v>
      </c>
      <c r="G201" s="697">
        <f>decLOB1Cln9Text_R1</f>
        <v>0</v>
      </c>
      <c r="H201" t="s">
        <v>3112</v>
      </c>
      <c r="I201" s="389" t="str">
        <f>tlOutputLOB1Cln9Name_R2</f>
        <v>Elease Esters  </v>
      </c>
      <c r="J201" s="388"/>
      <c r="K201" s="696" t="str">
        <f>decLOB1Cln9Text_R2</f>
        <v>Enter feedback here</v>
      </c>
      <c r="L201" s="696">
        <f>decLOB1Cln9Text_R2</f>
        <v>0</v>
      </c>
      <c r="M201" s="697">
        <f>decLOB1Cln9Text_R2</f>
        <v>0</v>
      </c>
      <c r="N201" t="s">
        <v>3122</v>
      </c>
    </row>
    <row r="202" spans="2:14">
      <c r="B202" s="389" t="str">
        <f>tlOutputLOB1Cln10Name_R2</f>
        <v>Ginger Gault  </v>
      </c>
      <c r="C202" s="388"/>
      <c r="D202" s="388"/>
      <c r="E202" s="696" t="str">
        <f>decLOB1Cln10Text_R1</f>
        <v>Enter feedback here</v>
      </c>
      <c r="F202" s="696">
        <f>decLOB1Cln10Text_R1</f>
        <v>0</v>
      </c>
      <c r="G202" s="697">
        <f>decLOB1Cln10Text_R1</f>
        <v>0</v>
      </c>
      <c r="H202" t="s">
        <v>3113</v>
      </c>
      <c r="I202" s="389" t="str">
        <f>tlOutputLOB1Cln10Name_R2</f>
        <v>Ginger Gault  </v>
      </c>
      <c r="J202" s="388"/>
      <c r="K202" s="696" t="str">
        <f>decLOB1Cln10Text_R2</f>
        <v>Enter feedback here</v>
      </c>
      <c r="L202" s="696">
        <f>decLOB1Cln10Text_R2</f>
        <v>0</v>
      </c>
      <c r="M202" s="697">
        <f>decLOB1Cln10Text_R2</f>
        <v>0</v>
      </c>
      <c r="N202" t="s">
        <v>3123</v>
      </c>
    </row>
    <row r="203" spans="2:14">
      <c r="B203" s="389">
        <f>tlOutputLOB1Cln11Name_R2</f>
        <v>0</v>
      </c>
      <c r="C203" s="388"/>
      <c r="D203" s="388"/>
      <c r="E203" s="696" t="str">
        <f>decLOB1Cln11Text_R1</f>
        <v>Enter feedback here</v>
      </c>
      <c r="F203" s="696">
        <f>decLOB1Cln11Text_R1</f>
        <v>0</v>
      </c>
      <c r="G203" s="697">
        <f>decLOB1Cln11Text_R1</f>
        <v>0</v>
      </c>
      <c r="H203" t="s">
        <v>3368</v>
      </c>
      <c r="I203" s="389">
        <f>tlOutputLOB1Cln11Name_R2</f>
        <v>0</v>
      </c>
      <c r="J203" s="388"/>
      <c r="K203" s="696" t="str">
        <f>decLOB1Cln11Text_R2</f>
        <v>Enter feedback here</v>
      </c>
      <c r="L203" s="696">
        <f>decLOB1Cln11Text_R2</f>
        <v>0</v>
      </c>
      <c r="M203" s="697">
        <f>decLOB1Cln11Text_R2</f>
        <v>0</v>
      </c>
      <c r="N203" t="s">
        <v>3372</v>
      </c>
    </row>
    <row r="204" spans="2:14">
      <c r="B204" s="389">
        <f>tlOutputLOB1Cln12Name_R2</f>
        <v>0</v>
      </c>
      <c r="C204" s="388"/>
      <c r="D204" s="388"/>
      <c r="E204" s="696" t="str">
        <f>decLOB1Cln12Text_R1</f>
        <v>Enter feedback here</v>
      </c>
      <c r="F204" s="696">
        <f>decLOB1Cln12Text_R1</f>
        <v>0</v>
      </c>
      <c r="G204" s="697">
        <f>decLOB1Cln12Text_R1</f>
        <v>0</v>
      </c>
      <c r="H204" t="s">
        <v>3370</v>
      </c>
      <c r="I204" s="389">
        <f>tlOutputLOB1Cln12Name_R2</f>
        <v>0</v>
      </c>
      <c r="J204" s="388"/>
      <c r="K204" s="696" t="str">
        <f>decLOB1Cln12Text_R2</f>
        <v>Enter feedback here</v>
      </c>
      <c r="L204" s="696">
        <f>decLOB1Cln12Text_R2</f>
        <v>0</v>
      </c>
      <c r="M204" s="697">
        <f>decLOB1Cln12Text_R2</f>
        <v>0</v>
      </c>
      <c r="N204" t="s">
        <v>3374</v>
      </c>
    </row>
    <row r="205" spans="2:14">
      <c r="B205" s="389"/>
      <c r="C205" s="388"/>
      <c r="D205" s="388"/>
      <c r="E205" s="388"/>
      <c r="F205" s="388"/>
      <c r="G205" s="391"/>
      <c r="I205" s="389"/>
      <c r="J205" s="388"/>
      <c r="K205" s="388"/>
      <c r="L205" s="388"/>
      <c r="M205" s="391"/>
    </row>
    <row r="206" spans="2:14">
      <c r="B206" s="389" t="s">
        <v>3588</v>
      </c>
      <c r="C206" s="388"/>
      <c r="D206" s="388"/>
      <c r="E206" s="388"/>
      <c r="F206" s="388"/>
      <c r="G206" s="391"/>
      <c r="I206" s="389" t="s">
        <v>3588</v>
      </c>
      <c r="J206" s="388"/>
      <c r="K206" s="388"/>
      <c r="L206" s="388"/>
      <c r="M206" s="391"/>
    </row>
    <row r="207" spans="2:14">
      <c r="B207" s="389" t="str">
        <f>tlOutputLOB1Cln1Name_R2</f>
        <v>Tiana Teachout  </v>
      </c>
      <c r="C207" s="388"/>
      <c r="D207" s="388"/>
      <c r="E207" s="388">
        <f>decLOB1Cln1WeekProdMod_R1</f>
        <v>0</v>
      </c>
      <c r="F207" s="388">
        <f>decLOB1Cln1WeekProdMod_R1</f>
        <v>0</v>
      </c>
      <c r="G207" s="391">
        <f>decLOB1Cln1WeekProdMod_R1</f>
        <v>0</v>
      </c>
      <c r="H207" t="s">
        <v>3375</v>
      </c>
      <c r="I207" s="389" t="str">
        <f>tlOutputLOB1Cln1Name_R2</f>
        <v>Tiana Teachout  </v>
      </c>
      <c r="J207" s="388"/>
      <c r="K207" s="388">
        <f>decLOB1Cln1WeekProdMod_R2</f>
        <v>0</v>
      </c>
      <c r="L207" s="388">
        <f>decLOB1Cln1WeekProdMod_R2</f>
        <v>0</v>
      </c>
      <c r="M207" s="391">
        <f>decLOB1Cln1WeekProdMod_R2</f>
        <v>0</v>
      </c>
      <c r="N207" t="s">
        <v>3387</v>
      </c>
    </row>
    <row r="208" spans="2:14">
      <c r="B208" s="389" t="str">
        <f>tlOutputLOB1Cln2Name_R2</f>
        <v>Vernon Vale  </v>
      </c>
      <c r="C208" s="388"/>
      <c r="D208" s="388"/>
      <c r="E208" s="388">
        <f>decLOB1Cln2WeekProdMod_R1</f>
        <v>0</v>
      </c>
      <c r="F208" s="388">
        <f>decLOB1Cln2WeekProdMod_R1</f>
        <v>0</v>
      </c>
      <c r="G208" s="391">
        <f>decLOB1Cln2WeekProdMod_R1</f>
        <v>0</v>
      </c>
      <c r="H208" t="s">
        <v>3376</v>
      </c>
      <c r="I208" s="389" t="str">
        <f>tlOutputLOB1Cln2Name_R2</f>
        <v>Vernon Vale  </v>
      </c>
      <c r="J208" s="388"/>
      <c r="K208" s="388">
        <f>decLOB1Cln2WeekProdMod_R2</f>
        <v>0</v>
      </c>
      <c r="L208" s="388">
        <f>decLOB1Cln2WeekProdMod_R2</f>
        <v>0</v>
      </c>
      <c r="M208" s="391">
        <f>decLOB1Cln2WeekProdMod_R2</f>
        <v>0</v>
      </c>
      <c r="N208" t="s">
        <v>3388</v>
      </c>
    </row>
    <row r="209" spans="2:14">
      <c r="B209" s="389" t="str">
        <f>tlOutputLOB1Cln3Name_R2</f>
        <v>Shelby Schoenfeld  </v>
      </c>
      <c r="C209" s="388"/>
      <c r="D209" s="388"/>
      <c r="E209" s="388">
        <f>decLOB1Cln3WeekProdMod_R1</f>
        <v>0</v>
      </c>
      <c r="F209" s="388">
        <f>decLOB1Cln3WeekProdMod_R1</f>
        <v>0</v>
      </c>
      <c r="G209" s="391">
        <f>decLOB1Cln3WeekProdMod_R1</f>
        <v>0</v>
      </c>
      <c r="H209" t="s">
        <v>3377</v>
      </c>
      <c r="I209" s="389" t="str">
        <f>tlOutputLOB1Cln3Name_R2</f>
        <v>Shelby Schoenfeld  </v>
      </c>
      <c r="J209" s="388"/>
      <c r="K209" s="388">
        <f>decLOB1Cln3WeekProdMod_R2</f>
        <v>0</v>
      </c>
      <c r="L209" s="388">
        <f>decLOB1Cln3WeekProdMod_R2</f>
        <v>0</v>
      </c>
      <c r="M209" s="391">
        <f>decLOB1Cln3WeekProdMod_R2</f>
        <v>0</v>
      </c>
      <c r="N209" t="s">
        <v>3389</v>
      </c>
    </row>
    <row r="210" spans="2:14">
      <c r="B210" s="389" t="str">
        <f>tlOutputLOB1Cln4Name_R2</f>
        <v>Edmond Estepp  </v>
      </c>
      <c r="C210" s="388"/>
      <c r="D210" s="388"/>
      <c r="E210" s="388">
        <f>decLOB1Cln4WeekProdMod_R1</f>
        <v>0</v>
      </c>
      <c r="F210" s="388">
        <f>decLOB1Cln4WeekProdMod_R1</f>
        <v>0</v>
      </c>
      <c r="G210" s="391">
        <f>decLOB1Cln4WeekProdMod_R1</f>
        <v>0</v>
      </c>
      <c r="H210" t="s">
        <v>3378</v>
      </c>
      <c r="I210" s="389" t="str">
        <f>tlOutputLOB1Cln4Name_R2</f>
        <v>Edmond Estepp  </v>
      </c>
      <c r="J210" s="388"/>
      <c r="K210" s="388">
        <f>decLOB1Cln4WeekProdMod_R2</f>
        <v>0</v>
      </c>
      <c r="L210" s="388">
        <f>decLOB1Cln4WeekProdMod_R2</f>
        <v>0</v>
      </c>
      <c r="M210" s="391">
        <f>decLOB1Cln4WeekProdMod_R2</f>
        <v>0</v>
      </c>
      <c r="N210" t="s">
        <v>3390</v>
      </c>
    </row>
    <row r="211" spans="2:14">
      <c r="B211" s="389" t="str">
        <f>tlOutputLOB1Cln5Name_R2</f>
        <v>Beatrice Ballew  </v>
      </c>
      <c r="C211" s="388"/>
      <c r="D211" s="388"/>
      <c r="E211" s="388">
        <f>decLOB1Cln5WeekProdMod_R1</f>
        <v>0</v>
      </c>
      <c r="F211" s="388">
        <f>decLOB1Cln5WeekProdMod_R1</f>
        <v>0</v>
      </c>
      <c r="G211" s="391">
        <f>decLOB1Cln5WeekProdMod_R1</f>
        <v>0</v>
      </c>
      <c r="H211" t="s">
        <v>3379</v>
      </c>
      <c r="I211" s="389" t="str">
        <f>tlOutputLOB1Cln5Name_R2</f>
        <v>Beatrice Ballew  </v>
      </c>
      <c r="J211" s="388"/>
      <c r="K211" s="388">
        <f>decLOB1Cln5WeekProdMod_R2</f>
        <v>0</v>
      </c>
      <c r="L211" s="388">
        <f>decLOB1Cln5WeekProdMod_R2</f>
        <v>0</v>
      </c>
      <c r="M211" s="391">
        <f>decLOB1Cln5WeekProdMod_R2</f>
        <v>0</v>
      </c>
      <c r="N211" t="s">
        <v>3391</v>
      </c>
    </row>
    <row r="212" spans="2:14">
      <c r="B212" s="389" t="str">
        <f>tlOutputLOB1Cln6Name_R2</f>
        <v>Joy Jernigan  </v>
      </c>
      <c r="C212" s="388"/>
      <c r="D212" s="388"/>
      <c r="E212" s="388">
        <f>decLOB1Cln6WeekProdMod_R1</f>
        <v>0</v>
      </c>
      <c r="F212" s="388">
        <f>decLOB1Cln6WeekProdMod_R1</f>
        <v>0</v>
      </c>
      <c r="G212" s="391">
        <f>decLOB1Cln6WeekProdMod_R1</f>
        <v>0</v>
      </c>
      <c r="H212" t="s">
        <v>3380</v>
      </c>
      <c r="I212" s="389" t="str">
        <f>tlOutputLOB1Cln6Name_R2</f>
        <v>Joy Jernigan  </v>
      </c>
      <c r="J212" s="388"/>
      <c r="K212" s="388">
        <f>decLOB1Cln6WeekProdMod_R2</f>
        <v>0</v>
      </c>
      <c r="L212" s="388">
        <f>decLOB1Cln6WeekProdMod_R2</f>
        <v>0</v>
      </c>
      <c r="M212" s="391">
        <f>decLOB1Cln6WeekProdMod_R2</f>
        <v>0</v>
      </c>
      <c r="N212" t="s">
        <v>3392</v>
      </c>
    </row>
    <row r="213" spans="2:14">
      <c r="B213" s="389" t="str">
        <f>tlOutputLOB1Cln7Name_R2</f>
        <v>Ellie Elizalde  </v>
      </c>
      <c r="C213" s="388"/>
      <c r="D213" s="388"/>
      <c r="E213" s="388">
        <f>decLOB1Cln7WeekProdMod_R1</f>
        <v>0</v>
      </c>
      <c r="F213" s="388">
        <f>decLOB1Cln7WeekProdMod_R1</f>
        <v>0</v>
      </c>
      <c r="G213" s="391">
        <f>decLOB1Cln7WeekProdMod_R1</f>
        <v>0</v>
      </c>
      <c r="H213" t="s">
        <v>3381</v>
      </c>
      <c r="I213" s="389" t="str">
        <f>tlOutputLOB1Cln7Name_R2</f>
        <v>Ellie Elizalde  </v>
      </c>
      <c r="J213" s="388"/>
      <c r="K213" s="388">
        <f>decLOB1Cln7WeekProdMod_R2</f>
        <v>0</v>
      </c>
      <c r="L213" s="388">
        <f>decLOB1Cln7WeekProdMod_R2</f>
        <v>0</v>
      </c>
      <c r="M213" s="391">
        <f>decLOB1Cln7WeekProdMod_R2</f>
        <v>0</v>
      </c>
      <c r="N213" t="s">
        <v>3393</v>
      </c>
    </row>
    <row r="214" spans="2:14">
      <c r="B214" s="389" t="str">
        <f>tlOutputLOB1Cln8Name_R2</f>
        <v>Jestine Jeffers  </v>
      </c>
      <c r="C214" s="388"/>
      <c r="D214" s="388"/>
      <c r="E214" s="388">
        <f>decLOB1Cln8WeekProdMod_R1</f>
        <v>0</v>
      </c>
      <c r="F214" s="388">
        <f>decLOB1Cln8WeekProdMod_R1</f>
        <v>0</v>
      </c>
      <c r="G214" s="391">
        <f>decLOB1Cln8WeekProdMod_R1</f>
        <v>0</v>
      </c>
      <c r="H214" t="s">
        <v>3382</v>
      </c>
      <c r="I214" s="389" t="str">
        <f>tlOutputLOB1Cln8Name_R2</f>
        <v>Jestine Jeffers  </v>
      </c>
      <c r="J214" s="388"/>
      <c r="K214" s="388">
        <f>decLOB1Cln8WeekProdMod_R2</f>
        <v>0</v>
      </c>
      <c r="L214" s="388">
        <f>decLOB1Cln8WeekProdMod_R2</f>
        <v>0</v>
      </c>
      <c r="M214" s="391">
        <f>decLOB1Cln8WeekProdMod_R2</f>
        <v>0</v>
      </c>
      <c r="N214" t="s">
        <v>3394</v>
      </c>
    </row>
    <row r="215" spans="2:14">
      <c r="B215" s="389" t="str">
        <f>tlOutputLOB1Cln9Name_R2</f>
        <v>Elease Esters  </v>
      </c>
      <c r="C215" s="388"/>
      <c r="D215" s="388"/>
      <c r="E215" s="388">
        <f>decLOB1Cln9WeekProdMod_R1</f>
        <v>0</v>
      </c>
      <c r="F215" s="388">
        <f>decLOB1Cln9WeekProdMod_R1</f>
        <v>0</v>
      </c>
      <c r="G215" s="391">
        <f>decLOB1Cln9WeekProdMod_R1</f>
        <v>0</v>
      </c>
      <c r="H215" t="s">
        <v>3383</v>
      </c>
      <c r="I215" s="389" t="str">
        <f>tlOutputLOB1Cln9Name_R2</f>
        <v>Elease Esters  </v>
      </c>
      <c r="J215" s="388"/>
      <c r="K215" s="388">
        <f>decLOB1Cln9WeekProdMod_R2</f>
        <v>0</v>
      </c>
      <c r="L215" s="388">
        <f>decLOB1Cln9WeekProdMod_R2</f>
        <v>0</v>
      </c>
      <c r="M215" s="391">
        <f>decLOB1Cln9WeekProdMod_R2</f>
        <v>0</v>
      </c>
      <c r="N215" t="s">
        <v>3395</v>
      </c>
    </row>
    <row r="216" spans="2:14">
      <c r="B216" s="389" t="str">
        <f>tlOutputLOB1Cln10Name_R2</f>
        <v>Ginger Gault  </v>
      </c>
      <c r="C216" s="388"/>
      <c r="D216" s="388"/>
      <c r="E216" s="388">
        <f>decLOB1Cln10WeekProdMod_R1</f>
        <v>0</v>
      </c>
      <c r="F216" s="388">
        <f>decLOB1Cln10WeekProdMod_R1</f>
        <v>0</v>
      </c>
      <c r="G216" s="391">
        <f>decLOB1Cln10WeekProdMod_R1</f>
        <v>0</v>
      </c>
      <c r="H216" t="s">
        <v>3384</v>
      </c>
      <c r="I216" s="389" t="str">
        <f>tlOutputLOB1Cln10Name_R2</f>
        <v>Ginger Gault  </v>
      </c>
      <c r="J216" s="388"/>
      <c r="K216" s="388">
        <f>decLOB1Cln10WeekProdMod_R2</f>
        <v>0</v>
      </c>
      <c r="L216" s="388">
        <f>decLOB1Cln10WeekProdMod_R2</f>
        <v>0</v>
      </c>
      <c r="M216" s="391">
        <f>decLOB1Cln10WeekProdMod_R2</f>
        <v>0</v>
      </c>
      <c r="N216" t="s">
        <v>3396</v>
      </c>
    </row>
    <row r="217" spans="2:14">
      <c r="B217" s="389">
        <f>tlOutputLOB1Cln11Name_R2</f>
        <v>0</v>
      </c>
      <c r="C217" s="388"/>
      <c r="D217" s="388"/>
      <c r="E217" s="388">
        <f>decLOB1Cln11WeekProdMod_R1</f>
        <v>0</v>
      </c>
      <c r="F217" s="388">
        <f>decLOB1Cln11WeekProdMod_R1</f>
        <v>0</v>
      </c>
      <c r="G217" s="391">
        <f>decLOB1Cln11WeekProdMod_R1</f>
        <v>0</v>
      </c>
      <c r="H217" t="s">
        <v>3385</v>
      </c>
      <c r="I217" s="389">
        <f>tlOutputLOB1Cln11Name_R2</f>
        <v>0</v>
      </c>
      <c r="J217" s="388"/>
      <c r="K217" s="388">
        <f>decLOB1Cln11WeekProdMod_R2</f>
        <v>0</v>
      </c>
      <c r="L217" s="388">
        <f>decLOB1Cln11WeekProdMod_R2</f>
        <v>0</v>
      </c>
      <c r="M217" s="391">
        <f>decLOB1Cln11WeekProdMod_R2</f>
        <v>0</v>
      </c>
      <c r="N217" t="s">
        <v>3397</v>
      </c>
    </row>
    <row r="218" spans="2:14">
      <c r="B218" s="389">
        <f>tlOutputLOB1Cln12Name_R2</f>
        <v>0</v>
      </c>
      <c r="C218" s="388"/>
      <c r="D218" s="388"/>
      <c r="E218" s="388">
        <f>decLOB1Cln12WeekProdMod_R1</f>
        <v>0</v>
      </c>
      <c r="F218" s="388">
        <f>decLOB1Cln12WeekProdMod_R1</f>
        <v>0</v>
      </c>
      <c r="G218" s="391">
        <f>decLOB1Cln12WeekProdMod_R1</f>
        <v>0</v>
      </c>
      <c r="H218" t="s">
        <v>3386</v>
      </c>
      <c r="I218" s="389">
        <f>tlOutputLOB1Cln12Name_R2</f>
        <v>0</v>
      </c>
      <c r="J218" s="388"/>
      <c r="K218" s="388">
        <f>decLOB1Cln12WeekProdMod_R2</f>
        <v>0</v>
      </c>
      <c r="L218" s="388">
        <f>decLOB1Cln12WeekProdMod_R2</f>
        <v>0</v>
      </c>
      <c r="M218" s="391">
        <f>decLOB1Cln12WeekProdMod_R2</f>
        <v>0</v>
      </c>
      <c r="N218" t="s">
        <v>3398</v>
      </c>
    </row>
    <row r="219" spans="2:14">
      <c r="B219" s="389"/>
      <c r="C219" s="388"/>
      <c r="D219" s="388"/>
      <c r="E219" s="388"/>
      <c r="F219" s="388"/>
      <c r="G219" s="391"/>
      <c r="I219" s="389"/>
      <c r="J219" s="388"/>
      <c r="K219" s="388"/>
      <c r="L219" s="388"/>
      <c r="M219" s="391"/>
    </row>
    <row r="220" spans="2:14">
      <c r="B220" s="389" t="s">
        <v>7855</v>
      </c>
      <c r="C220" s="388"/>
      <c r="D220" s="388"/>
      <c r="E220" s="388"/>
      <c r="F220" s="388"/>
      <c r="G220" s="391"/>
      <c r="I220" s="389" t="s">
        <v>7855</v>
      </c>
      <c r="J220" s="388"/>
      <c r="K220" s="388"/>
      <c r="L220" s="388"/>
      <c r="M220" s="391"/>
    </row>
    <row r="221" spans="2:14">
      <c r="B221" s="389" t="str">
        <f>tlOutputLOB1Cln1Name_R2</f>
        <v>Tiana Teachout  </v>
      </c>
      <c r="C221" s="388"/>
      <c r="D221" s="388"/>
      <c r="E221" s="671">
        <f>calcLOB1Clinician1GrossProd</f>
        <v>27</v>
      </c>
      <c r="F221" s="671">
        <f>calcLOB1Clinician1GrossProd</f>
        <v>27</v>
      </c>
      <c r="G221" s="705">
        <f>calcLOB1Clinician1GrossProd</f>
        <v>27</v>
      </c>
      <c r="H221" t="s">
        <v>886</v>
      </c>
      <c r="I221" s="389" t="str">
        <f>tlOutputLOB1Cln1Name_R2</f>
        <v>Tiana Teachout  </v>
      </c>
      <c r="J221" s="388"/>
      <c r="K221" s="671">
        <f>calcR2LOB1Clinician1GrossProd</f>
        <v>27</v>
      </c>
      <c r="L221" s="671">
        <f>calcR2LOB1Clinician1GrossProd</f>
        <v>27</v>
      </c>
      <c r="M221" s="705">
        <f>calcR2LOB1Clinician1GrossProd</f>
        <v>27</v>
      </c>
      <c r="N221" t="s">
        <v>897</v>
      </c>
    </row>
    <row r="222" spans="2:14">
      <c r="B222" s="389" t="str">
        <f>tlOutputLOB1Cln2Name_R2</f>
        <v>Vernon Vale  </v>
      </c>
      <c r="C222" s="388"/>
      <c r="D222" s="388"/>
      <c r="E222" s="671">
        <f>calcLOB1Clinician2GrossProd</f>
        <v>24</v>
      </c>
      <c r="F222" s="671">
        <f>calcLOB1Clinician2GrossProd</f>
        <v>24</v>
      </c>
      <c r="G222" s="705">
        <f>calcLOB1Clinician2GrossProd</f>
        <v>24</v>
      </c>
      <c r="H222" t="s">
        <v>908</v>
      </c>
      <c r="I222" s="389" t="str">
        <f>tlOutputLOB1Cln2Name_R2</f>
        <v>Vernon Vale  </v>
      </c>
      <c r="J222" s="388"/>
      <c r="K222" s="671">
        <f>calcR2LOB1Clinician2GrossProd</f>
        <v>24</v>
      </c>
      <c r="L222" s="671">
        <f>calcR2LOB1Clinician2GrossProd</f>
        <v>24</v>
      </c>
      <c r="M222" s="705">
        <f>calcR2LOB1Clinician2GrossProd</f>
        <v>24</v>
      </c>
      <c r="N222" t="s">
        <v>919</v>
      </c>
    </row>
    <row r="223" spans="2:14">
      <c r="B223" s="389" t="str">
        <f>tlOutputLOB1Cln3Name_R2</f>
        <v>Shelby Schoenfeld  </v>
      </c>
      <c r="C223" s="388"/>
      <c r="D223" s="388"/>
      <c r="E223" s="671">
        <f>calcLOB1Clinician3GrossProd</f>
        <v>12.526315789473685</v>
      </c>
      <c r="F223" s="671">
        <f>calcLOB1Clinician3GrossProd</f>
        <v>12.526315789473685</v>
      </c>
      <c r="G223" s="705">
        <f>calcLOB1Clinician3GrossProd</f>
        <v>12.526315789473685</v>
      </c>
      <c r="H223" t="s">
        <v>930</v>
      </c>
      <c r="I223" s="389" t="str">
        <f>tlOutputLOB1Cln3Name_R2</f>
        <v>Shelby Schoenfeld  </v>
      </c>
      <c r="J223" s="388"/>
      <c r="K223" s="671">
        <f>calcR2LOB1Clinician3GrossProd</f>
        <v>12.526315789473685</v>
      </c>
      <c r="L223" s="671">
        <f>calcR2LOB1Clinician3GrossProd</f>
        <v>12.526315789473685</v>
      </c>
      <c r="M223" s="705">
        <f>calcR2LOB1Clinician3GrossProd</f>
        <v>12.526315789473685</v>
      </c>
      <c r="N223" t="s">
        <v>941</v>
      </c>
    </row>
    <row r="224" spans="2:14">
      <c r="B224" s="389" t="str">
        <f>tlOutputLOB1Cln4Name_R2</f>
        <v>Edmond Estepp  </v>
      </c>
      <c r="C224" s="388"/>
      <c r="D224" s="388"/>
      <c r="E224" s="671">
        <f>calcLOB1Clinician4GrossProd</f>
        <v>33</v>
      </c>
      <c r="F224" s="671">
        <f>calcLOB1Clinician4GrossProd</f>
        <v>33</v>
      </c>
      <c r="G224" s="705">
        <f>calcLOB1Clinician4GrossProd</f>
        <v>33</v>
      </c>
      <c r="H224" t="s">
        <v>952</v>
      </c>
      <c r="I224" s="389" t="str">
        <f>tlOutputLOB1Cln4Name_R2</f>
        <v>Edmond Estepp  </v>
      </c>
      <c r="J224" s="388"/>
      <c r="K224" s="671">
        <f>calcR2LOB1Clinician4GrossProd</f>
        <v>33</v>
      </c>
      <c r="L224" s="671">
        <f>calcR2LOB1Clinician4GrossProd</f>
        <v>33</v>
      </c>
      <c r="M224" s="705">
        <f>calcR2LOB1Clinician4GrossProd</f>
        <v>33</v>
      </c>
      <c r="N224" t="s">
        <v>963</v>
      </c>
    </row>
    <row r="225" spans="2:14">
      <c r="B225" s="389" t="str">
        <f>tlOutputLOB1Cln5Name_R2</f>
        <v>Beatrice Ballew  </v>
      </c>
      <c r="C225" s="388"/>
      <c r="D225" s="388"/>
      <c r="E225" s="671">
        <f>calcLOB1Clinician5GrossProd</f>
        <v>17.52577319587629</v>
      </c>
      <c r="F225" s="671">
        <f>calcLOB1Clinician5GrossProd</f>
        <v>17.52577319587629</v>
      </c>
      <c r="G225" s="705">
        <f>calcLOB1Clinician5GrossProd</f>
        <v>17.52577319587629</v>
      </c>
      <c r="H225" t="s">
        <v>974</v>
      </c>
      <c r="I225" s="389" t="str">
        <f>tlOutputLOB1Cln5Name_R2</f>
        <v>Beatrice Ballew  </v>
      </c>
      <c r="J225" s="388"/>
      <c r="K225" s="671">
        <f>calcR2LOB1Clinician5GrossProd</f>
        <v>17.52577319587629</v>
      </c>
      <c r="L225" s="671">
        <f>calcR2LOB1Clinician5GrossProd</f>
        <v>17.52577319587629</v>
      </c>
      <c r="M225" s="705">
        <f>calcR2LOB1Clinician5GrossProd</f>
        <v>17.52577319587629</v>
      </c>
      <c r="N225" t="s">
        <v>985</v>
      </c>
    </row>
    <row r="226" spans="2:14">
      <c r="B226" s="389" t="str">
        <f>tlOutputLOB1Cln6Name_R2</f>
        <v>Joy Jernigan  </v>
      </c>
      <c r="C226" s="388"/>
      <c r="D226" s="388"/>
      <c r="E226" s="671">
        <f>calcLOB1Clinician6GrossProd</f>
        <v>30</v>
      </c>
      <c r="F226" s="671">
        <f>calcLOB1Clinician6GrossProd</f>
        <v>30</v>
      </c>
      <c r="G226" s="705">
        <f>calcLOB1Clinician6GrossProd</f>
        <v>30</v>
      </c>
      <c r="H226" t="s">
        <v>996</v>
      </c>
      <c r="I226" s="389" t="str">
        <f>tlOutputLOB1Cln6Name_R2</f>
        <v>Joy Jernigan  </v>
      </c>
      <c r="J226" s="388"/>
      <c r="K226" s="671">
        <f>calcR2LOB1Clinician6GrossProd</f>
        <v>30</v>
      </c>
      <c r="L226" s="671">
        <f>calcR2LOB1Clinician6GrossProd</f>
        <v>30</v>
      </c>
      <c r="M226" s="705">
        <f>calcR2LOB1Clinician6GrossProd</f>
        <v>30</v>
      </c>
      <c r="N226" t="s">
        <v>1007</v>
      </c>
    </row>
    <row r="227" spans="2:14">
      <c r="B227" s="389" t="str">
        <f>tlOutputLOB1Cln7Name_R2</f>
        <v>Ellie Elizalde  </v>
      </c>
      <c r="C227" s="388"/>
      <c r="D227" s="388"/>
      <c r="E227" s="671">
        <f>calcLOB1Clinician7GrossProd</f>
        <v>28</v>
      </c>
      <c r="F227" s="671">
        <f>calcLOB1Clinician7GrossProd</f>
        <v>28</v>
      </c>
      <c r="G227" s="705">
        <f>calcLOB1Clinician7GrossProd</f>
        <v>28</v>
      </c>
      <c r="H227" t="s">
        <v>1018</v>
      </c>
      <c r="I227" s="389" t="str">
        <f>tlOutputLOB1Cln7Name_R2</f>
        <v>Ellie Elizalde  </v>
      </c>
      <c r="J227" s="388"/>
      <c r="K227" s="671">
        <f>calcR2LOB1Clinician7GrossProd</f>
        <v>28</v>
      </c>
      <c r="L227" s="671">
        <f>calcR2LOB1Clinician7GrossProd</f>
        <v>28</v>
      </c>
      <c r="M227" s="705">
        <f>calcR2LOB1Clinician7GrossProd</f>
        <v>28</v>
      </c>
      <c r="N227" t="s">
        <v>1029</v>
      </c>
    </row>
    <row r="228" spans="2:14">
      <c r="B228" s="389" t="str">
        <f>tlOutputLOB1Cln8Name_R2</f>
        <v>Jestine Jeffers  </v>
      </c>
      <c r="C228" s="388"/>
      <c r="D228" s="388"/>
      <c r="E228" s="671">
        <f>calcLOB1Clinician8GrossProd</f>
        <v>29</v>
      </c>
      <c r="F228" s="671">
        <f>calcLOB1Clinician8GrossProd</f>
        <v>29</v>
      </c>
      <c r="G228" s="705">
        <f>calcLOB1Clinician8GrossProd</f>
        <v>29</v>
      </c>
      <c r="H228" t="s">
        <v>1040</v>
      </c>
      <c r="I228" s="389" t="str">
        <f>tlOutputLOB1Cln8Name_R2</f>
        <v>Jestine Jeffers  </v>
      </c>
      <c r="J228" s="388"/>
      <c r="K228" s="671">
        <f>calcR2LOB1Clinician8GrossProd</f>
        <v>29</v>
      </c>
      <c r="L228" s="671">
        <f>calcR2LOB1Clinician8GrossProd</f>
        <v>29</v>
      </c>
      <c r="M228" s="705">
        <f>calcR2LOB1Clinician8GrossProd</f>
        <v>29</v>
      </c>
      <c r="N228" t="s">
        <v>1051</v>
      </c>
    </row>
    <row r="229" spans="2:14">
      <c r="B229" s="389" t="str">
        <f>tlOutputLOB1Cln9Name_R2</f>
        <v>Elease Esters  </v>
      </c>
      <c r="C229" s="388"/>
      <c r="D229" s="388"/>
      <c r="E229" s="671">
        <f>calcLOB1Clinician9GrossProd</f>
        <v>15.773195876288661</v>
      </c>
      <c r="F229" s="671">
        <f>calcLOB1Clinician9GrossProd</f>
        <v>15.773195876288661</v>
      </c>
      <c r="G229" s="705">
        <f>calcLOB1Clinician9GrossProd</f>
        <v>15.773195876288661</v>
      </c>
      <c r="H229" t="s">
        <v>1062</v>
      </c>
      <c r="I229" s="389" t="str">
        <f>tlOutputLOB1Cln9Name_R2</f>
        <v>Elease Esters  </v>
      </c>
      <c r="J229" s="388"/>
      <c r="K229" s="671">
        <f>calcR2LOB1Clinician9GrossProd</f>
        <v>15.773195876288661</v>
      </c>
      <c r="L229" s="671">
        <f>calcR2LOB1Clinician9GrossProd</f>
        <v>15.773195876288661</v>
      </c>
      <c r="M229" s="705">
        <f>calcR2LOB1Clinician9GrossProd</f>
        <v>15.773195876288661</v>
      </c>
      <c r="N229" t="s">
        <v>1073</v>
      </c>
    </row>
    <row r="230" spans="2:14">
      <c r="B230" s="389" t="str">
        <f>tlOutputLOB1Cln10Name_R2</f>
        <v>Ginger Gault  </v>
      </c>
      <c r="C230" s="388"/>
      <c r="D230" s="388"/>
      <c r="E230" s="671">
        <f>calcLOB1Clinician10GrossProd</f>
        <v>25.05263157894737</v>
      </c>
      <c r="F230" s="671">
        <f>calcLOB1Clinician10GrossProd</f>
        <v>25.05263157894737</v>
      </c>
      <c r="G230" s="705">
        <f>calcLOB1Clinician10GrossProd</f>
        <v>25.05263157894737</v>
      </c>
      <c r="H230" t="s">
        <v>1084</v>
      </c>
      <c r="I230" s="389" t="str">
        <f>tlOutputLOB1Cln10Name_R2</f>
        <v>Ginger Gault  </v>
      </c>
      <c r="J230" s="388"/>
      <c r="K230" s="671">
        <f>calcR2LOB1Clinician10GrossProd</f>
        <v>25.05263157894737</v>
      </c>
      <c r="L230" s="671">
        <f>calcR2LOB1Clinician10GrossProd</f>
        <v>25.05263157894737</v>
      </c>
      <c r="M230" s="705">
        <f>calcR2LOB1Clinician10GrossProd</f>
        <v>25.05263157894737</v>
      </c>
      <c r="N230" t="s">
        <v>1095</v>
      </c>
    </row>
    <row r="231" spans="2:14">
      <c r="B231" s="389">
        <f>tlOutputLOB1Cln11Name_R2</f>
        <v>0</v>
      </c>
      <c r="C231" s="388"/>
      <c r="D231" s="388"/>
      <c r="E231" s="671">
        <f>calcLOB1Clinician11GrossProd</f>
        <v>0</v>
      </c>
      <c r="F231" s="671">
        <f>calcLOB1Clinician11GrossProd</f>
        <v>0</v>
      </c>
      <c r="G231" s="705">
        <f>calcLOB1Clinician11GrossProd</f>
        <v>0</v>
      </c>
      <c r="H231" t="s">
        <v>2818</v>
      </c>
      <c r="I231" s="389">
        <f>tlOutputLOB1Cln11Name_R2</f>
        <v>0</v>
      </c>
      <c r="J231" s="388"/>
      <c r="K231" s="671">
        <f>calcR2LOB1Clinician11GrossProd</f>
        <v>0</v>
      </c>
      <c r="L231" s="671">
        <f>calcR2LOB1Clinician11GrossProd</f>
        <v>0</v>
      </c>
      <c r="M231" s="705">
        <f>calcR2LOB1Clinician11GrossProd</f>
        <v>0</v>
      </c>
      <c r="N231" t="s">
        <v>2826</v>
      </c>
    </row>
    <row r="232" spans="2:14">
      <c r="B232" s="389">
        <f>tlOutputLOB1Cln12Name_R2</f>
        <v>0</v>
      </c>
      <c r="C232" s="388"/>
      <c r="D232" s="388"/>
      <c r="E232" s="671">
        <f>calcLOB1Clinician12GrossProd</f>
        <v>0</v>
      </c>
      <c r="F232" s="671">
        <f>calcLOB1Clinician12GrossProd</f>
        <v>0</v>
      </c>
      <c r="G232" s="705">
        <f>calcLOB1Clinician12GrossProd</f>
        <v>0</v>
      </c>
      <c r="H232" t="s">
        <v>2875</v>
      </c>
      <c r="I232" s="389">
        <f>tlOutputLOB1Cln12Name_R2</f>
        <v>0</v>
      </c>
      <c r="J232" s="388"/>
      <c r="K232" s="671">
        <f>calcR2LOB1Clinician12GrossProd</f>
        <v>0</v>
      </c>
      <c r="L232" s="671">
        <f>calcR2LOB1Clinician12GrossProd</f>
        <v>0</v>
      </c>
      <c r="M232" s="705">
        <f>calcR2LOB1Clinician12GrossProd</f>
        <v>0</v>
      </c>
      <c r="N232" t="s">
        <v>2883</v>
      </c>
    </row>
    <row r="233" spans="2:14">
      <c r="B233" s="389"/>
      <c r="C233" s="388"/>
      <c r="D233" s="388"/>
      <c r="E233" s="388"/>
      <c r="F233" s="388"/>
      <c r="G233" s="391"/>
      <c r="I233" s="389"/>
      <c r="J233" s="388"/>
      <c r="K233" s="388"/>
      <c r="L233" s="388"/>
      <c r="M233" s="391"/>
    </row>
    <row r="234" spans="2:14" ht="10.5">
      <c r="B234" s="667" t="str">
        <f>nmLOB2</f>
        <v>Pleasentville</v>
      </c>
      <c r="C234" s="668"/>
      <c r="D234" s="668"/>
      <c r="E234" s="668"/>
      <c r="F234" s="668"/>
      <c r="G234" s="698"/>
      <c r="I234" s="667" t="str">
        <f>nmLOB2</f>
        <v>Pleasentville</v>
      </c>
      <c r="J234" s="668"/>
      <c r="K234" s="668"/>
      <c r="L234" s="668"/>
      <c r="M234" s="698"/>
    </row>
    <row r="235" spans="2:14" ht="10.5">
      <c r="B235" s="670"/>
      <c r="C235" s="388"/>
      <c r="D235" s="388"/>
      <c r="E235" s="388"/>
      <c r="F235" s="388"/>
      <c r="G235" s="391"/>
      <c r="I235" s="670"/>
      <c r="J235" s="388"/>
      <c r="K235" s="388"/>
      <c r="L235" s="388"/>
      <c r="M235" s="391"/>
    </row>
    <row r="236" spans="2:14" ht="10.5">
      <c r="B236" s="670" t="s">
        <v>347</v>
      </c>
      <c r="C236" s="388"/>
      <c r="D236" s="388"/>
      <c r="E236" s="388"/>
      <c r="F236" s="388"/>
      <c r="G236" s="391"/>
      <c r="I236" s="670" t="s">
        <v>347</v>
      </c>
      <c r="J236" s="388"/>
      <c r="K236" s="388"/>
      <c r="L236" s="388"/>
      <c r="M236" s="391"/>
    </row>
    <row r="237" spans="2:14">
      <c r="B237" s="660" t="s">
        <v>620</v>
      </c>
      <c r="C237" s="388"/>
      <c r="D237" s="388"/>
      <c r="E237" s="508">
        <f>finPNLLOB2Seg1Rev</f>
        <v>5141908.8000000007</v>
      </c>
      <c r="F237" s="508">
        <f>finPNLLOB2Seg1Rev</f>
        <v>3841656.0000000005</v>
      </c>
      <c r="G237" s="555">
        <f>finPNLLOB2Seg1Rev</f>
        <v>7683312.0000000009</v>
      </c>
      <c r="H237" t="s">
        <v>4431</v>
      </c>
      <c r="I237" s="660" t="s">
        <v>620</v>
      </c>
      <c r="J237" s="388"/>
      <c r="K237" s="508">
        <f>finR2PNLLOB2Seg1Rev</f>
        <v>5319216.0000000009</v>
      </c>
      <c r="L237" s="508">
        <f>finR2PNLLOB2Seg1Rev</f>
        <v>3841656.0000000005</v>
      </c>
      <c r="M237" s="555">
        <f>finR2PNLLOB2Seg1Rev</f>
        <v>7683312.0000000009</v>
      </c>
      <c r="N237" t="s">
        <v>7679</v>
      </c>
    </row>
    <row r="238" spans="2:14">
      <c r="B238" s="660" t="s">
        <v>621</v>
      </c>
      <c r="C238" s="388"/>
      <c r="D238" s="388"/>
      <c r="E238" s="508">
        <f>finPNLLOB2Seg2Rev</f>
        <v>237319.2</v>
      </c>
      <c r="F238" s="508">
        <f>finPNLLOB2Seg2Rev</f>
        <v>263688</v>
      </c>
      <c r="G238" s="555">
        <f>finPNLLOB2Seg2Rev</f>
        <v>395532</v>
      </c>
      <c r="H238" t="s">
        <v>4432</v>
      </c>
      <c r="I238" s="660" t="s">
        <v>621</v>
      </c>
      <c r="J238" s="388"/>
      <c r="K238" s="508">
        <f>finR2PNLLOB2Seg2Rev</f>
        <v>263688</v>
      </c>
      <c r="L238" s="508">
        <f>finR2PNLLOB2Seg2Rev</f>
        <v>263688</v>
      </c>
      <c r="M238" s="555">
        <f>finR2PNLLOB2Seg2Rev</f>
        <v>395532</v>
      </c>
      <c r="N238" t="s">
        <v>7681</v>
      </c>
    </row>
    <row r="239" spans="2:14">
      <c r="B239" s="683" t="s">
        <v>592</v>
      </c>
      <c r="C239" s="393"/>
      <c r="D239" s="393"/>
      <c r="E239" s="682">
        <f>finPNLLOB2Seg3Rev</f>
        <v>82650</v>
      </c>
      <c r="F239" s="682">
        <f>finPNLLOB2Seg3Rev</f>
        <v>66120</v>
      </c>
      <c r="G239" s="700">
        <f>finPNLLOB2Seg3Rev</f>
        <v>198360</v>
      </c>
      <c r="H239" t="s">
        <v>4433</v>
      </c>
      <c r="I239" s="683" t="s">
        <v>592</v>
      </c>
      <c r="J239" s="393"/>
      <c r="K239" s="682">
        <f>finR2PNLLOB2Seg3Rev</f>
        <v>99180</v>
      </c>
      <c r="L239" s="682">
        <f>finR2PNLLOB2Seg3Rev</f>
        <v>66120</v>
      </c>
      <c r="M239" s="700">
        <f>finR2PNLLOB2Seg3Rev</f>
        <v>198360</v>
      </c>
      <c r="N239" t="s">
        <v>7683</v>
      </c>
    </row>
    <row r="240" spans="2:14">
      <c r="B240" s="660" t="s">
        <v>406</v>
      </c>
      <c r="C240" s="388"/>
      <c r="D240" s="388"/>
      <c r="E240" s="508">
        <f>finPNLLOB2Rev</f>
        <v>5461878.0000000009</v>
      </c>
      <c r="F240" s="508">
        <f>finPNLLOB2Rev</f>
        <v>4171464.0000000005</v>
      </c>
      <c r="G240" s="555">
        <f>finPNLLOB2Rev</f>
        <v>8277204.0000000009</v>
      </c>
      <c r="H240" t="s">
        <v>2779</v>
      </c>
      <c r="I240" s="660" t="s">
        <v>406</v>
      </c>
      <c r="J240" s="388"/>
      <c r="K240" s="508">
        <f>finR2PNLLOB2Rev</f>
        <v>5682084.0000000009</v>
      </c>
      <c r="L240" s="508">
        <f>finR2PNLLOB2Rev</f>
        <v>4171464.0000000005</v>
      </c>
      <c r="M240" s="555">
        <f>finR2PNLLOB2Rev</f>
        <v>8277204.0000000009</v>
      </c>
      <c r="N240" t="s">
        <v>7685</v>
      </c>
    </row>
    <row r="241" spans="1:14">
      <c r="B241" s="683" t="s">
        <v>407</v>
      </c>
      <c r="C241" s="393"/>
      <c r="D241" s="393"/>
      <c r="E241" s="682">
        <f>finPNLLOB2ServiceCost</f>
        <v>2451690.8325733705</v>
      </c>
      <c r="F241" s="682">
        <f>finPNLLOB2ServiceCost</f>
        <v>2008925.282573371</v>
      </c>
      <c r="G241" s="700">
        <f>finPNLLOB2ServiceCost</f>
        <v>3211482.7825733703</v>
      </c>
      <c r="H241" t="s">
        <v>2785</v>
      </c>
      <c r="I241" s="683" t="s">
        <v>407</v>
      </c>
      <c r="J241" s="393"/>
      <c r="K241" s="682">
        <f>finR2PNLLOB2ServiceCost</f>
        <v>2360782.0076500308</v>
      </c>
      <c r="L241" s="682">
        <f>finR2PNLLOB2ServiceCost</f>
        <v>2008925.282573371</v>
      </c>
      <c r="M241" s="700">
        <f>finR2PNLLOB2ServiceCost</f>
        <v>3211482.7825733703</v>
      </c>
      <c r="N241" t="s">
        <v>7687</v>
      </c>
    </row>
    <row r="242" spans="1:14">
      <c r="B242" s="660" t="s">
        <v>341</v>
      </c>
      <c r="C242" s="388"/>
      <c r="D242" s="388"/>
      <c r="E242" s="677">
        <f>finPNLLOB2GrossMargin</f>
        <v>0.55112676764779989</v>
      </c>
      <c r="F242" s="677">
        <f>finPNLLOB2GrossMargin</f>
        <v>0.51841241286671291</v>
      </c>
      <c r="G242" s="680">
        <f>finPNLLOB2GrossMargin</f>
        <v>0.6120087432213378</v>
      </c>
      <c r="H242" t="s">
        <v>4710</v>
      </c>
      <c r="I242" s="660" t="s">
        <v>341</v>
      </c>
      <c r="J242" s="388"/>
      <c r="K242" s="677">
        <f>finR2PNLLOB2GrossMargin</f>
        <v>0.58452180438549828</v>
      </c>
      <c r="L242" s="677">
        <f>finR2PNLLOB2GrossMargin</f>
        <v>0.51841241286671291</v>
      </c>
      <c r="M242" s="680">
        <f>finR2PNLLOB2GrossMargin</f>
        <v>0.6120087432213378</v>
      </c>
      <c r="N242" t="s">
        <v>7689</v>
      </c>
    </row>
    <row r="243" spans="1:14">
      <c r="B243" s="660" t="s">
        <v>4713</v>
      </c>
      <c r="C243" s="388"/>
      <c r="D243" s="388"/>
      <c r="E243" s="508"/>
      <c r="F243" s="508"/>
      <c r="G243" s="555"/>
      <c r="I243" s="660" t="s">
        <v>4713</v>
      </c>
      <c r="J243" s="388"/>
      <c r="K243" s="508"/>
      <c r="L243" s="508"/>
      <c r="M243" s="555"/>
    </row>
    <row r="244" spans="1:14">
      <c r="B244" s="660" t="s">
        <v>4714</v>
      </c>
      <c r="C244" s="388"/>
      <c r="D244" s="388"/>
      <c r="E244" s="508">
        <f>finPNLLOB2EmpOverhead</f>
        <v>2107875</v>
      </c>
      <c r="F244" s="508">
        <f>finPNLLOB2EmpOverhead</f>
        <v>1543500</v>
      </c>
      <c r="G244" s="555">
        <f>finPNLLOB2EmpOverhead</f>
        <v>2273250</v>
      </c>
      <c r="H244" t="s">
        <v>2786</v>
      </c>
      <c r="I244" s="660" t="s">
        <v>4714</v>
      </c>
      <c r="J244" s="388"/>
      <c r="K244" s="508">
        <f>finR2PNLLOB2EmpOverhead</f>
        <v>2634843.75</v>
      </c>
      <c r="L244" s="508">
        <f>finR2PNLLOB2EmpOverhead</f>
        <v>1620675</v>
      </c>
      <c r="M244" s="555">
        <f>finR2PNLLOB2EmpOverhead</f>
        <v>2386912.5</v>
      </c>
      <c r="N244" t="s">
        <v>7691</v>
      </c>
    </row>
    <row r="245" spans="1:14">
      <c r="B245" s="683" t="s">
        <v>4715</v>
      </c>
      <c r="C245" s="393"/>
      <c r="D245" s="393"/>
      <c r="E245" s="682">
        <f>finPNLLOB2ServiceCost+finPNLLOB2EmpOverhead</f>
        <v>4559565.832573371</v>
      </c>
      <c r="F245" s="682">
        <f>finPNLLOB2ServiceCost+finPNLLOB2EmpOverhead</f>
        <v>3552425.2825733712</v>
      </c>
      <c r="G245" s="700">
        <f>finPNLLOB2ServiceCost+finPNLLOB2EmpOverhead</f>
        <v>5484732.7825733703</v>
      </c>
      <c r="H245" t="s">
        <v>2780</v>
      </c>
      <c r="I245" s="683" t="s">
        <v>4715</v>
      </c>
      <c r="J245" s="393"/>
      <c r="K245" s="682">
        <f>finR2PNLLOB2ServiceCost+finR2PNLLOB2EmpOverhead</f>
        <v>4995625.7576500308</v>
      </c>
      <c r="L245" s="682">
        <f>finR2PNLLOB2ServiceCost+finR2PNLLOB2EmpOverhead</f>
        <v>3629600.2825733712</v>
      </c>
      <c r="M245" s="700">
        <f>finR2PNLLOB2ServiceCost+finR2PNLLOB2EmpOverhead</f>
        <v>5598395.2825733703</v>
      </c>
      <c r="N245" t="s">
        <v>7693</v>
      </c>
    </row>
    <row r="246" spans="1:14">
      <c r="B246" s="660" t="s">
        <v>487</v>
      </c>
      <c r="C246" s="388"/>
      <c r="D246" s="388"/>
      <c r="E246" s="508">
        <f>finPNLLOB2OpProfit</f>
        <v>902312.16742663039</v>
      </c>
      <c r="F246" s="508">
        <f>finPNLLOB2OpProfit</f>
        <v>619038.71742662974</v>
      </c>
      <c r="G246" s="555">
        <f>finPNLLOB2OpProfit</f>
        <v>2792471.2174266307</v>
      </c>
      <c r="H246" t="s">
        <v>2787</v>
      </c>
      <c r="I246" s="660" t="s">
        <v>487</v>
      </c>
      <c r="J246" s="388"/>
      <c r="K246" s="508">
        <f>finR2PNLLOB2OpProfit</f>
        <v>686458.24234997015</v>
      </c>
      <c r="L246" s="508">
        <f>finR2PNLLOB2OpProfit</f>
        <v>541863.71742662974</v>
      </c>
      <c r="M246" s="555">
        <f>finR2PNLLOB2OpProfit</f>
        <v>2678808.7174266307</v>
      </c>
      <c r="N246" t="s">
        <v>7695</v>
      </c>
    </row>
    <row r="247" spans="1:14">
      <c r="B247" s="660" t="s">
        <v>4716</v>
      </c>
      <c r="C247" s="388"/>
      <c r="D247" s="388"/>
      <c r="E247" s="677">
        <f>finPNLLOB2OpMargin</f>
        <v>0.16520181655954788</v>
      </c>
      <c r="F247" s="677">
        <f>finPNLLOB2OpMargin</f>
        <v>0.14839843216353532</v>
      </c>
      <c r="G247" s="680">
        <f>finPNLLOB2OpMargin</f>
        <v>0.33736890107174239</v>
      </c>
      <c r="H247" t="s">
        <v>2781</v>
      </c>
      <c r="I247" s="660" t="s">
        <v>4716</v>
      </c>
      <c r="J247" s="388"/>
      <c r="K247" s="677">
        <f>finR2PNLLOB2OpMargin</f>
        <v>0.12081099863183474</v>
      </c>
      <c r="L247" s="677">
        <f>finR2PNLLOB2OpMargin</f>
        <v>0.12989773312837644</v>
      </c>
      <c r="M247" s="680">
        <f>finR2PNLLOB2OpMargin</f>
        <v>0.32363690896426262</v>
      </c>
      <c r="N247" t="s">
        <v>7697</v>
      </c>
    </row>
    <row r="248" spans="1:14" ht="10.5">
      <c r="B248" s="670"/>
      <c r="C248" s="388"/>
      <c r="D248" s="388"/>
      <c r="E248" s="388"/>
      <c r="F248" s="388"/>
      <c r="G248" s="391"/>
      <c r="I248" s="670"/>
      <c r="J248" s="388"/>
      <c r="K248" s="388"/>
      <c r="L248" s="388"/>
      <c r="M248" s="391"/>
    </row>
    <row r="249" spans="1:14" ht="10.5">
      <c r="B249" s="670" t="s">
        <v>2980</v>
      </c>
      <c r="C249" s="388"/>
      <c r="D249" s="388"/>
      <c r="E249" s="388"/>
      <c r="F249" s="388"/>
      <c r="G249" s="391"/>
      <c r="I249" s="670" t="s">
        <v>2980</v>
      </c>
      <c r="J249" s="388"/>
      <c r="K249" s="388"/>
      <c r="L249" s="388"/>
      <c r="M249" s="391"/>
    </row>
    <row r="250" spans="1:14">
      <c r="A250">
        <v>1</v>
      </c>
      <c r="B250" s="389" t="s">
        <v>701</v>
      </c>
      <c r="C250" s="388"/>
      <c r="D250" s="388"/>
      <c r="E250" s="388">
        <f>COUNTIF(dec!E$74:E$77,$A250)</f>
        <v>0</v>
      </c>
      <c r="F250" s="388">
        <f>COUNTIF(dec!F$74:F$77,$A250)</f>
        <v>0</v>
      </c>
      <c r="G250" s="388">
        <f>COUNTIF(dec!G$74:G$77,$A250)</f>
        <v>0</v>
      </c>
      <c r="H250" t="s">
        <v>1100</v>
      </c>
      <c r="I250" s="389" t="s">
        <v>701</v>
      </c>
      <c r="J250" s="388"/>
      <c r="K250" s="388">
        <f>COUNTIF(dec!K$74:K$77,$A250)</f>
        <v>0</v>
      </c>
      <c r="L250" s="388">
        <f>COUNTIF(dec!L$74:L$77,$A250)</f>
        <v>0</v>
      </c>
      <c r="M250" s="388">
        <f>COUNTIF(dec!M$74:M$77,$A250)</f>
        <v>0</v>
      </c>
      <c r="N250" t="s">
        <v>1101</v>
      </c>
    </row>
    <row r="251" spans="1:14">
      <c r="A251">
        <v>2</v>
      </c>
      <c r="B251" s="389" t="s">
        <v>3990</v>
      </c>
      <c r="C251" s="388"/>
      <c r="D251" s="388"/>
      <c r="E251" s="388">
        <f>COUNTIF(dec!E$74:E$77,$A251)</f>
        <v>0</v>
      </c>
      <c r="F251" s="388">
        <f>COUNTIF(dec!F$74:F$77,$A251)</f>
        <v>0</v>
      </c>
      <c r="G251" s="388">
        <f>COUNTIF(dec!G$74:G$77,$A251)</f>
        <v>0</v>
      </c>
      <c r="H251" t="s">
        <v>1102</v>
      </c>
      <c r="I251" s="389" t="s">
        <v>3990</v>
      </c>
      <c r="J251" s="388"/>
      <c r="K251" s="388">
        <f>COUNTIF(dec!K$74:K$77,$A251)</f>
        <v>0</v>
      </c>
      <c r="L251" s="388">
        <f>COUNTIF(dec!L$74:L$77,$A251)</f>
        <v>0</v>
      </c>
      <c r="M251" s="388">
        <f>COUNTIF(dec!M$74:M$77,$A251)</f>
        <v>0</v>
      </c>
      <c r="N251" t="s">
        <v>1103</v>
      </c>
    </row>
    <row r="252" spans="1:14">
      <c r="A252">
        <v>3</v>
      </c>
      <c r="B252" s="389" t="s">
        <v>2931</v>
      </c>
      <c r="C252" s="388"/>
      <c r="D252" s="388"/>
      <c r="E252" s="388">
        <f>COUNTIF(dec!E$74:E$77,$A252)</f>
        <v>0</v>
      </c>
      <c r="F252" s="388">
        <f>COUNTIF(dec!F$74:F$77,$A252)</f>
        <v>0</v>
      </c>
      <c r="G252" s="388">
        <f>COUNTIF(dec!G$74:G$77,$A252)</f>
        <v>0</v>
      </c>
      <c r="H252" t="s">
        <v>1104</v>
      </c>
      <c r="I252" s="389" t="s">
        <v>2931</v>
      </c>
      <c r="J252" s="388"/>
      <c r="K252" s="388">
        <f>COUNTIF(dec!K$74:K$77,$A252)</f>
        <v>0</v>
      </c>
      <c r="L252" s="388">
        <f>COUNTIF(dec!L$74:L$77,$A252)</f>
        <v>0</v>
      </c>
      <c r="M252" s="388">
        <f>COUNTIF(dec!M$74:M$77,$A252)</f>
        <v>0</v>
      </c>
      <c r="N252" t="s">
        <v>1105</v>
      </c>
    </row>
    <row r="253" spans="1:14">
      <c r="A253">
        <v>4</v>
      </c>
      <c r="B253" s="389" t="s">
        <v>2932</v>
      </c>
      <c r="C253" s="388"/>
      <c r="D253" s="388"/>
      <c r="E253" s="388">
        <f>COUNTIF(dec!E$74:E$77,$A253)</f>
        <v>0</v>
      </c>
      <c r="F253" s="388">
        <f>COUNTIF(dec!F$74:F$77,$A253)</f>
        <v>0</v>
      </c>
      <c r="G253" s="388">
        <f>COUNTIF(dec!G$74:G$77,$A253)</f>
        <v>0</v>
      </c>
      <c r="H253" t="s">
        <v>1106</v>
      </c>
      <c r="I253" s="389" t="s">
        <v>2932</v>
      </c>
      <c r="J253" s="388"/>
      <c r="K253" s="388">
        <f>COUNTIF(dec!K$74:K$77,$A253)</f>
        <v>0</v>
      </c>
      <c r="L253" s="388">
        <f>COUNTIF(dec!L$74:L$77,$A253)</f>
        <v>0</v>
      </c>
      <c r="M253" s="388">
        <f>COUNTIF(dec!M$74:M$77,$A253)</f>
        <v>0</v>
      </c>
      <c r="N253" t="s">
        <v>1107</v>
      </c>
    </row>
    <row r="254" spans="1:14">
      <c r="A254">
        <v>5</v>
      </c>
      <c r="B254" s="389" t="s">
        <v>2933</v>
      </c>
      <c r="C254" s="388"/>
      <c r="D254" s="388"/>
      <c r="E254" s="388">
        <f>COUNTIF(dec!E$74:E$77,$A254)</f>
        <v>0</v>
      </c>
      <c r="F254" s="388">
        <f>COUNTIF(dec!F$74:F$77,$A254)</f>
        <v>0</v>
      </c>
      <c r="G254" s="388">
        <f>COUNTIF(dec!G$74:G$77,$A254)</f>
        <v>0</v>
      </c>
      <c r="I254" s="389" t="s">
        <v>2933</v>
      </c>
      <c r="J254" s="388"/>
      <c r="K254" s="388">
        <f>COUNTIF(dec!K$74:K$77,$A254)</f>
        <v>0</v>
      </c>
      <c r="L254" s="388">
        <f>COUNTIF(dec!L$74:L$77,$A254)</f>
        <v>0</v>
      </c>
      <c r="M254" s="388">
        <f>COUNTIF(dec!M$74:M$77,$A254)</f>
        <v>0</v>
      </c>
    </row>
    <row r="255" spans="1:14">
      <c r="A255">
        <v>6</v>
      </c>
      <c r="B255" s="389" t="s">
        <v>2934</v>
      </c>
      <c r="C255" s="388"/>
      <c r="D255" s="388"/>
      <c r="E255" s="388">
        <f>COUNTIF(dec!E$74:E$77,$A255)</f>
        <v>0</v>
      </c>
      <c r="F255" s="388">
        <f>COUNTIF(dec!F$74:F$77,$A255)</f>
        <v>0</v>
      </c>
      <c r="G255" s="388">
        <f>COUNTIF(dec!G$74:G$77,$A255)</f>
        <v>0</v>
      </c>
      <c r="I255" s="389" t="s">
        <v>2934</v>
      </c>
      <c r="J255" s="388"/>
      <c r="K255" s="388">
        <f>COUNTIF(dec!K$74:K$77,$A255)</f>
        <v>0</v>
      </c>
      <c r="L255" s="388">
        <f>COUNTIF(dec!L$74:L$77,$A255)</f>
        <v>0</v>
      </c>
      <c r="M255" s="388">
        <f>COUNTIF(dec!M$74:M$77,$A255)</f>
        <v>0</v>
      </c>
    </row>
    <row r="256" spans="1:14">
      <c r="A256">
        <v>7</v>
      </c>
      <c r="B256" s="389" t="s">
        <v>3991</v>
      </c>
      <c r="C256" s="388"/>
      <c r="D256" s="388"/>
      <c r="E256" s="388">
        <f>COUNTIF(dec!E$74:E$77,$A256)</f>
        <v>0</v>
      </c>
      <c r="F256" s="388">
        <f>COUNTIF(dec!F$74:F$77,$A256)</f>
        <v>0</v>
      </c>
      <c r="G256" s="388">
        <f>COUNTIF(dec!G$74:G$77,$A256)</f>
        <v>0</v>
      </c>
      <c r="I256" s="389" t="s">
        <v>3991</v>
      </c>
      <c r="J256" s="388"/>
      <c r="K256" s="388">
        <f>COUNTIF(dec!K$74:K$77,$A256)</f>
        <v>0</v>
      </c>
      <c r="L256" s="388">
        <f>COUNTIF(dec!L$74:L$77,$A256)</f>
        <v>0</v>
      </c>
      <c r="M256" s="388">
        <f>COUNTIF(dec!M$74:M$77,$A256)</f>
        <v>0</v>
      </c>
    </row>
    <row r="257" spans="1:14">
      <c r="A257">
        <v>8</v>
      </c>
      <c r="B257" s="389" t="s">
        <v>702</v>
      </c>
      <c r="C257" s="388"/>
      <c r="D257" s="388"/>
      <c r="E257" s="388">
        <f>COUNTIF(dec!E$74:E$77,$A257)</f>
        <v>0</v>
      </c>
      <c r="F257" s="388">
        <f>COUNTIF(dec!F$74:F$77,$A257)</f>
        <v>0</v>
      </c>
      <c r="G257" s="388">
        <f>COUNTIF(dec!G$74:G$77,$A257)</f>
        <v>0</v>
      </c>
      <c r="I257" s="389" t="s">
        <v>702</v>
      </c>
      <c r="J257" s="388"/>
      <c r="K257" s="388">
        <f>COUNTIF(dec!K$74:K$77,$A257)</f>
        <v>0</v>
      </c>
      <c r="L257" s="388">
        <f>COUNTIF(dec!L$74:L$77,$A257)</f>
        <v>0</v>
      </c>
      <c r="M257" s="388">
        <f>COUNTIF(dec!M$74:M$77,$A257)</f>
        <v>0</v>
      </c>
    </row>
    <row r="258" spans="1:14">
      <c r="A258">
        <v>9</v>
      </c>
      <c r="B258" s="389" t="s">
        <v>4585</v>
      </c>
      <c r="C258" s="388"/>
      <c r="D258" s="388"/>
      <c r="E258" s="388">
        <f>COUNTIF(dec!E$74:E$77,$A258)</f>
        <v>0</v>
      </c>
      <c r="F258" s="388">
        <f>COUNTIF(dec!F$74:F$77,$A258)</f>
        <v>0</v>
      </c>
      <c r="G258" s="388">
        <f>COUNTIF(dec!G$74:G$77,$A258)</f>
        <v>0</v>
      </c>
      <c r="I258" s="389" t="s">
        <v>4585</v>
      </c>
      <c r="J258" s="388"/>
      <c r="K258" s="388">
        <f>COUNTIF(dec!K$74:K$77,$A258)</f>
        <v>0</v>
      </c>
      <c r="L258" s="388">
        <f>COUNTIF(dec!L$74:L$77,$A258)</f>
        <v>0</v>
      </c>
      <c r="M258" s="388">
        <f>COUNTIF(dec!M$74:M$77,$A258)</f>
        <v>0</v>
      </c>
    </row>
    <row r="259" spans="1:14">
      <c r="A259">
        <v>10</v>
      </c>
      <c r="B259" s="389" t="s">
        <v>703</v>
      </c>
      <c r="C259" s="388"/>
      <c r="D259" s="388"/>
      <c r="E259" s="388">
        <f>COUNTIF(dec!E$74:E$77,$A259)</f>
        <v>0</v>
      </c>
      <c r="F259" s="388">
        <f>COUNTIF(dec!F$74:F$77,$A259)</f>
        <v>0</v>
      </c>
      <c r="G259" s="388">
        <f>COUNTIF(dec!G$74:G$77,$A259)</f>
        <v>0</v>
      </c>
      <c r="I259" s="389" t="s">
        <v>703</v>
      </c>
      <c r="J259" s="388"/>
      <c r="K259" s="388">
        <f>COUNTIF(dec!K$74:K$77,$A259)</f>
        <v>0</v>
      </c>
      <c r="L259" s="388">
        <f>COUNTIF(dec!L$74:L$77,$A259)</f>
        <v>0</v>
      </c>
      <c r="M259" s="388">
        <f>COUNTIF(dec!M$74:M$77,$A259)</f>
        <v>0</v>
      </c>
    </row>
    <row r="260" spans="1:14">
      <c r="A260">
        <v>11</v>
      </c>
      <c r="B260" s="389" t="s">
        <v>2935</v>
      </c>
      <c r="C260" s="388"/>
      <c r="D260" s="388"/>
      <c r="E260" s="388">
        <f>COUNTIF(dec!E$74:E$77,$A260)</f>
        <v>0</v>
      </c>
      <c r="F260" s="388">
        <f>COUNTIF(dec!F$74:F$77,$A260)</f>
        <v>0</v>
      </c>
      <c r="G260" s="388">
        <f>COUNTIF(dec!G$74:G$77,$A260)</f>
        <v>0</v>
      </c>
      <c r="I260" s="389" t="s">
        <v>2935</v>
      </c>
      <c r="J260" s="388"/>
      <c r="K260" s="388">
        <f>COUNTIF(dec!K$74:K$77,$A260)</f>
        <v>0</v>
      </c>
      <c r="L260" s="388">
        <f>COUNTIF(dec!L$74:L$77,$A260)</f>
        <v>0</v>
      </c>
      <c r="M260" s="388">
        <f>COUNTIF(dec!M$74:M$77,$A260)</f>
        <v>0</v>
      </c>
    </row>
    <row r="261" spans="1:14">
      <c r="A261">
        <v>12</v>
      </c>
      <c r="B261" s="389" t="s">
        <v>2936</v>
      </c>
      <c r="C261" s="388"/>
      <c r="D261" s="388"/>
      <c r="E261" s="388">
        <f>COUNTIF(dec!E$74:E$77,$A261)</f>
        <v>0</v>
      </c>
      <c r="F261" s="388">
        <f>COUNTIF(dec!F$74:F$77,$A261)</f>
        <v>0</v>
      </c>
      <c r="G261" s="388">
        <f>COUNTIF(dec!G$74:G$77,$A261)</f>
        <v>0</v>
      </c>
      <c r="I261" s="389" t="s">
        <v>2936</v>
      </c>
      <c r="J261" s="388"/>
      <c r="K261" s="388">
        <f>COUNTIF(dec!K$74:K$77,$A261)</f>
        <v>0</v>
      </c>
      <c r="L261" s="388">
        <f>COUNTIF(dec!L$74:L$77,$A261)</f>
        <v>0</v>
      </c>
      <c r="M261" s="388">
        <f>COUNTIF(dec!M$74:M$77,$A261)</f>
        <v>0</v>
      </c>
    </row>
    <row r="262" spans="1:14">
      <c r="A262">
        <v>13</v>
      </c>
      <c r="B262" s="389" t="s">
        <v>2937</v>
      </c>
      <c r="C262" s="388"/>
      <c r="D262" s="388"/>
      <c r="E262" s="388">
        <f>COUNTIF(dec!E$74:E$77,$A262)</f>
        <v>0</v>
      </c>
      <c r="F262" s="388">
        <f>COUNTIF(dec!F$74:F$77,$A262)</f>
        <v>0</v>
      </c>
      <c r="G262" s="388">
        <f>COUNTIF(dec!G$74:G$77,$A262)</f>
        <v>0</v>
      </c>
      <c r="I262" s="389" t="s">
        <v>2937</v>
      </c>
      <c r="J262" s="388"/>
      <c r="K262" s="388">
        <f>COUNTIF(dec!K$74:K$77,$A262)</f>
        <v>0</v>
      </c>
      <c r="L262" s="388">
        <f>COUNTIF(dec!L$74:L$77,$A262)</f>
        <v>0</v>
      </c>
      <c r="M262" s="388">
        <f>COUNTIF(dec!M$74:M$77,$A262)</f>
        <v>0</v>
      </c>
    </row>
    <row r="263" spans="1:14">
      <c r="A263">
        <v>14</v>
      </c>
      <c r="B263" s="389" t="s">
        <v>2938</v>
      </c>
      <c r="C263" s="388"/>
      <c r="D263" s="388"/>
      <c r="E263" s="388">
        <f>COUNTIF(dec!E$74:E$77,$A263)</f>
        <v>0</v>
      </c>
      <c r="F263" s="388">
        <f>COUNTIF(dec!F$74:F$77,$A263)</f>
        <v>0</v>
      </c>
      <c r="G263" s="388">
        <f>COUNTIF(dec!G$74:G$77,$A263)</f>
        <v>0</v>
      </c>
      <c r="I263" s="389" t="s">
        <v>2938</v>
      </c>
      <c r="J263" s="388"/>
      <c r="K263" s="388">
        <f>COUNTIF(dec!K$74:K$77,$A263)</f>
        <v>0</v>
      </c>
      <c r="L263" s="388">
        <f>COUNTIF(dec!L$74:L$77,$A263)</f>
        <v>0</v>
      </c>
      <c r="M263" s="388">
        <f>COUNTIF(dec!M$74:M$77,$A263)</f>
        <v>0</v>
      </c>
    </row>
    <row r="264" spans="1:14">
      <c r="A264">
        <v>15</v>
      </c>
      <c r="B264" s="389" t="s">
        <v>2939</v>
      </c>
      <c r="C264" s="388"/>
      <c r="D264" s="388"/>
      <c r="E264" s="388">
        <f>COUNTIF(dec!E$74:E$77,$A264)</f>
        <v>0</v>
      </c>
      <c r="F264" s="388">
        <f>COUNTIF(dec!F$74:F$77,$A264)</f>
        <v>0</v>
      </c>
      <c r="G264" s="388">
        <f>COUNTIF(dec!G$74:G$77,$A264)</f>
        <v>0</v>
      </c>
      <c r="I264" s="389" t="s">
        <v>2939</v>
      </c>
      <c r="J264" s="388"/>
      <c r="K264" s="388">
        <f>COUNTIF(dec!K$74:K$77,$A264)</f>
        <v>0</v>
      </c>
      <c r="L264" s="388">
        <f>COUNTIF(dec!L$74:L$77,$A264)</f>
        <v>0</v>
      </c>
      <c r="M264" s="388">
        <f>COUNTIF(dec!M$74:M$77,$A264)</f>
        <v>0</v>
      </c>
    </row>
    <row r="265" spans="1:14">
      <c r="A265">
        <v>16</v>
      </c>
      <c r="B265" s="389" t="s">
        <v>708</v>
      </c>
      <c r="C265" s="388"/>
      <c r="D265" s="388"/>
      <c r="E265" s="388">
        <f>COUNTIF(dec!E$74:E$77,$A265)</f>
        <v>0</v>
      </c>
      <c r="F265" s="388">
        <f>COUNTIF(dec!F$74:F$77,$A265)</f>
        <v>0</v>
      </c>
      <c r="G265" s="388">
        <f>COUNTIF(dec!G$74:G$77,$A265)</f>
        <v>0</v>
      </c>
      <c r="I265" s="389" t="s">
        <v>708</v>
      </c>
      <c r="J265" s="388"/>
      <c r="K265" s="388">
        <f>COUNTIF(dec!K$74:K$77,$A265)</f>
        <v>0</v>
      </c>
      <c r="L265" s="388">
        <f>COUNTIF(dec!L$74:L$77,$A265)</f>
        <v>0</v>
      </c>
      <c r="M265" s="388">
        <f>COUNTIF(dec!M$74:M$77,$A265)</f>
        <v>0</v>
      </c>
    </row>
    <row r="266" spans="1:14">
      <c r="A266">
        <v>17</v>
      </c>
      <c r="B266" s="389" t="s">
        <v>2940</v>
      </c>
      <c r="C266" s="388"/>
      <c r="D266" s="388"/>
      <c r="E266" s="388">
        <f>COUNTIF(dec!E$74:E$77,$A266)</f>
        <v>0</v>
      </c>
      <c r="F266" s="388">
        <f>COUNTIF(dec!F$74:F$77,$A266)</f>
        <v>0</v>
      </c>
      <c r="G266" s="388">
        <f>COUNTIF(dec!G$74:G$77,$A266)</f>
        <v>0</v>
      </c>
      <c r="I266" s="389" t="s">
        <v>2940</v>
      </c>
      <c r="J266" s="388"/>
      <c r="K266" s="388">
        <f>COUNTIF(dec!K$74:K$77,$A266)</f>
        <v>0</v>
      </c>
      <c r="L266" s="388">
        <f>COUNTIF(dec!L$74:L$77,$A266)</f>
        <v>0</v>
      </c>
      <c r="M266" s="388">
        <f>COUNTIF(dec!M$74:M$77,$A266)</f>
        <v>0</v>
      </c>
    </row>
    <row r="267" spans="1:14">
      <c r="A267">
        <v>18</v>
      </c>
      <c r="B267" s="389" t="s">
        <v>2941</v>
      </c>
      <c r="C267" s="388"/>
      <c r="D267" s="388"/>
      <c r="E267" s="388">
        <f>COUNTIF(dec!E$74:E$77,$A267)</f>
        <v>0</v>
      </c>
      <c r="F267" s="388">
        <f>COUNTIF(dec!F$74:F$77,$A267)</f>
        <v>0</v>
      </c>
      <c r="G267" s="388">
        <f>COUNTIF(dec!G$74:G$77,$A267)</f>
        <v>0</v>
      </c>
      <c r="I267" s="389" t="s">
        <v>2941</v>
      </c>
      <c r="J267" s="388"/>
      <c r="K267" s="388">
        <f>COUNTIF(dec!K$74:K$77,$A267)</f>
        <v>0</v>
      </c>
      <c r="L267" s="388">
        <f>COUNTIF(dec!L$74:L$77,$A267)</f>
        <v>0</v>
      </c>
      <c r="M267" s="388">
        <f>COUNTIF(dec!M$74:M$77,$A267)</f>
        <v>0</v>
      </c>
    </row>
    <row r="268" spans="1:14">
      <c r="A268">
        <v>19</v>
      </c>
      <c r="B268" s="389" t="s">
        <v>2942</v>
      </c>
      <c r="C268" s="388"/>
      <c r="D268" s="388"/>
      <c r="E268" s="388">
        <f>COUNTIF(dec!E$74:E$77,$A268)</f>
        <v>0</v>
      </c>
      <c r="F268" s="388">
        <f>COUNTIF(dec!F$74:F$77,$A268)</f>
        <v>0</v>
      </c>
      <c r="G268" s="388">
        <f>COUNTIF(dec!G$74:G$77,$A268)</f>
        <v>0</v>
      </c>
      <c r="I268" s="389" t="s">
        <v>2942</v>
      </c>
      <c r="J268" s="388"/>
      <c r="K268" s="388">
        <f>COUNTIF(dec!K$74:K$77,$A268)</f>
        <v>0</v>
      </c>
      <c r="L268" s="388">
        <f>COUNTIF(dec!L$74:L$77,$A268)</f>
        <v>0</v>
      </c>
      <c r="M268" s="388">
        <f>COUNTIF(dec!M$74:M$77,$A268)</f>
        <v>0</v>
      </c>
    </row>
    <row r="269" spans="1:14">
      <c r="A269">
        <v>20</v>
      </c>
      <c r="B269" s="389" t="s">
        <v>4372</v>
      </c>
      <c r="C269" s="388"/>
      <c r="D269" s="388"/>
      <c r="E269" s="388">
        <f>COUNTIF(dec!E$74:E$77,$A269)</f>
        <v>0</v>
      </c>
      <c r="F269" s="388">
        <f>COUNTIF(dec!F$74:F$77,$A269)</f>
        <v>0</v>
      </c>
      <c r="G269" s="388">
        <f>COUNTIF(dec!G$74:G$77,$A269)</f>
        <v>0</v>
      </c>
      <c r="I269" s="389" t="s">
        <v>4372</v>
      </c>
      <c r="J269" s="388"/>
      <c r="K269" s="388">
        <f>COUNTIF(dec!K$74:K$77,$A269)</f>
        <v>0</v>
      </c>
      <c r="L269" s="388">
        <f>COUNTIF(dec!L$74:L$77,$A269)</f>
        <v>0</v>
      </c>
      <c r="M269" s="388">
        <f>COUNTIF(dec!M$74:M$77,$A269)</f>
        <v>0</v>
      </c>
    </row>
    <row r="270" spans="1:14">
      <c r="B270" s="389"/>
      <c r="C270" s="388"/>
      <c r="D270" s="388"/>
      <c r="E270" s="388"/>
      <c r="F270" s="388"/>
      <c r="G270" s="391"/>
      <c r="I270" s="389"/>
      <c r="J270" s="388"/>
      <c r="K270" s="388"/>
      <c r="L270" s="388"/>
      <c r="M270" s="391"/>
    </row>
    <row r="271" spans="1:14" ht="10.5">
      <c r="B271" s="670" t="s">
        <v>7841</v>
      </c>
      <c r="C271" s="388"/>
      <c r="D271" s="388"/>
      <c r="E271" s="388"/>
      <c r="F271" s="388"/>
      <c r="G271" s="391"/>
      <c r="I271" s="670" t="s">
        <v>7841</v>
      </c>
      <c r="J271" s="388"/>
      <c r="K271" s="388"/>
      <c r="L271" s="388"/>
      <c r="M271" s="391"/>
    </row>
    <row r="272" spans="1:14">
      <c r="B272" s="389" t="s">
        <v>562</v>
      </c>
      <c r="C272" s="388"/>
      <c r="D272" s="388"/>
      <c r="E272" s="388">
        <f>decLOB2DOOAdjTime2_R1</f>
        <v>0</v>
      </c>
      <c r="F272" s="388">
        <f>decLOB2DOOAdjTime2_R1</f>
        <v>0</v>
      </c>
      <c r="G272" s="391">
        <f>decLOB2DOOAdjTime2_R1</f>
        <v>0</v>
      </c>
      <c r="H272" t="s">
        <v>1115</v>
      </c>
      <c r="I272" s="389" t="s">
        <v>562</v>
      </c>
      <c r="J272" s="388"/>
      <c r="K272" s="388">
        <f>decLOB2DOOAdjTime2_R2</f>
        <v>0</v>
      </c>
      <c r="L272" s="388">
        <f>decLOB2DOOAdjTime2_R2</f>
        <v>0</v>
      </c>
      <c r="M272" s="391">
        <f>decLOB2DOOAdjTime2_R2</f>
        <v>0</v>
      </c>
      <c r="N272" t="s">
        <v>1118</v>
      </c>
    </row>
    <row r="273" spans="2:14">
      <c r="B273" s="389" t="s">
        <v>563</v>
      </c>
      <c r="C273" s="388"/>
      <c r="D273" s="388"/>
      <c r="E273" s="388">
        <f>decLOB2DOOAdjTime3_R1</f>
        <v>0</v>
      </c>
      <c r="F273" s="388">
        <f>decLOB2DOOAdjTime3_R1</f>
        <v>0.05</v>
      </c>
      <c r="G273" s="391">
        <f>decLOB2DOOAdjTime3_R1</f>
        <v>0.08</v>
      </c>
      <c r="H273" t="s">
        <v>1121</v>
      </c>
      <c r="I273" s="389" t="s">
        <v>563</v>
      </c>
      <c r="J273" s="388"/>
      <c r="K273" s="388">
        <f>decLOB2DOOAdjTime3_R2</f>
        <v>0</v>
      </c>
      <c r="L273" s="388">
        <f>decLOB2DOOAdjTime3_R2</f>
        <v>0.05</v>
      </c>
      <c r="M273" s="391">
        <f>decLOB2DOOAdjTime3_R2</f>
        <v>0.08</v>
      </c>
      <c r="N273" t="s">
        <v>1124</v>
      </c>
    </row>
    <row r="274" spans="2:14">
      <c r="B274" s="389" t="s">
        <v>564</v>
      </c>
      <c r="C274" s="388"/>
      <c r="D274" s="388"/>
      <c r="E274" s="388">
        <f>decLOB2DOOAdjTime4_R1</f>
        <v>0</v>
      </c>
      <c r="F274" s="388">
        <f>decLOB2DOOAdjTime4_R1</f>
        <v>0</v>
      </c>
      <c r="G274" s="391">
        <f>decLOB2DOOAdjTime4_R1</f>
        <v>0</v>
      </c>
      <c r="H274" t="s">
        <v>1127</v>
      </c>
      <c r="I274" s="389" t="s">
        <v>564</v>
      </c>
      <c r="J274" s="388"/>
      <c r="K274" s="388">
        <f>decLOB2DOOAdjTime4_R2</f>
        <v>0</v>
      </c>
      <c r="L274" s="388">
        <f>decLOB2DOOAdjTime4_R2</f>
        <v>0</v>
      </c>
      <c r="M274" s="391">
        <f>decLOB2DOOAdjTime4_R2</f>
        <v>0</v>
      </c>
      <c r="N274" t="s">
        <v>1130</v>
      </c>
    </row>
    <row r="275" spans="2:14">
      <c r="B275" s="389" t="s">
        <v>565</v>
      </c>
      <c r="C275" s="388"/>
      <c r="D275" s="388"/>
      <c r="E275" s="388">
        <f>decLOB2DOOAdjTime5_R1</f>
        <v>0</v>
      </c>
      <c r="F275" s="388">
        <f>decLOB2DOOAdjTime5_R1</f>
        <v>0</v>
      </c>
      <c r="G275" s="391">
        <f>decLOB2DOOAdjTime5_R1</f>
        <v>0</v>
      </c>
      <c r="H275" t="s">
        <v>1133</v>
      </c>
      <c r="I275" s="389" t="s">
        <v>565</v>
      </c>
      <c r="J275" s="388"/>
      <c r="K275" s="388">
        <f>decLOB2DOOAdjTime5_R2</f>
        <v>0</v>
      </c>
      <c r="L275" s="388">
        <f>decLOB2DOOAdjTime5_R2</f>
        <v>0</v>
      </c>
      <c r="M275" s="391">
        <f>decLOB2DOOAdjTime5_R2</f>
        <v>0</v>
      </c>
      <c r="N275" t="s">
        <v>1136</v>
      </c>
    </row>
    <row r="276" spans="2:14">
      <c r="B276" s="389" t="s">
        <v>566</v>
      </c>
      <c r="C276" s="388"/>
      <c r="D276" s="388"/>
      <c r="E276" s="388">
        <f>decLOB2DOOAdjTime6_R1</f>
        <v>0</v>
      </c>
      <c r="F276" s="388">
        <f>decLOB2DOOAdjTime6_R1</f>
        <v>0</v>
      </c>
      <c r="G276" s="391">
        <f>decLOB2DOOAdjTime6_R1</f>
        <v>0</v>
      </c>
      <c r="H276" t="s">
        <v>1139</v>
      </c>
      <c r="I276" s="389" t="s">
        <v>566</v>
      </c>
      <c r="J276" s="388"/>
      <c r="K276" s="388">
        <f>decLOB2DOOAdjTime6_R2</f>
        <v>0</v>
      </c>
      <c r="L276" s="388">
        <f>decLOB2DOOAdjTime6_R2</f>
        <v>0</v>
      </c>
      <c r="M276" s="391">
        <f>decLOB2DOOAdjTime6_R2</f>
        <v>0</v>
      </c>
      <c r="N276" t="s">
        <v>1142</v>
      </c>
    </row>
    <row r="277" spans="2:14">
      <c r="B277" s="389"/>
      <c r="C277" s="388"/>
      <c r="D277" s="388"/>
      <c r="E277" s="388"/>
      <c r="F277" s="388"/>
      <c r="G277" s="391"/>
      <c r="I277" s="389"/>
      <c r="J277" s="388"/>
      <c r="K277" s="388"/>
      <c r="L277" s="388"/>
      <c r="M277" s="391"/>
    </row>
    <row r="278" spans="2:14" ht="10.5">
      <c r="B278" s="670" t="s">
        <v>7842</v>
      </c>
      <c r="C278" s="388"/>
      <c r="D278" s="388"/>
      <c r="E278" s="388"/>
      <c r="F278" s="388"/>
      <c r="G278" s="391"/>
      <c r="I278" s="670" t="s">
        <v>7842</v>
      </c>
      <c r="J278" s="388"/>
      <c r="K278" s="388"/>
      <c r="L278" s="388"/>
      <c r="M278" s="391"/>
    </row>
    <row r="279" spans="2:14">
      <c r="B279" s="389" t="s">
        <v>561</v>
      </c>
      <c r="C279" s="388"/>
      <c r="D279" s="388"/>
      <c r="E279" s="614">
        <f>calcLOB2DOOPlanTime1</f>
        <v>0.8</v>
      </c>
      <c r="F279" s="614">
        <f>calcLOB2DOOPlanTime1</f>
        <v>0.9</v>
      </c>
      <c r="G279" s="701">
        <f>calcLOB2DOOPlanTime1</f>
        <v>0.95</v>
      </c>
      <c r="H279" t="s">
        <v>1110</v>
      </c>
      <c r="I279" s="389" t="s">
        <v>561</v>
      </c>
      <c r="J279" s="388"/>
      <c r="K279" s="614">
        <f>calcR2LOB2DOOPlanTime1</f>
        <v>0.748</v>
      </c>
      <c r="L279" s="614">
        <f>calcR2LOB2DOOPlanTime1</f>
        <v>0.9</v>
      </c>
      <c r="M279" s="701">
        <f>calcR2LOB2DOOPlanTime1</f>
        <v>0.95</v>
      </c>
      <c r="N279" t="s">
        <v>1113</v>
      </c>
    </row>
    <row r="280" spans="2:14">
      <c r="B280" s="389" t="s">
        <v>562</v>
      </c>
      <c r="C280" s="388"/>
      <c r="D280" s="388"/>
      <c r="E280" s="614">
        <f>calcLOB2DOOPlanTime2</f>
        <v>0</v>
      </c>
      <c r="F280" s="614">
        <f>calcLOB2DOOPlanTime2</f>
        <v>0</v>
      </c>
      <c r="G280" s="701">
        <f>calcLOB2DOOPlanTime2</f>
        <v>0</v>
      </c>
      <c r="H280" t="s">
        <v>1116</v>
      </c>
      <c r="I280" s="389" t="s">
        <v>562</v>
      </c>
      <c r="J280" s="388"/>
      <c r="K280" s="614">
        <f>calcR2LOB2DOOPlanTime2</f>
        <v>0</v>
      </c>
      <c r="L280" s="614">
        <f>calcR2LOB2DOOPlanTime2</f>
        <v>0</v>
      </c>
      <c r="M280" s="701">
        <f>calcR2LOB2DOOPlanTime2</f>
        <v>0</v>
      </c>
      <c r="N280" t="s">
        <v>1119</v>
      </c>
    </row>
    <row r="281" spans="2:14">
      <c r="B281" s="389" t="s">
        <v>563</v>
      </c>
      <c r="C281" s="388"/>
      <c r="D281" s="388"/>
      <c r="E281" s="614">
        <f>calcLOB2DOOPlanTime3</f>
        <v>0</v>
      </c>
      <c r="F281" s="614">
        <f>calcLOB2DOOPlanTime3</f>
        <v>0.05</v>
      </c>
      <c r="G281" s="701">
        <f>calcLOB2DOOPlanTime3</f>
        <v>0.08</v>
      </c>
      <c r="H281" t="s">
        <v>1122</v>
      </c>
      <c r="I281" s="389" t="s">
        <v>563</v>
      </c>
      <c r="J281" s="388"/>
      <c r="K281" s="614">
        <f>calcR2LOB2DOOPlanTime3</f>
        <v>0</v>
      </c>
      <c r="L281" s="614">
        <f>calcR2LOB2DOOPlanTime3</f>
        <v>0.05</v>
      </c>
      <c r="M281" s="701">
        <f>calcR2LOB2DOOPlanTime3</f>
        <v>0.08</v>
      </c>
      <c r="N281" t="s">
        <v>1125</v>
      </c>
    </row>
    <row r="282" spans="2:14">
      <c r="B282" s="389" t="s">
        <v>564</v>
      </c>
      <c r="C282" s="388"/>
      <c r="D282" s="388"/>
      <c r="E282" s="614">
        <f>calcLOB2DOOPlanTime4</f>
        <v>0</v>
      </c>
      <c r="F282" s="614">
        <f>calcLOB2DOOPlanTime4</f>
        <v>0</v>
      </c>
      <c r="G282" s="701">
        <f>calcLOB2DOOPlanTime4</f>
        <v>0</v>
      </c>
      <c r="H282" t="s">
        <v>1128</v>
      </c>
      <c r="I282" s="389" t="s">
        <v>564</v>
      </c>
      <c r="J282" s="388"/>
      <c r="K282" s="614">
        <f>calcR2LOB2DOOPlanTime4</f>
        <v>0</v>
      </c>
      <c r="L282" s="614">
        <f>calcR2LOB2DOOPlanTime4</f>
        <v>0</v>
      </c>
      <c r="M282" s="701">
        <f>calcR2LOB2DOOPlanTime4</f>
        <v>0</v>
      </c>
      <c r="N282" t="s">
        <v>1131</v>
      </c>
    </row>
    <row r="283" spans="2:14">
      <c r="B283" s="389" t="s">
        <v>565</v>
      </c>
      <c r="C283" s="388"/>
      <c r="D283" s="388"/>
      <c r="E283" s="614">
        <f>calcLOB2DOOPlanTime5</f>
        <v>0</v>
      </c>
      <c r="F283" s="614">
        <f>calcLOB2DOOPlanTime5</f>
        <v>0</v>
      </c>
      <c r="G283" s="701">
        <f>calcLOB2DOOPlanTime5</f>
        <v>0</v>
      </c>
      <c r="H283" t="s">
        <v>1134</v>
      </c>
      <c r="I283" s="389" t="s">
        <v>565</v>
      </c>
      <c r="J283" s="388"/>
      <c r="K283" s="614">
        <f>calcR2LOB2DOOPlanTime5</f>
        <v>0</v>
      </c>
      <c r="L283" s="614">
        <f>calcR2LOB2DOOPlanTime5</f>
        <v>0</v>
      </c>
      <c r="M283" s="701">
        <f>calcR2LOB2DOOPlanTime5</f>
        <v>0</v>
      </c>
      <c r="N283" t="s">
        <v>1137</v>
      </c>
    </row>
    <row r="284" spans="2:14">
      <c r="B284" s="389" t="s">
        <v>566</v>
      </c>
      <c r="C284" s="388"/>
      <c r="D284" s="388"/>
      <c r="E284" s="614">
        <f>calcLOB2DOOPlanTime6</f>
        <v>0</v>
      </c>
      <c r="F284" s="614">
        <f>calcLOB2DOOPlanTime6</f>
        <v>0</v>
      </c>
      <c r="G284" s="701">
        <f>calcLOB2DOOPlanTime6</f>
        <v>0</v>
      </c>
      <c r="H284" t="s">
        <v>1140</v>
      </c>
      <c r="I284" s="389" t="s">
        <v>566</v>
      </c>
      <c r="J284" s="388"/>
      <c r="K284" s="614">
        <f>calcR2LOB2DOOPlanTime6</f>
        <v>0</v>
      </c>
      <c r="L284" s="614">
        <f>calcR2LOB2DOOPlanTime6</f>
        <v>0</v>
      </c>
      <c r="M284" s="701">
        <f>calcR2LOB2DOOPlanTime6</f>
        <v>0</v>
      </c>
      <c r="N284" t="s">
        <v>1143</v>
      </c>
    </row>
    <row r="285" spans="2:14">
      <c r="B285" s="389" t="s">
        <v>13</v>
      </c>
      <c r="C285" s="388"/>
      <c r="D285" s="388"/>
      <c r="E285" s="677">
        <f>calcLOB2DOOTotalPlanTime</f>
        <v>0.8</v>
      </c>
      <c r="F285" s="677">
        <f>calcLOB2DOOTotalPlanTime</f>
        <v>0.95000000000000007</v>
      </c>
      <c r="G285" s="680">
        <f>calcLOB2DOOTotalPlanTime</f>
        <v>1.03</v>
      </c>
      <c r="H285" t="s">
        <v>1145</v>
      </c>
      <c r="I285" s="389" t="s">
        <v>13</v>
      </c>
      <c r="J285" s="388"/>
      <c r="K285" s="677">
        <f>calcR2LOB2DOOTotalPlanTime</f>
        <v>0.748</v>
      </c>
      <c r="L285" s="677">
        <f>calcR2LOB2DOOTotalPlanTime</f>
        <v>0.95000000000000007</v>
      </c>
      <c r="M285" s="680">
        <f>calcR2LOB2DOOTotalPlanTime</f>
        <v>1.03</v>
      </c>
      <c r="N285" t="s">
        <v>1147</v>
      </c>
    </row>
    <row r="286" spans="2:14">
      <c r="B286" s="389"/>
      <c r="C286" s="388"/>
      <c r="D286" s="388"/>
      <c r="E286" s="613"/>
      <c r="F286" s="388"/>
      <c r="G286" s="391"/>
      <c r="I286" s="389"/>
      <c r="J286" s="388"/>
      <c r="K286" s="613"/>
      <c r="L286" s="388"/>
      <c r="M286" s="391"/>
    </row>
    <row r="287" spans="2:14" ht="10.5">
      <c r="B287" s="670" t="s">
        <v>251</v>
      </c>
      <c r="C287" s="388"/>
      <c r="D287" s="388"/>
      <c r="E287" s="388"/>
      <c r="F287" s="388"/>
      <c r="G287" s="391"/>
      <c r="I287" s="670" t="s">
        <v>251</v>
      </c>
      <c r="J287" s="388"/>
      <c r="K287" s="388"/>
      <c r="L287" s="388"/>
      <c r="M287" s="391"/>
    </row>
    <row r="288" spans="2:14">
      <c r="B288" s="389" t="s">
        <v>534</v>
      </c>
      <c r="C288" s="388"/>
      <c r="D288" s="388"/>
      <c r="E288" s="508">
        <f>decLOB2Prod1Seg1Adj_R1*12</f>
        <v>1608</v>
      </c>
      <c r="F288" s="508">
        <f>decLOB2Prod1Seg1Adj_R1*12</f>
        <v>1200</v>
      </c>
      <c r="G288" s="555">
        <f>decLOB2Prod1Seg1Adj_R1*12</f>
        <v>2400</v>
      </c>
      <c r="H288" t="s">
        <v>1168</v>
      </c>
      <c r="I288" s="389" t="s">
        <v>534</v>
      </c>
      <c r="J288" s="388"/>
      <c r="K288" s="508">
        <f>decLOB2Prod1Seg1Adj_R2*12</f>
        <v>1656</v>
      </c>
      <c r="L288" s="508">
        <f>decLOB2Prod1Seg1Adj_R2*12</f>
        <v>1200</v>
      </c>
      <c r="M288" s="555">
        <f>decLOB2Prod1Seg1Adj_R2*12</f>
        <v>2400</v>
      </c>
      <c r="N288" t="s">
        <v>1174</v>
      </c>
    </row>
    <row r="289" spans="2:14">
      <c r="B289" s="389" t="s">
        <v>535</v>
      </c>
      <c r="C289" s="388"/>
      <c r="D289" s="388"/>
      <c r="E289" s="508">
        <f>decLOB2Prod1Seg2Adj_R1*12</f>
        <v>84</v>
      </c>
      <c r="F289" s="508">
        <f>decLOB2Prod1Seg2Adj_R1*12</f>
        <v>96</v>
      </c>
      <c r="G289" s="555">
        <f>decLOB2Prod1Seg2Adj_R1*12</f>
        <v>120</v>
      </c>
      <c r="H289" t="s">
        <v>1180</v>
      </c>
      <c r="I289" s="389" t="s">
        <v>535</v>
      </c>
      <c r="J289" s="388"/>
      <c r="K289" s="508">
        <f>decLOB2Prod1Seg2Adj_R2*12</f>
        <v>96</v>
      </c>
      <c r="L289" s="508">
        <f>decLOB2Prod1Seg2Adj_R2*12</f>
        <v>96</v>
      </c>
      <c r="M289" s="555">
        <f>decLOB2Prod1Seg2Adj_R2*12</f>
        <v>120</v>
      </c>
      <c r="N289" t="s">
        <v>1186</v>
      </c>
    </row>
    <row r="290" spans="2:14">
      <c r="B290" s="389" t="s">
        <v>536</v>
      </c>
      <c r="C290" s="388"/>
      <c r="D290" s="388"/>
      <c r="E290" s="508">
        <f>decLOB2Prod1Seg3Adj_R1*12</f>
        <v>48</v>
      </c>
      <c r="F290" s="508">
        <f>decLOB2Prod1Seg3Adj_R1*12</f>
        <v>36</v>
      </c>
      <c r="G290" s="555">
        <f>decLOB2Prod1Seg3Adj_R1*12</f>
        <v>96</v>
      </c>
      <c r="H290" t="s">
        <v>1192</v>
      </c>
      <c r="I290" s="389" t="s">
        <v>536</v>
      </c>
      <c r="J290" s="388"/>
      <c r="K290" s="508">
        <f>decLOB2Prod1Seg3Adj_R2*12</f>
        <v>60</v>
      </c>
      <c r="L290" s="508">
        <f>decLOB2Prod1Seg3Adj_R2*12</f>
        <v>36</v>
      </c>
      <c r="M290" s="555">
        <f>decLOB2Prod1Seg3Adj_R2*12</f>
        <v>96</v>
      </c>
      <c r="N290" t="s">
        <v>1198</v>
      </c>
    </row>
    <row r="291" spans="2:14">
      <c r="B291" s="389" t="s">
        <v>537</v>
      </c>
      <c r="C291" s="388"/>
      <c r="D291" s="388"/>
      <c r="E291" s="508">
        <f>decLOB2Prod2Seg1Adj_R1*12</f>
        <v>480</v>
      </c>
      <c r="F291" s="508">
        <f>decLOB2Prod2Seg1Adj_R1*12</f>
        <v>360</v>
      </c>
      <c r="G291" s="555">
        <f>decLOB2Prod2Seg1Adj_R1*12</f>
        <v>720</v>
      </c>
      <c r="H291" t="s">
        <v>1204</v>
      </c>
      <c r="I291" s="389" t="s">
        <v>537</v>
      </c>
      <c r="J291" s="388"/>
      <c r="K291" s="508">
        <f>decLOB2Prod2Seg1Adj_R2*12</f>
        <v>504</v>
      </c>
      <c r="L291" s="508">
        <f>decLOB2Prod2Seg1Adj_R2*12</f>
        <v>360</v>
      </c>
      <c r="M291" s="555">
        <f>decLOB2Prod2Seg1Adj_R2*12</f>
        <v>720</v>
      </c>
      <c r="N291" t="s">
        <v>1210</v>
      </c>
    </row>
    <row r="292" spans="2:14">
      <c r="B292" s="389" t="s">
        <v>538</v>
      </c>
      <c r="C292" s="388"/>
      <c r="D292" s="388"/>
      <c r="E292" s="508">
        <f>decLOB2Prod2Seg2Adj_R1*12</f>
        <v>24</v>
      </c>
      <c r="F292" s="508">
        <f>decLOB2Prod2Seg2Adj_R1*12</f>
        <v>24</v>
      </c>
      <c r="G292" s="555">
        <f>decLOB2Prod2Seg2Adj_R1*12</f>
        <v>60</v>
      </c>
      <c r="H292" t="s">
        <v>1216</v>
      </c>
      <c r="I292" s="389" t="s">
        <v>538</v>
      </c>
      <c r="J292" s="388"/>
      <c r="K292" s="508">
        <f>decLOB2Prod2Seg2Adj_R2*12</f>
        <v>24</v>
      </c>
      <c r="L292" s="508">
        <f>decLOB2Prod2Seg2Adj_R2*12</f>
        <v>24</v>
      </c>
      <c r="M292" s="555">
        <f>decLOB2Prod2Seg2Adj_R2*12</f>
        <v>60</v>
      </c>
      <c r="N292" t="s">
        <v>1222</v>
      </c>
    </row>
    <row r="293" spans="2:14">
      <c r="B293" s="389" t="s">
        <v>539</v>
      </c>
      <c r="C293" s="388"/>
      <c r="D293" s="388"/>
      <c r="E293" s="508">
        <f>decLOB2Prod2Seg3Adj_R1*12</f>
        <v>12</v>
      </c>
      <c r="F293" s="508">
        <f>decLOB2Prod2Seg3Adj_R1*12</f>
        <v>12</v>
      </c>
      <c r="G293" s="555">
        <f>decLOB2Prod2Seg3Adj_R1*12</f>
        <v>48</v>
      </c>
      <c r="H293" t="s">
        <v>1228</v>
      </c>
      <c r="I293" s="389" t="s">
        <v>539</v>
      </c>
      <c r="J293" s="388"/>
      <c r="K293" s="508">
        <f>decLOB2Prod2Seg3Adj_R2*12</f>
        <v>12</v>
      </c>
      <c r="L293" s="508">
        <f>decLOB2Prod2Seg3Adj_R2*12</f>
        <v>12</v>
      </c>
      <c r="M293" s="555">
        <f>decLOB2Prod2Seg3Adj_R2*12</f>
        <v>48</v>
      </c>
      <c r="N293" t="s">
        <v>1234</v>
      </c>
    </row>
    <row r="294" spans="2:14">
      <c r="B294" s="389"/>
      <c r="C294" s="388"/>
      <c r="D294" s="388"/>
      <c r="E294" s="508"/>
      <c r="F294" s="508"/>
      <c r="G294" s="555"/>
      <c r="I294" s="389"/>
      <c r="J294" s="388"/>
      <c r="K294" s="508"/>
      <c r="L294" s="508"/>
      <c r="M294" s="555"/>
    </row>
    <row r="295" spans="2:14" ht="10.5">
      <c r="B295" s="670" t="s">
        <v>4907</v>
      </c>
      <c r="C295" s="388"/>
      <c r="D295" s="388"/>
      <c r="E295" s="508"/>
      <c r="F295" s="508"/>
      <c r="G295" s="555"/>
      <c r="I295" s="670" t="s">
        <v>4907</v>
      </c>
      <c r="J295" s="388"/>
      <c r="K295" s="508"/>
      <c r="L295" s="508"/>
      <c r="M295" s="555"/>
    </row>
    <row r="296" spans="2:14">
      <c r="B296" s="389" t="s">
        <v>534</v>
      </c>
      <c r="C296" s="388"/>
      <c r="D296" s="388"/>
      <c r="E296" s="508">
        <f>calcLOB2Prod1Seg1Budget</f>
        <v>1754</v>
      </c>
      <c r="F296" s="508">
        <f>calcLOB2Prod1Seg1Budget</f>
        <v>1754</v>
      </c>
      <c r="G296" s="555">
        <f>calcLOB2Prod1Seg1Budget</f>
        <v>1754</v>
      </c>
      <c r="H296" t="s">
        <v>5036</v>
      </c>
      <c r="I296" s="389" t="s">
        <v>534</v>
      </c>
      <c r="J296" s="388"/>
      <c r="K296" s="508">
        <f>calcR2LOB2Prod1Seg1Budget</f>
        <v>1809</v>
      </c>
      <c r="L296" s="508">
        <f>calcR2LOB2Prod1Seg1Budget</f>
        <v>1809</v>
      </c>
      <c r="M296" s="555">
        <f>calcR2LOB2Prod1Seg1Budget</f>
        <v>1809</v>
      </c>
      <c r="N296" t="s">
        <v>5043</v>
      </c>
    </row>
    <row r="297" spans="2:14">
      <c r="B297" s="389" t="s">
        <v>535</v>
      </c>
      <c r="C297" s="388"/>
      <c r="D297" s="388"/>
      <c r="E297" s="508">
        <f>calcLOB2Prod1Seg2Budget</f>
        <v>95</v>
      </c>
      <c r="F297" s="508">
        <f>calcLOB2Prod1Seg2Budget</f>
        <v>95</v>
      </c>
      <c r="G297" s="555">
        <f>calcLOB2Prod1Seg2Budget</f>
        <v>95</v>
      </c>
      <c r="H297" t="s">
        <v>5037</v>
      </c>
      <c r="I297" s="389" t="s">
        <v>535</v>
      </c>
      <c r="J297" s="388"/>
      <c r="K297" s="508">
        <f>calcR2LOB2Prod1Seg2Budget</f>
        <v>98</v>
      </c>
      <c r="L297" s="508">
        <f>calcR2LOB2Prod1Seg2Budget</f>
        <v>98</v>
      </c>
      <c r="M297" s="555">
        <f>calcR2LOB2Prod1Seg2Budget</f>
        <v>98</v>
      </c>
      <c r="N297" t="s">
        <v>5044</v>
      </c>
    </row>
    <row r="298" spans="2:14">
      <c r="B298" s="389" t="s">
        <v>536</v>
      </c>
      <c r="C298" s="388"/>
      <c r="D298" s="388"/>
      <c r="E298" s="508">
        <f>calcLOB2Prod1Seg3Budget</f>
        <v>57</v>
      </c>
      <c r="F298" s="508">
        <f>calcLOB2Prod1Seg3Budget</f>
        <v>57</v>
      </c>
      <c r="G298" s="555">
        <f>calcLOB2Prod1Seg3Budget</f>
        <v>57</v>
      </c>
      <c r="H298" t="s">
        <v>5038</v>
      </c>
      <c r="I298" s="389" t="s">
        <v>536</v>
      </c>
      <c r="J298" s="388"/>
      <c r="K298" s="508">
        <f>calcR2LOB2Prod1Seg3Budget</f>
        <v>59</v>
      </c>
      <c r="L298" s="508">
        <f>calcR2LOB2Prod1Seg3Budget</f>
        <v>59</v>
      </c>
      <c r="M298" s="555">
        <f>calcR2LOB2Prod1Seg3Budget</f>
        <v>59</v>
      </c>
      <c r="N298" t="s">
        <v>5045</v>
      </c>
    </row>
    <row r="299" spans="2:14">
      <c r="B299" s="389" t="s">
        <v>537</v>
      </c>
      <c r="C299" s="388"/>
      <c r="D299" s="388"/>
      <c r="E299" s="508">
        <f>calcLOB2Prod2Seg1Budget</f>
        <v>526</v>
      </c>
      <c r="F299" s="508">
        <f>calcLOB2Prod2Seg1Budget</f>
        <v>526</v>
      </c>
      <c r="G299" s="555">
        <f>calcLOB2Prod2Seg1Budget</f>
        <v>526</v>
      </c>
      <c r="H299" t="s">
        <v>5039</v>
      </c>
      <c r="I299" s="389" t="s">
        <v>537</v>
      </c>
      <c r="J299" s="388"/>
      <c r="K299" s="508">
        <f>calcR2LOB2Prod2Seg1Budget</f>
        <v>543</v>
      </c>
      <c r="L299" s="508">
        <f>calcR2LOB2Prod2Seg1Budget</f>
        <v>543</v>
      </c>
      <c r="M299" s="555">
        <f>calcR2LOB2Prod2Seg1Budget</f>
        <v>543</v>
      </c>
      <c r="N299" t="s">
        <v>5046</v>
      </c>
    </row>
    <row r="300" spans="2:14">
      <c r="B300" s="389" t="s">
        <v>538</v>
      </c>
      <c r="C300" s="388"/>
      <c r="D300" s="388"/>
      <c r="E300" s="508">
        <f>calcLOB2Prod2Seg2Budget</f>
        <v>29</v>
      </c>
      <c r="F300" s="508">
        <f>calcLOB2Prod2Seg2Budget</f>
        <v>29</v>
      </c>
      <c r="G300" s="555">
        <f>calcLOB2Prod2Seg2Budget</f>
        <v>29</v>
      </c>
      <c r="H300" t="s">
        <v>5040</v>
      </c>
      <c r="I300" s="389" t="s">
        <v>538</v>
      </c>
      <c r="J300" s="388"/>
      <c r="K300" s="508">
        <f>calcR2LOB2Prod2Seg2Budget</f>
        <v>29</v>
      </c>
      <c r="L300" s="508">
        <f>calcR2LOB2Prod2Seg2Budget</f>
        <v>29</v>
      </c>
      <c r="M300" s="555">
        <f>calcR2LOB2Prod2Seg2Budget</f>
        <v>29</v>
      </c>
      <c r="N300" t="s">
        <v>5047</v>
      </c>
    </row>
    <row r="301" spans="2:14">
      <c r="B301" s="389" t="s">
        <v>539</v>
      </c>
      <c r="C301" s="388"/>
      <c r="D301" s="388"/>
      <c r="E301" s="508">
        <f>calcLOB2Prod2Seg3Budget</f>
        <v>17</v>
      </c>
      <c r="F301" s="508">
        <f>calcLOB2Prod2Seg3Budget</f>
        <v>17</v>
      </c>
      <c r="G301" s="555">
        <f>calcLOB2Prod2Seg3Budget</f>
        <v>17</v>
      </c>
      <c r="H301" t="s">
        <v>5041</v>
      </c>
      <c r="I301" s="389" t="s">
        <v>539</v>
      </c>
      <c r="J301" s="388"/>
      <c r="K301" s="508">
        <f>calcR2LOB2Prod2Seg3Budget</f>
        <v>18</v>
      </c>
      <c r="L301" s="508">
        <f>calcR2LOB2Prod2Seg3Budget</f>
        <v>18</v>
      </c>
      <c r="M301" s="555">
        <f>calcR2LOB2Prod2Seg3Budget</f>
        <v>18</v>
      </c>
      <c r="N301" t="s">
        <v>5048</v>
      </c>
    </row>
    <row r="302" spans="2:14">
      <c r="B302" s="389"/>
      <c r="C302" s="388"/>
      <c r="D302" s="388"/>
      <c r="E302" s="613"/>
      <c r="F302" s="388"/>
      <c r="G302" s="391"/>
      <c r="I302" s="389"/>
      <c r="J302" s="388"/>
      <c r="K302" s="613"/>
      <c r="L302" s="388"/>
      <c r="M302" s="391"/>
    </row>
    <row r="303" spans="2:14" ht="10.5">
      <c r="B303" s="670" t="s">
        <v>7843</v>
      </c>
      <c r="C303" s="388"/>
      <c r="D303" s="388"/>
      <c r="E303" s="508"/>
      <c r="F303" s="508"/>
      <c r="G303" s="555"/>
      <c r="I303" s="670" t="s">
        <v>7843</v>
      </c>
      <c r="J303" s="388"/>
      <c r="K303" s="508"/>
      <c r="L303" s="508"/>
      <c r="M303" s="555"/>
    </row>
    <row r="304" spans="2:14">
      <c r="B304" s="389" t="s">
        <v>534</v>
      </c>
      <c r="C304" s="388"/>
      <c r="D304" s="388"/>
      <c r="E304" s="508">
        <f>calcLOB2Prod1Seg1Patients</f>
        <v>1608</v>
      </c>
      <c r="F304" s="508">
        <f>calcLOB2Prod1Seg1Patients</f>
        <v>1200</v>
      </c>
      <c r="G304" s="555">
        <f>calcLOB2Prod1Seg1Patients</f>
        <v>2400</v>
      </c>
      <c r="H304" t="s">
        <v>4819</v>
      </c>
      <c r="I304" s="389" t="s">
        <v>534</v>
      </c>
      <c r="J304" s="388"/>
      <c r="K304" s="508">
        <f>calcR2LOB2Prod1Seg1Patients</f>
        <v>1656</v>
      </c>
      <c r="L304" s="508">
        <f>calcR2LOB2Prod1Seg1Patients</f>
        <v>1200</v>
      </c>
      <c r="M304" s="555">
        <f>calcR2LOB2Prod1Seg1Patients</f>
        <v>2400</v>
      </c>
      <c r="N304" t="s">
        <v>7744</v>
      </c>
    </row>
    <row r="305" spans="1:14">
      <c r="B305" s="389" t="s">
        <v>535</v>
      </c>
      <c r="C305" s="388"/>
      <c r="D305" s="388"/>
      <c r="E305" s="508">
        <f>calcLOB2Prod2Seg1Patients</f>
        <v>480</v>
      </c>
      <c r="F305" s="508">
        <f>calcLOB2Prod2Seg1Patients</f>
        <v>360</v>
      </c>
      <c r="G305" s="555">
        <f>calcLOB2Prod2Seg1Patients</f>
        <v>720</v>
      </c>
      <c r="H305" t="s">
        <v>4820</v>
      </c>
      <c r="I305" s="389" t="s">
        <v>535</v>
      </c>
      <c r="J305" s="388"/>
      <c r="K305" s="508">
        <f>calcR2LOB2Prod2Seg1Patients</f>
        <v>504</v>
      </c>
      <c r="L305" s="508">
        <f>calcR2LOB2Prod2Seg1Patients</f>
        <v>360</v>
      </c>
      <c r="M305" s="555">
        <f>calcR2LOB2Prod2Seg1Patients</f>
        <v>720</v>
      </c>
      <c r="N305" t="s">
        <v>7745</v>
      </c>
    </row>
    <row r="306" spans="1:14">
      <c r="B306" s="389" t="s">
        <v>536</v>
      </c>
      <c r="C306" s="388"/>
      <c r="D306" s="388"/>
      <c r="E306" s="508">
        <f>calcLOB2Prod1Seg2Patients</f>
        <v>84</v>
      </c>
      <c r="F306" s="508">
        <f>calcLOB2Prod1Seg2Patients</f>
        <v>96</v>
      </c>
      <c r="G306" s="555">
        <f>calcLOB2Prod1Seg2Patients</f>
        <v>120</v>
      </c>
      <c r="H306" t="s">
        <v>4821</v>
      </c>
      <c r="I306" s="389" t="s">
        <v>536</v>
      </c>
      <c r="J306" s="388"/>
      <c r="K306" s="508">
        <f>calcR2LOB2Prod1Seg2Patients</f>
        <v>96</v>
      </c>
      <c r="L306" s="508">
        <f>calcR2LOB2Prod1Seg2Patients</f>
        <v>96</v>
      </c>
      <c r="M306" s="555">
        <f>calcR2LOB2Prod1Seg2Patients</f>
        <v>120</v>
      </c>
      <c r="N306" t="s">
        <v>7746</v>
      </c>
    </row>
    <row r="307" spans="1:14">
      <c r="B307" s="389" t="s">
        <v>537</v>
      </c>
      <c r="C307" s="388"/>
      <c r="D307" s="388"/>
      <c r="E307" s="508">
        <f>calcLOB2Prod2Seg2Patients</f>
        <v>24</v>
      </c>
      <c r="F307" s="508">
        <f>calcLOB2Prod2Seg2Patients</f>
        <v>24</v>
      </c>
      <c r="G307" s="555">
        <f>calcLOB2Prod2Seg2Patients</f>
        <v>60</v>
      </c>
      <c r="H307" t="s">
        <v>4822</v>
      </c>
      <c r="I307" s="389" t="s">
        <v>537</v>
      </c>
      <c r="J307" s="388"/>
      <c r="K307" s="508">
        <f>calcR2LOB2Prod2Seg2Patients</f>
        <v>24</v>
      </c>
      <c r="L307" s="508">
        <f>calcR2LOB2Prod2Seg2Patients</f>
        <v>24</v>
      </c>
      <c r="M307" s="555">
        <f>calcR2LOB2Prod2Seg2Patients</f>
        <v>60</v>
      </c>
      <c r="N307" t="s">
        <v>7747</v>
      </c>
    </row>
    <row r="308" spans="1:14">
      <c r="B308" s="389" t="s">
        <v>538</v>
      </c>
      <c r="C308" s="388"/>
      <c r="D308" s="388"/>
      <c r="E308" s="508">
        <f>calcLOB2Prod1Seg3Patients</f>
        <v>48</v>
      </c>
      <c r="F308" s="508">
        <f>calcLOB2Prod1Seg3Patients</f>
        <v>36</v>
      </c>
      <c r="G308" s="555">
        <f>calcLOB2Prod1Seg3Patients</f>
        <v>96</v>
      </c>
      <c r="H308" t="s">
        <v>4823</v>
      </c>
      <c r="I308" s="389" t="s">
        <v>538</v>
      </c>
      <c r="J308" s="388"/>
      <c r="K308" s="508">
        <f>calcR2LOB2Prod1Seg3Patients</f>
        <v>60</v>
      </c>
      <c r="L308" s="508">
        <f>calcR2LOB2Prod1Seg3Patients</f>
        <v>36</v>
      </c>
      <c r="M308" s="555">
        <f>calcR2LOB2Prod1Seg3Patients</f>
        <v>96</v>
      </c>
      <c r="N308" t="s">
        <v>7748</v>
      </c>
    </row>
    <row r="309" spans="1:14">
      <c r="B309" s="389" t="s">
        <v>539</v>
      </c>
      <c r="C309" s="388"/>
      <c r="D309" s="388"/>
      <c r="E309" s="508">
        <f>calcLOB2Prod2Seg3Patients</f>
        <v>12</v>
      </c>
      <c r="F309" s="508">
        <f>calcLOB2Prod2Seg3Patients</f>
        <v>12</v>
      </c>
      <c r="G309" s="555">
        <f>calcLOB2Prod2Seg3Patients</f>
        <v>48</v>
      </c>
      <c r="H309" t="s">
        <v>4824</v>
      </c>
      <c r="I309" s="389" t="s">
        <v>539</v>
      </c>
      <c r="J309" s="388"/>
      <c r="K309" s="508">
        <f>calcR2LOB2Prod2Seg3Patients</f>
        <v>12</v>
      </c>
      <c r="L309" s="508">
        <f>calcR2LOB2Prod2Seg3Patients</f>
        <v>12</v>
      </c>
      <c r="M309" s="555">
        <f>calcR2LOB2Prod2Seg3Patients</f>
        <v>48</v>
      </c>
      <c r="N309" t="s">
        <v>7749</v>
      </c>
    </row>
    <row r="310" spans="1:14">
      <c r="B310" s="389"/>
      <c r="C310" s="388"/>
      <c r="D310" s="388"/>
      <c r="E310" s="613"/>
      <c r="F310" s="388"/>
      <c r="G310" s="391"/>
      <c r="I310" s="389"/>
      <c r="J310" s="388"/>
      <c r="K310" s="613"/>
      <c r="L310" s="388"/>
      <c r="M310" s="391"/>
    </row>
    <row r="311" spans="1:14" ht="10.5">
      <c r="B311" s="670" t="s">
        <v>7844</v>
      </c>
      <c r="C311" s="388"/>
      <c r="D311" s="388"/>
      <c r="E311" s="388"/>
      <c r="F311" s="388"/>
      <c r="G311" s="391"/>
      <c r="I311" s="670" t="s">
        <v>7844</v>
      </c>
      <c r="J311" s="388"/>
      <c r="K311" s="388"/>
      <c r="L311" s="388"/>
      <c r="M311" s="391"/>
    </row>
    <row r="312" spans="1:14">
      <c r="B312" s="397" t="s">
        <v>4354</v>
      </c>
      <c r="C312" s="398"/>
      <c r="D312" s="398">
        <v>10</v>
      </c>
      <c r="E312" s="255">
        <f>mmLOB2Driver1Explain</f>
        <v>0</v>
      </c>
      <c r="F312" s="255">
        <f>mmLOB2Driver1Explain</f>
        <v>-2.1560272861033548E-2</v>
      </c>
      <c r="G312" s="702">
        <f>mmLOB2Driver1Explain</f>
        <v>2.1560272861033548E-2</v>
      </c>
      <c r="H312" t="s">
        <v>7856</v>
      </c>
      <c r="I312" s="397" t="s">
        <v>4354</v>
      </c>
      <c r="J312" s="398">
        <v>10</v>
      </c>
      <c r="K312" s="255">
        <f>mmR2LOB2Driver1Explain</f>
        <v>-1.2447948647471778E-2</v>
      </c>
      <c r="L312" s="255">
        <f>mmR2LOB2Driver1Explain</f>
        <v>-1.2447948647471778E-2</v>
      </c>
      <c r="M312" s="702">
        <f>mmR2LOB2Driver1Explain</f>
        <v>2.4895897294943556E-2</v>
      </c>
      <c r="N312" t="s">
        <v>7856</v>
      </c>
    </row>
    <row r="313" spans="1:14">
      <c r="B313" s="389" t="s">
        <v>490</v>
      </c>
      <c r="C313" s="388"/>
      <c r="D313" s="388">
        <v>9</v>
      </c>
      <c r="E313" s="259">
        <f>mmLOB2Driver2Explain</f>
        <v>-2.2373292182958311E-2</v>
      </c>
      <c r="F313" s="259">
        <f>mmLOB2Driver2Explain</f>
        <v>1.2239557264585406E-2</v>
      </c>
      <c r="G313" s="703">
        <f>mmLOB2Driver2Explain</f>
        <v>1.0133734918372918E-2</v>
      </c>
      <c r="H313" t="s">
        <v>7857</v>
      </c>
      <c r="I313" s="389" t="s">
        <v>490</v>
      </c>
      <c r="J313" s="388">
        <v>9</v>
      </c>
      <c r="K313" s="259">
        <f>mmR2LOB2Driver2Explain</f>
        <v>-2.2374746557175078E-2</v>
      </c>
      <c r="L313" s="259">
        <f>mmR2LOB2Driver2Explain</f>
        <v>1.2285942955516011E-2</v>
      </c>
      <c r="M313" s="703">
        <f>mmR2LOB2Driver2Explain</f>
        <v>1.0088803601659055E-2</v>
      </c>
      <c r="N313" t="s">
        <v>7857</v>
      </c>
    </row>
    <row r="314" spans="1:14">
      <c r="B314" s="392" t="s">
        <v>4352</v>
      </c>
      <c r="C314" s="393"/>
      <c r="D314" s="393">
        <v>6</v>
      </c>
      <c r="E314" s="674">
        <f>mmLOB2Driver3Explain</f>
        <v>-1.4937497344323215E-2</v>
      </c>
      <c r="F314" s="674">
        <f>mmLOB2Driver3Explain</f>
        <v>7.4990674808824657E-3</v>
      </c>
      <c r="G314" s="704">
        <f>mmLOB2Driver3Explain</f>
        <v>7.438429863440725E-3</v>
      </c>
      <c r="H314" t="s">
        <v>7858</v>
      </c>
      <c r="I314" s="392" t="s">
        <v>4352</v>
      </c>
      <c r="J314" s="393">
        <v>6</v>
      </c>
      <c r="K314" s="674">
        <f>mmR2LOB2Driver3Explain</f>
        <v>-1.4559411532418983E-2</v>
      </c>
      <c r="L314" s="674">
        <f>mmR2LOB2Driver3Explain</f>
        <v>1.0171752507067162E-2</v>
      </c>
      <c r="M314" s="704">
        <f>mmR2LOB2Driver3Explain</f>
        <v>4.387659025351846E-3</v>
      </c>
      <c r="N314" t="s">
        <v>7858</v>
      </c>
    </row>
    <row r="315" spans="1:14">
      <c r="B315" s="675" t="s">
        <v>225</v>
      </c>
      <c r="C315" s="668"/>
      <c r="D315" s="668"/>
      <c r="E315" s="676">
        <f>mmLOB2MarketShare</f>
        <v>0.29602254380605181</v>
      </c>
      <c r="F315" s="676">
        <f>mmLOB2MarketShare</f>
        <v>0.33151168521776764</v>
      </c>
      <c r="G315" s="681">
        <f>mmLOB2MarketShare</f>
        <v>0.3724657709761805</v>
      </c>
      <c r="H315" t="s">
        <v>7859</v>
      </c>
      <c r="I315" s="675" t="s">
        <v>225</v>
      </c>
      <c r="J315" s="668"/>
      <c r="K315" s="676">
        <f>mmR2LOB2MarketShare</f>
        <v>0.28394595304068132</v>
      </c>
      <c r="L315" s="676">
        <f>mmR2LOB2MarketShare</f>
        <v>0.34334263569009005</v>
      </c>
      <c r="M315" s="681">
        <f>mmR2LOB2MarketShare</f>
        <v>0.37271141126922874</v>
      </c>
      <c r="N315" t="s">
        <v>7859</v>
      </c>
    </row>
    <row r="316" spans="1:14">
      <c r="B316" s="389"/>
      <c r="C316" s="388"/>
      <c r="D316" s="388"/>
      <c r="E316" s="388"/>
      <c r="F316" s="388"/>
      <c r="G316" s="391"/>
      <c r="I316" s="389"/>
      <c r="J316" s="388"/>
      <c r="K316" s="388"/>
      <c r="L316" s="388"/>
      <c r="M316" s="391"/>
    </row>
    <row r="317" spans="1:14" ht="10.5">
      <c r="B317" s="670" t="s">
        <v>7852</v>
      </c>
      <c r="C317" s="388"/>
      <c r="D317" s="388"/>
      <c r="E317" s="388"/>
      <c r="F317" s="388"/>
      <c r="G317" s="391"/>
      <c r="I317" s="670" t="s">
        <v>7852</v>
      </c>
      <c r="J317" s="388"/>
      <c r="K317" s="388"/>
      <c r="L317" s="388"/>
      <c r="M317" s="391"/>
    </row>
    <row r="318" spans="1:14">
      <c r="A318">
        <v>1</v>
      </c>
      <c r="B318" s="389" t="s">
        <v>701</v>
      </c>
      <c r="C318" s="388"/>
      <c r="D318" s="388"/>
      <c r="E318" s="388">
        <f>COUNTIF(dec!E$13:E$16,$A318)</f>
        <v>0</v>
      </c>
      <c r="F318" s="388">
        <f>COUNTIF(dec!F$13:F$16,$A318)</f>
        <v>0</v>
      </c>
      <c r="G318" s="391">
        <f>COUNTIF(dec!G$13:G$16,$A318)</f>
        <v>0</v>
      </c>
      <c r="I318" s="389" t="s">
        <v>701</v>
      </c>
      <c r="J318" s="388"/>
      <c r="K318" s="388">
        <f>COUNTIF(dec!L$13:L$16,$A318)</f>
        <v>0</v>
      </c>
      <c r="L318" s="388">
        <f>COUNTIF(dec!M$13:M$16,$A318)</f>
        <v>0</v>
      </c>
      <c r="M318" s="391">
        <f>COUNTIF(dec!N$13:N$16,$A318)</f>
        <v>0</v>
      </c>
    </row>
    <row r="319" spans="1:14">
      <c r="A319">
        <v>2</v>
      </c>
      <c r="B319" s="389" t="s">
        <v>3990</v>
      </c>
      <c r="C319" s="388"/>
      <c r="D319" s="388"/>
      <c r="E319" s="388">
        <f>COUNTIF(dec!E$13:E$16,$A319)</f>
        <v>0</v>
      </c>
      <c r="F319" s="388">
        <f>COUNTIF(dec!F$13:F$16,$A319)</f>
        <v>0</v>
      </c>
      <c r="G319" s="391">
        <f>COUNTIF(dec!G$13:G$16,$A319)</f>
        <v>0</v>
      </c>
      <c r="I319" s="389" t="s">
        <v>3990</v>
      </c>
      <c r="J319" s="388"/>
      <c r="K319" s="388">
        <f>COUNTIF(dec!L$13:L$16,$A319)</f>
        <v>0</v>
      </c>
      <c r="L319" s="388">
        <f>COUNTIF(dec!M$13:M$16,$A319)</f>
        <v>0</v>
      </c>
      <c r="M319" s="391">
        <f>COUNTIF(dec!N$13:N$16,$A319)</f>
        <v>0</v>
      </c>
    </row>
    <row r="320" spans="1:14">
      <c r="A320">
        <v>3</v>
      </c>
      <c r="B320" s="389" t="s">
        <v>2931</v>
      </c>
      <c r="C320" s="388"/>
      <c r="D320" s="388"/>
      <c r="E320" s="388">
        <f>COUNTIF(dec!E$13:E$16,$A320)</f>
        <v>0</v>
      </c>
      <c r="F320" s="388">
        <f>COUNTIF(dec!F$13:F$16,$A320)</f>
        <v>0</v>
      </c>
      <c r="G320" s="391">
        <f>COUNTIF(dec!G$13:G$16,$A320)</f>
        <v>0</v>
      </c>
      <c r="I320" s="389" t="s">
        <v>2931</v>
      </c>
      <c r="J320" s="388"/>
      <c r="K320" s="388">
        <f>COUNTIF(dec!L$13:L$16,$A320)</f>
        <v>0</v>
      </c>
      <c r="L320" s="388">
        <f>COUNTIF(dec!M$13:M$16,$A320)</f>
        <v>0</v>
      </c>
      <c r="M320" s="391">
        <f>COUNTIF(dec!N$13:N$16,$A320)</f>
        <v>0</v>
      </c>
    </row>
    <row r="321" spans="1:14">
      <c r="A321">
        <v>4</v>
      </c>
      <c r="B321" s="389" t="s">
        <v>2932</v>
      </c>
      <c r="C321" s="388"/>
      <c r="D321" s="388"/>
      <c r="E321" s="388">
        <f>COUNTIF(dec!E$13:E$16,$A321)</f>
        <v>0</v>
      </c>
      <c r="F321" s="388">
        <f>COUNTIF(dec!F$13:F$16,$A321)</f>
        <v>0</v>
      </c>
      <c r="G321" s="391">
        <f>COUNTIF(dec!G$13:G$16,$A321)</f>
        <v>0</v>
      </c>
      <c r="I321" s="389" t="s">
        <v>2932</v>
      </c>
      <c r="J321" s="388"/>
      <c r="K321" s="388">
        <f>COUNTIF(dec!L$13:L$16,$A321)</f>
        <v>0</v>
      </c>
      <c r="L321" s="388">
        <f>COUNTIF(dec!M$13:M$16,$A321)</f>
        <v>0</v>
      </c>
      <c r="M321" s="391">
        <f>COUNTIF(dec!N$13:N$16,$A321)</f>
        <v>0</v>
      </c>
    </row>
    <row r="322" spans="1:14">
      <c r="A322">
        <v>5</v>
      </c>
      <c r="B322" s="389" t="s">
        <v>2933</v>
      </c>
      <c r="C322" s="388"/>
      <c r="D322" s="388"/>
      <c r="E322" s="388">
        <f>COUNTIF(dec!E$13:E$16,$A322)</f>
        <v>0</v>
      </c>
      <c r="F322" s="388">
        <f>COUNTIF(dec!F$13:F$16,$A322)</f>
        <v>0</v>
      </c>
      <c r="G322" s="391">
        <f>COUNTIF(dec!G$13:G$16,$A322)</f>
        <v>0</v>
      </c>
      <c r="I322" s="389" t="s">
        <v>2933</v>
      </c>
      <c r="J322" s="388"/>
      <c r="K322" s="388">
        <f>COUNTIF(dec!L$13:L$16,$A322)</f>
        <v>0</v>
      </c>
      <c r="L322" s="388">
        <f>COUNTIF(dec!M$13:M$16,$A322)</f>
        <v>0</v>
      </c>
      <c r="M322" s="391">
        <f>COUNTIF(dec!N$13:N$16,$A322)</f>
        <v>0</v>
      </c>
    </row>
    <row r="323" spans="1:14">
      <c r="A323">
        <v>6</v>
      </c>
      <c r="B323" s="389" t="s">
        <v>2934</v>
      </c>
      <c r="C323" s="388"/>
      <c r="D323" s="388"/>
      <c r="E323" s="388">
        <f>COUNTIF(dec!E$13:E$16,$A323)</f>
        <v>0</v>
      </c>
      <c r="F323" s="388">
        <f>COUNTIF(dec!F$13:F$16,$A323)</f>
        <v>0</v>
      </c>
      <c r="G323" s="391">
        <f>COUNTIF(dec!G$13:G$16,$A323)</f>
        <v>0</v>
      </c>
      <c r="I323" s="389" t="s">
        <v>2934</v>
      </c>
      <c r="J323" s="388"/>
      <c r="K323" s="388">
        <f>COUNTIF(dec!L$13:L$16,$A323)</f>
        <v>0</v>
      </c>
      <c r="L323" s="388">
        <f>COUNTIF(dec!M$13:M$16,$A323)</f>
        <v>0</v>
      </c>
      <c r="M323" s="391">
        <f>COUNTIF(dec!N$13:N$16,$A323)</f>
        <v>0</v>
      </c>
    </row>
    <row r="324" spans="1:14">
      <c r="B324" s="389"/>
      <c r="C324" s="388"/>
      <c r="D324" s="388"/>
      <c r="E324" s="388"/>
      <c r="F324" s="388"/>
      <c r="G324" s="391"/>
      <c r="I324" s="389"/>
      <c r="J324" s="388"/>
      <c r="K324" s="388"/>
      <c r="L324" s="388"/>
      <c r="M324" s="391"/>
    </row>
    <row r="325" spans="1:14">
      <c r="B325" s="389" t="s">
        <v>490</v>
      </c>
      <c r="C325" s="388"/>
      <c r="D325" s="388"/>
      <c r="E325" s="388"/>
      <c r="F325" s="388"/>
      <c r="G325" s="391"/>
      <c r="I325" s="389" t="s">
        <v>490</v>
      </c>
      <c r="J325" s="388"/>
      <c r="K325" s="388"/>
      <c r="L325" s="388"/>
      <c r="M325" s="391"/>
    </row>
    <row r="326" spans="1:14">
      <c r="B326" s="397" t="s">
        <v>2980</v>
      </c>
      <c r="C326" s="398"/>
      <c r="D326" s="398"/>
      <c r="E326" s="678">
        <f>tlOutputFBLOB2CSATImpact1_R1</f>
        <v>0</v>
      </c>
      <c r="F326" s="678">
        <f>tlOutputFBLOB2CSATImpact1_R1</f>
        <v>0</v>
      </c>
      <c r="G326" s="679">
        <f>tlOutputFBLOB2CSATImpact1_R1</f>
        <v>0</v>
      </c>
      <c r="H326" t="s">
        <v>4826</v>
      </c>
      <c r="I326" s="397" t="s">
        <v>2980</v>
      </c>
      <c r="J326" s="398"/>
      <c r="K326" s="678">
        <f>tlOutputFBLOB2CSATImpact1_R2</f>
        <v>0</v>
      </c>
      <c r="L326" s="678">
        <f>tlOutputFBLOB2CSATImpact1_R2</f>
        <v>0</v>
      </c>
      <c r="M326" s="679">
        <f>tlOutputFBLOB2CSATImpact1_R2</f>
        <v>0</v>
      </c>
      <c r="N326" t="s">
        <v>7751</v>
      </c>
    </row>
    <row r="327" spans="1:14">
      <c r="B327" s="389" t="s">
        <v>1615</v>
      </c>
      <c r="C327" s="388"/>
      <c r="D327" s="388"/>
      <c r="E327" s="677">
        <f>tlOutputFBLOB2CSATImpact2_R1</f>
        <v>-5.7000000000000023E-2</v>
      </c>
      <c r="F327" s="677">
        <f>tlOutputFBLOB2CSATImpact2_R1</f>
        <v>-5.7000000000000023E-2</v>
      </c>
      <c r="G327" s="680">
        <f>tlOutputFBLOB2CSATImpact2_R1</f>
        <v>-5.7000000000000023E-2</v>
      </c>
      <c r="H327" t="s">
        <v>4827</v>
      </c>
      <c r="I327" s="389" t="s">
        <v>1615</v>
      </c>
      <c r="J327" s="388"/>
      <c r="K327" s="677">
        <f>tlOutputFBLOB2CSATImpact2_R2</f>
        <v>0</v>
      </c>
      <c r="L327" s="677">
        <f>tlOutputFBLOB2CSATImpact2_R2</f>
        <v>0</v>
      </c>
      <c r="M327" s="680">
        <f>tlOutputFBLOB2CSATImpact2_R2</f>
        <v>0</v>
      </c>
      <c r="N327" t="s">
        <v>7752</v>
      </c>
    </row>
    <row r="328" spans="1:14">
      <c r="B328" s="389" t="s">
        <v>489</v>
      </c>
      <c r="C328" s="388"/>
      <c r="D328" s="388"/>
      <c r="E328" s="677">
        <f>tlOutputFBLOB2CSATImpact3_R1</f>
        <v>0</v>
      </c>
      <c r="F328" s="677">
        <f>tlOutputFBLOB2CSATImpact3_R1</f>
        <v>0</v>
      </c>
      <c r="G328" s="680">
        <f>tlOutputFBLOB2CSATImpact3_R1</f>
        <v>0</v>
      </c>
      <c r="H328" t="s">
        <v>4828</v>
      </c>
      <c r="I328" s="389" t="s">
        <v>489</v>
      </c>
      <c r="J328" s="388"/>
      <c r="K328" s="677">
        <f>tlOutputFBLOB2CSATImpact3_R2</f>
        <v>-1.3421937127231609E-3</v>
      </c>
      <c r="L328" s="677">
        <f>tlOutputFBLOB2CSATImpact3_R2</f>
        <v>-1.3421937127231609E-3</v>
      </c>
      <c r="M328" s="680">
        <f>tlOutputFBLOB2CSATImpact3_R2</f>
        <v>-1.3421937127231609E-3</v>
      </c>
      <c r="N328" t="s">
        <v>7753</v>
      </c>
    </row>
    <row r="329" spans="1:14">
      <c r="B329" s="389" t="s">
        <v>4351</v>
      </c>
      <c r="C329" s="388"/>
      <c r="D329" s="388"/>
      <c r="E329" s="677">
        <f>tlOutputFBLOB2CSATImpact4_R1</f>
        <v>-5.7000000000000054E-3</v>
      </c>
      <c r="F329" s="677">
        <f>tlOutputFBLOB2CSATImpact4_R1</f>
        <v>-5.7000000000000054E-3</v>
      </c>
      <c r="G329" s="680">
        <f>tlOutputFBLOB2CSATImpact4_R1</f>
        <v>-5.7000000000000054E-3</v>
      </c>
      <c r="H329" t="s">
        <v>4829</v>
      </c>
      <c r="I329" s="389" t="s">
        <v>4351</v>
      </c>
      <c r="J329" s="388"/>
      <c r="K329" s="677">
        <f>tlOutputFBLOB2CSATImpact4_R2</f>
        <v>-1.7895916169642369E-4</v>
      </c>
      <c r="L329" s="677">
        <f>tlOutputFBLOB2CSATImpact4_R2</f>
        <v>-1.7895916169642369E-4</v>
      </c>
      <c r="M329" s="680">
        <f>tlOutputFBLOB2CSATImpact4_R2</f>
        <v>-1.7895916169642369E-4</v>
      </c>
      <c r="N329" t="s">
        <v>7754</v>
      </c>
    </row>
    <row r="330" spans="1:14">
      <c r="B330" s="675" t="s">
        <v>2978</v>
      </c>
      <c r="C330" s="668"/>
      <c r="D330" s="668"/>
      <c r="E330" s="676">
        <f>tlOutputFBLOB2CSAT_R1</f>
        <v>0.63729999999999987</v>
      </c>
      <c r="F330" s="676">
        <f>tlOutputFBLOB2CSAT_R1</f>
        <v>0.63729999999999987</v>
      </c>
      <c r="G330" s="681">
        <f>tlOutputFBLOB2CSAT_R1</f>
        <v>0.63729999999999987</v>
      </c>
      <c r="H330" t="s">
        <v>4830</v>
      </c>
      <c r="I330" s="675" t="s">
        <v>2978</v>
      </c>
      <c r="J330" s="668"/>
      <c r="K330" s="676">
        <f>tlOutputFBLOB2CSAT_R2</f>
        <v>0.6357788471255803</v>
      </c>
      <c r="L330" s="676">
        <f>tlOutputFBLOB2CSAT_R2</f>
        <v>0.6357788471255803</v>
      </c>
      <c r="M330" s="681">
        <f>tlOutputFBLOB2CSAT_R2</f>
        <v>0.6357788471255803</v>
      </c>
      <c r="N330" t="s">
        <v>7755</v>
      </c>
    </row>
    <row r="331" spans="1:14">
      <c r="B331" s="389"/>
      <c r="C331" s="388"/>
      <c r="D331" s="388"/>
      <c r="E331" s="388"/>
      <c r="F331" s="388"/>
      <c r="G331" s="391"/>
      <c r="I331" s="389"/>
      <c r="J331" s="388"/>
      <c r="K331" s="388"/>
      <c r="L331" s="388"/>
      <c r="M331" s="391"/>
    </row>
    <row r="332" spans="1:14">
      <c r="B332" s="389" t="s">
        <v>4352</v>
      </c>
      <c r="C332" s="388"/>
      <c r="D332" s="388"/>
      <c r="E332" s="388"/>
      <c r="F332" s="388"/>
      <c r="G332" s="391"/>
      <c r="I332" s="389" t="s">
        <v>4352</v>
      </c>
      <c r="J332" s="388"/>
      <c r="K332" s="388"/>
      <c r="L332" s="388"/>
      <c r="M332" s="391"/>
    </row>
    <row r="333" spans="1:14">
      <c r="B333" s="397" t="s">
        <v>2980</v>
      </c>
      <c r="C333" s="398"/>
      <c r="D333" s="398"/>
      <c r="E333" s="678">
        <f>tlOutputFBLOB2StarsImpact1_R1</f>
        <v>0</v>
      </c>
      <c r="F333" s="678">
        <f>tlOutputFBLOB2StarsImpact1_R1</f>
        <v>0</v>
      </c>
      <c r="G333" s="679">
        <f>tlOutputFBLOB2StarsImpact1_R1</f>
        <v>0</v>
      </c>
      <c r="H333" t="s">
        <v>4831</v>
      </c>
      <c r="I333" s="397" t="s">
        <v>2980</v>
      </c>
      <c r="J333" s="398"/>
      <c r="K333" s="678">
        <f>tlOutputFBLOB2StarsImpact1_R2</f>
        <v>0</v>
      </c>
      <c r="L333" s="678">
        <f>tlOutputFBLOB2StarsImpact1_R2</f>
        <v>0</v>
      </c>
      <c r="M333" s="679">
        <f>tlOutputFBLOB2StarsImpact1_R2</f>
        <v>0</v>
      </c>
      <c r="N333" t="s">
        <v>7756</v>
      </c>
    </row>
    <row r="334" spans="1:14">
      <c r="B334" s="389" t="s">
        <v>491</v>
      </c>
      <c r="C334" s="388"/>
      <c r="D334" s="388"/>
      <c r="E334" s="677">
        <f>tlOutputFBLOB2StarsImpact2_R1</f>
        <v>0</v>
      </c>
      <c r="F334" s="677">
        <f>tlOutputFBLOB2StarsImpact2_R1</f>
        <v>0</v>
      </c>
      <c r="G334" s="680">
        <f>tlOutputFBLOB2StarsImpact2_R1</f>
        <v>0</v>
      </c>
      <c r="H334" t="s">
        <v>4832</v>
      </c>
      <c r="I334" s="389" t="s">
        <v>491</v>
      </c>
      <c r="J334" s="388"/>
      <c r="K334" s="677">
        <f>tlOutputFBLOB2StarsImpact2_R2</f>
        <v>0</v>
      </c>
      <c r="L334" s="677">
        <f>tlOutputFBLOB2StarsImpact2_R2</f>
        <v>0</v>
      </c>
      <c r="M334" s="680">
        <f>tlOutputFBLOB2StarsImpact2_R2</f>
        <v>0</v>
      </c>
      <c r="N334" t="s">
        <v>7757</v>
      </c>
    </row>
    <row r="335" spans="1:14">
      <c r="B335" s="389" t="s">
        <v>1615</v>
      </c>
      <c r="C335" s="388"/>
      <c r="D335" s="388"/>
      <c r="E335" s="677">
        <f>tlOutputFBLOB2StarsImpact3_R1</f>
        <v>-5.7000000000000023E-2</v>
      </c>
      <c r="F335" s="677">
        <f>tlOutputFBLOB2StarsImpact3_R1</f>
        <v>-5.7000000000000023E-2</v>
      </c>
      <c r="G335" s="680">
        <f>tlOutputFBLOB2StarsImpact3_R1</f>
        <v>-5.7000000000000023E-2</v>
      </c>
      <c r="H335" t="s">
        <v>4833</v>
      </c>
      <c r="I335" s="389" t="s">
        <v>1615</v>
      </c>
      <c r="J335" s="388"/>
      <c r="K335" s="677">
        <f>tlOutputFBLOB2StarsImpact3_R2</f>
        <v>0</v>
      </c>
      <c r="L335" s="677">
        <f>tlOutputFBLOB2StarsImpact3_R2</f>
        <v>0</v>
      </c>
      <c r="M335" s="680">
        <f>tlOutputFBLOB2StarsImpact3_R2</f>
        <v>0</v>
      </c>
      <c r="N335" t="s">
        <v>7758</v>
      </c>
    </row>
    <row r="336" spans="1:14">
      <c r="B336" s="389">
        <v>0</v>
      </c>
      <c r="C336" s="388"/>
      <c r="D336" s="388"/>
      <c r="E336" s="677">
        <f>tlOutputFBLOB2StarsImpact4_R1</f>
        <v>0</v>
      </c>
      <c r="F336" s="677">
        <f>tlOutputFBLOB2StarsImpact4_R1</f>
        <v>0</v>
      </c>
      <c r="G336" s="680">
        <f>tlOutputFBLOB2StarsImpact4_R1</f>
        <v>0</v>
      </c>
      <c r="H336" t="s">
        <v>4834</v>
      </c>
      <c r="I336" s="389">
        <v>0</v>
      </c>
      <c r="J336" s="388"/>
      <c r="K336" s="677">
        <f>tlOutputFBLOB2StarsImpact4_R2</f>
        <v>0</v>
      </c>
      <c r="L336" s="677">
        <f>tlOutputFBLOB2StarsImpact4_R2</f>
        <v>0</v>
      </c>
      <c r="M336" s="680">
        <f>tlOutputFBLOB2StarsImpact4_R2</f>
        <v>0</v>
      </c>
      <c r="N336" t="s">
        <v>7759</v>
      </c>
    </row>
    <row r="337" spans="2:14">
      <c r="B337" s="389" t="s">
        <v>489</v>
      </c>
      <c r="C337" s="388"/>
      <c r="D337" s="388"/>
      <c r="E337" s="677">
        <f>tlOutputFBLOB2StarsImpact5_R1</f>
        <v>0</v>
      </c>
      <c r="F337" s="677">
        <f>tlOutputFBLOB2StarsImpact5_R1</f>
        <v>0</v>
      </c>
      <c r="G337" s="680">
        <f>tlOutputFBLOB2StarsImpact5_R1</f>
        <v>0</v>
      </c>
      <c r="H337" t="s">
        <v>4835</v>
      </c>
      <c r="I337" s="389" t="s">
        <v>489</v>
      </c>
      <c r="J337" s="388"/>
      <c r="K337" s="677">
        <f>tlOutputFBLOB2StarsImpact5_R2</f>
        <v>-1.7895916169642146E-3</v>
      </c>
      <c r="L337" s="677">
        <f>tlOutputFBLOB2StarsImpact5_R2</f>
        <v>-1.7895916169642146E-3</v>
      </c>
      <c r="M337" s="680">
        <f>tlOutputFBLOB2StarsImpact5_R2</f>
        <v>-1.7895916169642146E-3</v>
      </c>
      <c r="N337" t="s">
        <v>7760</v>
      </c>
    </row>
    <row r="338" spans="2:14">
      <c r="B338" s="675" t="s">
        <v>4352</v>
      </c>
      <c r="C338" s="668"/>
      <c r="D338" s="668"/>
      <c r="E338" s="676">
        <f>tlOutputFBLOB2Stars_R1</f>
        <v>0.6429999999999999</v>
      </c>
      <c r="F338" s="676">
        <f>tlOutputFBLOB2Stars_R1</f>
        <v>0.6429999999999999</v>
      </c>
      <c r="G338" s="681">
        <f>tlOutputFBLOB2Stars_R1</f>
        <v>0.6429999999999999</v>
      </c>
      <c r="H338" t="s">
        <v>4836</v>
      </c>
      <c r="I338" s="675" t="s">
        <v>4352</v>
      </c>
      <c r="J338" s="668"/>
      <c r="K338" s="676">
        <f>tlOutputFBLOB2Stars_R2</f>
        <v>0.64121040838303567</v>
      </c>
      <c r="L338" s="676">
        <f>tlOutputFBLOB2Stars_R2</f>
        <v>0.64121040838303567</v>
      </c>
      <c r="M338" s="681">
        <f>tlOutputFBLOB2Stars_R2</f>
        <v>0.64121040838303567</v>
      </c>
      <c r="N338" t="s">
        <v>7761</v>
      </c>
    </row>
    <row r="339" spans="2:14">
      <c r="B339" s="389"/>
      <c r="C339" s="388"/>
      <c r="D339" s="388"/>
      <c r="E339" s="388"/>
      <c r="F339" s="388"/>
      <c r="G339" s="391"/>
      <c r="I339" s="389"/>
      <c r="J339" s="388"/>
      <c r="K339" s="388"/>
      <c r="L339" s="388"/>
      <c r="M339" s="391"/>
    </row>
    <row r="340" spans="2:14" ht="10.5">
      <c r="B340" s="670" t="s">
        <v>1585</v>
      </c>
      <c r="C340" s="388"/>
      <c r="D340" s="388"/>
      <c r="E340" s="388"/>
      <c r="F340" s="388"/>
      <c r="G340" s="391"/>
      <c r="I340" s="670" t="s">
        <v>1585</v>
      </c>
      <c r="J340" s="388"/>
      <c r="K340" s="388"/>
      <c r="L340" s="388"/>
      <c r="M340" s="391"/>
    </row>
    <row r="341" spans="2:14">
      <c r="B341" s="389" t="s">
        <v>627</v>
      </c>
      <c r="C341" s="388"/>
      <c r="D341" s="388"/>
      <c r="E341" s="677">
        <f>caclLOB2Emp1Utilization</f>
        <v>1.0050864981930618</v>
      </c>
      <c r="F341" s="677">
        <f>caclLOB2Emp1Utilization</f>
        <v>0.97272436921111483</v>
      </c>
      <c r="G341" s="680">
        <f>caclLOB2Emp1Utilization</f>
        <v>1.2261848287186972</v>
      </c>
      <c r="H341" t="s">
        <v>4767</v>
      </c>
      <c r="I341" s="389" t="s">
        <v>627</v>
      </c>
      <c r="J341" s="388"/>
      <c r="K341" s="677">
        <f>calcR2LOB2Emp1Utilization</f>
        <v>1.0872848855917001</v>
      </c>
      <c r="L341" s="677">
        <f>calcR2LOB2Emp1Utilization</f>
        <v>0.97272436921111483</v>
      </c>
      <c r="M341" s="680">
        <f>calcR2LOB2Emp1Utilization</f>
        <v>1.2261848287186972</v>
      </c>
      <c r="N341" t="s">
        <v>4768</v>
      </c>
    </row>
    <row r="342" spans="2:14">
      <c r="B342" s="389" t="s">
        <v>628</v>
      </c>
      <c r="C342" s="388"/>
      <c r="D342" s="388"/>
      <c r="E342" s="677">
        <f>caclLOB2Emp2Utilization</f>
        <v>1.0083959264550022</v>
      </c>
      <c r="F342" s="677">
        <f>caclLOB2Emp2Utilization</f>
        <v>0.82003913894324865</v>
      </c>
      <c r="G342" s="680">
        <f>caclLOB2Emp2Utilization</f>
        <v>1.1083875248838753</v>
      </c>
      <c r="H342" t="s">
        <v>4769</v>
      </c>
      <c r="I342" s="389" t="s">
        <v>628</v>
      </c>
      <c r="J342" s="388"/>
      <c r="K342" s="677">
        <f>calcR2LOB2Emp2Utilization</f>
        <v>1.0863422098764726</v>
      </c>
      <c r="L342" s="677">
        <f>calcR2LOB2Emp2Utilization</f>
        <v>0.82003913894324865</v>
      </c>
      <c r="M342" s="680">
        <f>calcR2LOB2Emp2Utilization</f>
        <v>1.1083875248838753</v>
      </c>
      <c r="N342" t="s">
        <v>4770</v>
      </c>
    </row>
    <row r="343" spans="2:14">
      <c r="B343" s="389" t="s">
        <v>629</v>
      </c>
      <c r="C343" s="388"/>
      <c r="D343" s="388"/>
      <c r="E343" s="677">
        <f>caclLOB2Emp3Utilization</f>
        <v>1.0520425293788473</v>
      </c>
      <c r="F343" s="677">
        <f>caclLOB2Emp3Utilization</f>
        <v>0.90851735015772872</v>
      </c>
      <c r="G343" s="680">
        <f>caclLOB2Emp3Utilization</f>
        <v>1.1786447638603696</v>
      </c>
      <c r="H343" t="s">
        <v>4771</v>
      </c>
      <c r="I343" s="389" t="s">
        <v>629</v>
      </c>
      <c r="J343" s="388"/>
      <c r="K343" s="677">
        <f>calcR2LOB2Emp3Utilization</f>
        <v>1.134773984766108</v>
      </c>
      <c r="L343" s="677">
        <f>calcR2LOB2Emp3Utilization</f>
        <v>0.90851735015772872</v>
      </c>
      <c r="M343" s="680">
        <f>calcR2LOB2Emp3Utilization</f>
        <v>1.1786447638603696</v>
      </c>
      <c r="N343" t="s">
        <v>4772</v>
      </c>
    </row>
    <row r="344" spans="2:14">
      <c r="B344" s="389"/>
      <c r="C344" s="388"/>
      <c r="D344" s="388"/>
      <c r="E344" s="388"/>
      <c r="F344" s="388"/>
      <c r="G344" s="391"/>
      <c r="I344" s="389"/>
      <c r="J344" s="388"/>
      <c r="K344" s="388"/>
      <c r="L344" s="388"/>
      <c r="M344" s="391"/>
    </row>
    <row r="345" spans="2:14">
      <c r="B345" s="389" t="s">
        <v>7866</v>
      </c>
      <c r="C345" s="388"/>
      <c r="D345" s="388"/>
      <c r="E345" s="388"/>
      <c r="F345" s="388"/>
      <c r="G345" s="391"/>
      <c r="H345" t="s">
        <v>2835</v>
      </c>
      <c r="I345" s="389" t="s">
        <v>7866</v>
      </c>
      <c r="J345" s="388"/>
      <c r="K345" s="388"/>
      <c r="L345" s="388"/>
      <c r="M345" s="391"/>
      <c r="N345" t="s">
        <v>2845</v>
      </c>
    </row>
    <row r="346" spans="2:14">
      <c r="B346" s="389" t="s">
        <v>7867</v>
      </c>
      <c r="C346" s="388"/>
      <c r="D346" s="388"/>
      <c r="E346" s="388" t="str">
        <f>decLOB2Cln11Dis_R1</f>
        <v>Open</v>
      </c>
      <c r="F346" s="388" t="str">
        <f>decLOB2Cln11Dis_R1</f>
        <v>Open</v>
      </c>
      <c r="G346" s="391" t="str">
        <f>decLOB2Cln11Dis_R1</f>
        <v>Open</v>
      </c>
      <c r="H346" t="s">
        <v>2888</v>
      </c>
      <c r="I346" s="389" t="s">
        <v>7867</v>
      </c>
      <c r="J346" s="388"/>
      <c r="K346" s="388" t="str">
        <f>decLOB2Cln11Dis_R2</f>
        <v>Open</v>
      </c>
      <c r="L346" s="388" t="str">
        <f>decLOB2Cln11Dis_R2</f>
        <v>Open</v>
      </c>
      <c r="M346" s="391" t="str">
        <f>decLOB2Cln11Dis_R2</f>
        <v>Open</v>
      </c>
      <c r="N346" t="s">
        <v>2898</v>
      </c>
    </row>
    <row r="347" spans="2:14">
      <c r="B347" s="389" t="s">
        <v>7868</v>
      </c>
      <c r="C347" s="388"/>
      <c r="D347" s="388"/>
      <c r="E347" s="388" t="str">
        <f>decLOB2Cln12Dis_R1</f>
        <v>Open</v>
      </c>
      <c r="F347" s="388" t="str">
        <f>decLOB2Cln12Dis_R1</f>
        <v>Open</v>
      </c>
      <c r="G347" s="391" t="str">
        <f>decLOB2Cln12Dis_R1</f>
        <v>Open</v>
      </c>
      <c r="H347" t="s">
        <v>2836</v>
      </c>
      <c r="I347" s="389" t="s">
        <v>7868</v>
      </c>
      <c r="J347" s="388"/>
      <c r="K347" s="388" t="str">
        <f>decLOB2Cln12Dis_R2</f>
        <v>Open</v>
      </c>
      <c r="L347" s="388" t="str">
        <f>decLOB2Cln12Dis_R2</f>
        <v>Open</v>
      </c>
      <c r="M347" s="391" t="str">
        <f>decLOB2Cln12Dis_R2</f>
        <v>Open</v>
      </c>
      <c r="N347" t="s">
        <v>2846</v>
      </c>
    </row>
    <row r="348" spans="2:14">
      <c r="B348" s="389" t="s">
        <v>2856</v>
      </c>
      <c r="C348" s="388"/>
      <c r="D348" s="388"/>
      <c r="E348" s="388" t="str">
        <f>decLOB2Cln11Status_R1</f>
        <v>Open</v>
      </c>
      <c r="F348" s="388" t="str">
        <f>decLOB2Cln11Status_R1</f>
        <v>Open</v>
      </c>
      <c r="G348" s="391" t="str">
        <f>decLOB2Cln11Status_R1</f>
        <v>Open</v>
      </c>
      <c r="H348" t="s">
        <v>2889</v>
      </c>
      <c r="I348" s="389" t="s">
        <v>2856</v>
      </c>
      <c r="J348" s="388"/>
      <c r="K348" s="388" t="str">
        <f>decLOB2Cln11Status_R2</f>
        <v>Open</v>
      </c>
      <c r="L348" s="388" t="str">
        <f>decLOB2Cln11Status_R2</f>
        <v>Open</v>
      </c>
      <c r="M348" s="391" t="str">
        <f>decLOB2Cln11Status_R2</f>
        <v>Open</v>
      </c>
      <c r="N348" t="s">
        <v>2899</v>
      </c>
    </row>
    <row r="349" spans="2:14">
      <c r="B349" s="389" t="s">
        <v>2911</v>
      </c>
      <c r="C349" s="388"/>
      <c r="D349" s="388"/>
      <c r="E349" s="388" t="str">
        <f>decLOB2Cln12Status_R1</f>
        <v>Open</v>
      </c>
      <c r="F349" s="388" t="str">
        <f>decLOB2Cln12Status_R1</f>
        <v>Open</v>
      </c>
      <c r="G349" s="391" t="str">
        <f>decLOB2Cln12Status_R1</f>
        <v>Open</v>
      </c>
      <c r="I349" s="389" t="s">
        <v>2911</v>
      </c>
      <c r="J349" s="388"/>
      <c r="K349" s="388" t="str">
        <f>decLOB2Cln12Status_R2</f>
        <v>Open</v>
      </c>
      <c r="L349" s="388" t="str">
        <f>decLOB2Cln12Status_R2</f>
        <v>Open</v>
      </c>
      <c r="M349" s="391" t="str">
        <f>decLOB2Cln12Status_R2</f>
        <v>Open</v>
      </c>
    </row>
    <row r="350" spans="2:14">
      <c r="B350" s="389"/>
      <c r="C350" s="388"/>
      <c r="D350" s="388"/>
      <c r="E350" s="388"/>
      <c r="F350" s="388"/>
      <c r="G350" s="391"/>
      <c r="I350" s="389"/>
      <c r="J350" s="388"/>
      <c r="K350" s="388"/>
      <c r="L350" s="388"/>
      <c r="M350" s="391"/>
    </row>
    <row r="351" spans="2:14">
      <c r="B351" s="389" t="s">
        <v>7853</v>
      </c>
      <c r="C351" s="388"/>
      <c r="D351" s="388"/>
      <c r="E351" s="388"/>
      <c r="F351" s="388"/>
      <c r="G351" s="391"/>
      <c r="I351" s="389" t="s">
        <v>7853</v>
      </c>
      <c r="J351" s="388"/>
      <c r="K351" s="388"/>
      <c r="L351" s="388"/>
      <c r="M351" s="391"/>
    </row>
    <row r="352" spans="2:14">
      <c r="B352" s="389" t="str">
        <f>tlOutputLOB2Cln1Name_R2</f>
        <v>Sherie Sea</v>
      </c>
      <c r="C352" s="388"/>
      <c r="D352" s="388"/>
      <c r="E352" s="696">
        <f>decLOB2Cln1Mtng_R1</f>
        <v>0</v>
      </c>
      <c r="F352" s="696">
        <f>decLOB2Cln1Mtng_R1</f>
        <v>0</v>
      </c>
      <c r="G352" s="697">
        <f>decLOB2Cln1Mtng_R1</f>
        <v>0</v>
      </c>
      <c r="H352" t="s">
        <v>1236</v>
      </c>
      <c r="I352" s="389" t="str">
        <f>tlOutputLOB2Cln1Name_R2</f>
        <v>Sherie Sea</v>
      </c>
      <c r="J352" s="388"/>
      <c r="K352" s="696">
        <f>decLOB2Cln1Mtng_R2</f>
        <v>0</v>
      </c>
      <c r="L352" s="696">
        <f>decLOB2Cln1Mtng_R2</f>
        <v>0</v>
      </c>
      <c r="M352" s="697">
        <f>decLOB2Cln1Mtng_R2</f>
        <v>0</v>
      </c>
      <c r="N352" t="s">
        <v>1247</v>
      </c>
    </row>
    <row r="353" spans="2:14">
      <c r="B353" s="389" t="str">
        <f>tlOutputLOB2Cln2Name_R2</f>
        <v>Jamison Jordon  </v>
      </c>
      <c r="C353" s="388"/>
      <c r="D353" s="388"/>
      <c r="E353" s="696">
        <f>decLOB2Cln2Mtng_R1</f>
        <v>0</v>
      </c>
      <c r="F353" s="696">
        <f>decLOB2Cln2Mtng_R1</f>
        <v>0</v>
      </c>
      <c r="G353" s="697">
        <f>decLOB2Cln2Mtng_R1</f>
        <v>0</v>
      </c>
      <c r="H353" t="s">
        <v>1249</v>
      </c>
      <c r="I353" s="389" t="str">
        <f>tlOutputLOB2Cln2Name_R2</f>
        <v>Jamison Jordon  </v>
      </c>
      <c r="J353" s="388"/>
      <c r="K353" s="696">
        <f>decLOB2Cln2Mtng_R2</f>
        <v>0</v>
      </c>
      <c r="L353" s="696">
        <f>decLOB2Cln2Mtng_R2</f>
        <v>0</v>
      </c>
      <c r="M353" s="697">
        <f>decLOB2Cln2Mtng_R2</f>
        <v>0</v>
      </c>
      <c r="N353" t="s">
        <v>1260</v>
      </c>
    </row>
    <row r="354" spans="2:14">
      <c r="B354" s="389" t="str">
        <f>tlOutputLOB2Cln3Name_R2</f>
        <v>Audry Amore  </v>
      </c>
      <c r="C354" s="388"/>
      <c r="D354" s="388"/>
      <c r="E354" s="696">
        <f>decLOB2Cln3Mtng_R1</f>
        <v>0</v>
      </c>
      <c r="F354" s="696">
        <f>decLOB2Cln3Mtng_R1</f>
        <v>0</v>
      </c>
      <c r="G354" s="697">
        <f>decLOB2Cln3Mtng_R1</f>
        <v>0</v>
      </c>
      <c r="H354" t="s">
        <v>1262</v>
      </c>
      <c r="I354" s="389" t="str">
        <f>tlOutputLOB2Cln3Name_R2</f>
        <v>Audry Amore  </v>
      </c>
      <c r="J354" s="388"/>
      <c r="K354" s="696">
        <f>decLOB2Cln3Mtng_R2</f>
        <v>0</v>
      </c>
      <c r="L354" s="696">
        <f>decLOB2Cln3Mtng_R2</f>
        <v>0</v>
      </c>
      <c r="M354" s="697">
        <f>decLOB2Cln3Mtng_R2</f>
        <v>0</v>
      </c>
      <c r="N354" t="s">
        <v>1273</v>
      </c>
    </row>
    <row r="355" spans="2:14">
      <c r="B355" s="389" t="str">
        <f>tlOutputLOB2Cln4Name_R2</f>
        <v>Marvis Martine  </v>
      </c>
      <c r="C355" s="388"/>
      <c r="D355" s="388"/>
      <c r="E355" s="696">
        <f>decLOB2Cln4Mtng_R1</f>
        <v>0</v>
      </c>
      <c r="F355" s="696">
        <f>decLOB2Cln4Mtng_R1</f>
        <v>0</v>
      </c>
      <c r="G355" s="697">
        <f>decLOB2Cln4Mtng_R1</f>
        <v>0</v>
      </c>
      <c r="H355" t="s">
        <v>1275</v>
      </c>
      <c r="I355" s="389" t="str">
        <f>tlOutputLOB2Cln4Name_R2</f>
        <v>Marvis Martine  </v>
      </c>
      <c r="J355" s="388"/>
      <c r="K355" s="696">
        <f>decLOB2Cln4Mtng_R2</f>
        <v>0</v>
      </c>
      <c r="L355" s="696">
        <f>decLOB2Cln4Mtng_R2</f>
        <v>0</v>
      </c>
      <c r="M355" s="697">
        <f>decLOB2Cln4Mtng_R2</f>
        <v>0</v>
      </c>
      <c r="N355" t="s">
        <v>1286</v>
      </c>
    </row>
    <row r="356" spans="2:14">
      <c r="B356" s="389" t="str">
        <f>tlOutputLOB2Cln5Name_R2</f>
        <v>Ming Mines  </v>
      </c>
      <c r="C356" s="388"/>
      <c r="D356" s="388"/>
      <c r="E356" s="696">
        <f>decLOB2Cln5Mtng_R1</f>
        <v>0</v>
      </c>
      <c r="F356" s="696">
        <f>decLOB2Cln5Mtng_R1</f>
        <v>0</v>
      </c>
      <c r="G356" s="697">
        <f>decLOB2Cln5Mtng_R1</f>
        <v>0</v>
      </c>
      <c r="H356" t="s">
        <v>1288</v>
      </c>
      <c r="I356" s="389" t="str">
        <f>tlOutputLOB2Cln5Name_R2</f>
        <v>Ming Mines  </v>
      </c>
      <c r="J356" s="388"/>
      <c r="K356" s="696">
        <f>decLOB2Cln5Mtng_R2</f>
        <v>0</v>
      </c>
      <c r="L356" s="696">
        <f>decLOB2Cln5Mtng_R2</f>
        <v>0</v>
      </c>
      <c r="M356" s="697">
        <f>decLOB2Cln5Mtng_R2</f>
        <v>0</v>
      </c>
      <c r="N356" t="s">
        <v>1299</v>
      </c>
    </row>
    <row r="357" spans="2:14">
      <c r="B357" s="389" t="str">
        <f>tlOutputLOB2Cln6Name_R2</f>
        <v>Esteban Ervin  </v>
      </c>
      <c r="C357" s="388"/>
      <c r="D357" s="388"/>
      <c r="E357" s="696">
        <f>decLOB2Cln6Mtng_R1</f>
        <v>0</v>
      </c>
      <c r="F357" s="696">
        <f>decLOB2Cln6Mtng_R1</f>
        <v>0</v>
      </c>
      <c r="G357" s="697">
        <f>decLOB2Cln6Mtng_R1</f>
        <v>0</v>
      </c>
      <c r="H357" t="s">
        <v>1301</v>
      </c>
      <c r="I357" s="389" t="str">
        <f>tlOutputLOB2Cln6Name_R2</f>
        <v>Esteban Ervin  </v>
      </c>
      <c r="J357" s="388"/>
      <c r="K357" s="696">
        <f>decLOB2Cln6Mtng_R2</f>
        <v>0</v>
      </c>
      <c r="L357" s="696">
        <f>decLOB2Cln6Mtng_R2</f>
        <v>0</v>
      </c>
      <c r="M357" s="697">
        <f>decLOB2Cln6Mtng_R2</f>
        <v>0</v>
      </c>
      <c r="N357" t="s">
        <v>1312</v>
      </c>
    </row>
    <row r="358" spans="2:14">
      <c r="B358" s="389" t="str">
        <f>tlOutputLOB2Cln7Name_R2</f>
        <v>Chester Cheesman  </v>
      </c>
      <c r="C358" s="388"/>
      <c r="D358" s="388"/>
      <c r="E358" s="696">
        <f>decLOB2Cln7Mtng_R1</f>
        <v>0</v>
      </c>
      <c r="F358" s="696">
        <f>decLOB2Cln7Mtng_R1</f>
        <v>0</v>
      </c>
      <c r="G358" s="697">
        <f>decLOB2Cln7Mtng_R1</f>
        <v>0</v>
      </c>
      <c r="H358" t="s">
        <v>1314</v>
      </c>
      <c r="I358" s="389" t="str">
        <f>tlOutputLOB2Cln7Name_R2</f>
        <v>Chester Cheesman  </v>
      </c>
      <c r="J358" s="388"/>
      <c r="K358" s="696">
        <f>decLOB2Cln7Mtng_R2</f>
        <v>0</v>
      </c>
      <c r="L358" s="696">
        <f>decLOB2Cln7Mtng_R2</f>
        <v>0</v>
      </c>
      <c r="M358" s="697">
        <f>decLOB2Cln7Mtng_R2</f>
        <v>0</v>
      </c>
      <c r="N358" t="s">
        <v>1325</v>
      </c>
    </row>
    <row r="359" spans="2:14">
      <c r="B359" s="389" t="str">
        <f>tlOutputLOB2Cln8Name_R2</f>
        <v>Susie Sluder  </v>
      </c>
      <c r="C359" s="388"/>
      <c r="D359" s="388"/>
      <c r="E359" s="696">
        <f>decLOB2Cln8Mtng_R1</f>
        <v>0</v>
      </c>
      <c r="F359" s="696">
        <f>decLOB2Cln8Mtng_R1</f>
        <v>0</v>
      </c>
      <c r="G359" s="697">
        <f>decLOB2Cln8Mtng_R1</f>
        <v>0</v>
      </c>
      <c r="H359" t="s">
        <v>1327</v>
      </c>
      <c r="I359" s="389" t="str">
        <f>tlOutputLOB2Cln8Name_R2</f>
        <v>Susie Sluder  </v>
      </c>
      <c r="J359" s="388"/>
      <c r="K359" s="696">
        <f>decLOB2Cln8Mtng_R2</f>
        <v>0</v>
      </c>
      <c r="L359" s="696">
        <f>decLOB2Cln8Mtng_R2</f>
        <v>0</v>
      </c>
      <c r="M359" s="697">
        <f>decLOB2Cln8Mtng_R2</f>
        <v>0</v>
      </c>
      <c r="N359" t="s">
        <v>1338</v>
      </c>
    </row>
    <row r="360" spans="2:14">
      <c r="B360" s="389" t="str">
        <f>tlOutputLOB2Cln9Name_R2</f>
        <v>Jerome Jurek  </v>
      </c>
      <c r="C360" s="388"/>
      <c r="D360" s="388"/>
      <c r="E360" s="696">
        <f>decLOB2Cln9Mtng_R1</f>
        <v>0</v>
      </c>
      <c r="F360" s="696">
        <f>decLOB2Cln9Mtng_R1</f>
        <v>0</v>
      </c>
      <c r="G360" s="697">
        <f>decLOB2Cln9Mtng_R1</f>
        <v>0</v>
      </c>
      <c r="H360" t="s">
        <v>1340</v>
      </c>
      <c r="I360" s="389" t="str">
        <f>tlOutputLOB2Cln9Name_R2</f>
        <v>Jerome Jurek  </v>
      </c>
      <c r="J360" s="388"/>
      <c r="K360" s="696">
        <f>decLOB2Cln9Mtng_R2</f>
        <v>0</v>
      </c>
      <c r="L360" s="696">
        <f>decLOB2Cln9Mtng_R2</f>
        <v>0</v>
      </c>
      <c r="M360" s="697">
        <f>decLOB2Cln9Mtng_R2</f>
        <v>0</v>
      </c>
      <c r="N360" t="s">
        <v>1351</v>
      </c>
    </row>
    <row r="361" spans="2:14">
      <c r="B361" s="389" t="str">
        <f>tlOutputLOB2Cln10Name_R2</f>
        <v>Roseanna Roder  </v>
      </c>
      <c r="C361" s="388"/>
      <c r="D361" s="388"/>
      <c r="E361" s="696">
        <f>decLOB2Cln10Mtng_R1</f>
        <v>0</v>
      </c>
      <c r="F361" s="696">
        <f>decLOB2Cln10Mtng_R1</f>
        <v>0</v>
      </c>
      <c r="G361" s="697">
        <f>decLOB2Cln10Mtng_R1</f>
        <v>0</v>
      </c>
      <c r="H361" t="s">
        <v>1353</v>
      </c>
      <c r="I361" s="389" t="str">
        <f>tlOutputLOB2Cln10Name_R2</f>
        <v>Roseanna Roder  </v>
      </c>
      <c r="J361" s="388"/>
      <c r="K361" s="696">
        <f>decLOB2Cln10Mtng_R2</f>
        <v>0</v>
      </c>
      <c r="L361" s="696">
        <f>decLOB2Cln10Mtng_R2</f>
        <v>0</v>
      </c>
      <c r="M361" s="697">
        <f>decLOB2Cln10Mtng_R2</f>
        <v>0</v>
      </c>
      <c r="N361" t="s">
        <v>1364</v>
      </c>
    </row>
    <row r="362" spans="2:14">
      <c r="B362" s="389">
        <f>tlOutputLOB2Cln11Name_R2</f>
        <v>0</v>
      </c>
      <c r="C362" s="388"/>
      <c r="D362" s="388"/>
      <c r="E362" s="696">
        <f>decLOB2Cln11Mtng_R1</f>
        <v>0</v>
      </c>
      <c r="F362" s="696">
        <f>decLOB2Cln11Mtng_R1</f>
        <v>0</v>
      </c>
      <c r="G362" s="697">
        <f>decLOB2Cln11Mtng_R1</f>
        <v>0</v>
      </c>
      <c r="H362" t="s">
        <v>3402</v>
      </c>
      <c r="I362" s="389">
        <f>tlOutputLOB2Cln11Name_R2</f>
        <v>0</v>
      </c>
      <c r="J362" s="388"/>
      <c r="K362" s="696">
        <f>decLOB2Cln11Mtng_R2</f>
        <v>0</v>
      </c>
      <c r="L362" s="696">
        <f>decLOB2Cln11Mtng_R2</f>
        <v>0</v>
      </c>
      <c r="M362" s="697">
        <f>decLOB2Cln11Mtng_R2</f>
        <v>0</v>
      </c>
      <c r="N362" t="s">
        <v>3406</v>
      </c>
    </row>
    <row r="363" spans="2:14">
      <c r="B363" s="389">
        <f>tlOutputLOB2Cln12Name_R2</f>
        <v>0</v>
      </c>
      <c r="C363" s="388"/>
      <c r="D363" s="388"/>
      <c r="E363" s="696">
        <f>decLOB2Cln12Mtng_R1</f>
        <v>0</v>
      </c>
      <c r="F363" s="696">
        <f>decLOB2Cln12Mtng_R1</f>
        <v>0</v>
      </c>
      <c r="G363" s="697">
        <f>decLOB2Cln12Mtng_R1</f>
        <v>0</v>
      </c>
      <c r="H363" t="s">
        <v>3403</v>
      </c>
      <c r="I363" s="389">
        <f>tlOutputLOB2Cln12Name_R2</f>
        <v>0</v>
      </c>
      <c r="J363" s="388"/>
      <c r="K363" s="696">
        <f>decLOB2Cln12Mtng_R2</f>
        <v>0</v>
      </c>
      <c r="L363" s="696">
        <f>decLOB2Cln12Mtng_R2</f>
        <v>0</v>
      </c>
      <c r="M363" s="697">
        <f>decLOB2Cln12Mtng_R2</f>
        <v>0</v>
      </c>
      <c r="N363" t="s">
        <v>3408</v>
      </c>
    </row>
    <row r="364" spans="2:14">
      <c r="B364" s="389"/>
      <c r="C364" s="388"/>
      <c r="D364" s="388"/>
      <c r="E364" s="388"/>
      <c r="F364" s="388"/>
      <c r="G364" s="391"/>
      <c r="I364" s="389"/>
      <c r="J364" s="388"/>
      <c r="K364" s="388"/>
      <c r="L364" s="388"/>
      <c r="M364" s="391"/>
    </row>
    <row r="365" spans="2:14">
      <c r="B365" s="389" t="s">
        <v>7854</v>
      </c>
      <c r="C365" s="388"/>
      <c r="D365" s="388"/>
      <c r="E365" s="388"/>
      <c r="F365" s="388"/>
      <c r="G365" s="391"/>
      <c r="I365" s="389" t="s">
        <v>7854</v>
      </c>
      <c r="J365" s="388"/>
      <c r="K365" s="388"/>
      <c r="L365" s="388"/>
      <c r="M365" s="391"/>
    </row>
    <row r="366" spans="2:14">
      <c r="B366" s="389" t="str">
        <f>tlOutputLOB2Cln1Name_R2</f>
        <v>Sherie Sea</v>
      </c>
      <c r="C366" s="388"/>
      <c r="D366" s="388"/>
      <c r="E366" s="696" t="str">
        <f>decLOB2Cln1Text_R1</f>
        <v>Enter feedback here</v>
      </c>
      <c r="F366" s="696">
        <f>decLOB2Cln1Text_R1</f>
        <v>0</v>
      </c>
      <c r="G366" s="697">
        <f>decLOB2Cln1Text_R1</f>
        <v>0</v>
      </c>
      <c r="H366" t="s">
        <v>3124</v>
      </c>
      <c r="I366" s="389" t="str">
        <f>tlOutputLOB2Cln1Name_R2</f>
        <v>Sherie Sea</v>
      </c>
      <c r="J366" s="388"/>
      <c r="K366" s="696" t="str">
        <f>decLOB2Cln1Text_R2</f>
        <v>Enter feedback here</v>
      </c>
      <c r="L366" s="696">
        <f>decLOB2Cln1Text_R2</f>
        <v>0</v>
      </c>
      <c r="M366" s="697">
        <f>decLOB2Cln1Text_R2</f>
        <v>0</v>
      </c>
      <c r="N366" t="s">
        <v>3134</v>
      </c>
    </row>
    <row r="367" spans="2:14">
      <c r="B367" s="389" t="str">
        <f>tlOutputLOB2Cln2Name_R2</f>
        <v>Jamison Jordon  </v>
      </c>
      <c r="C367" s="388"/>
      <c r="D367" s="388"/>
      <c r="E367" s="696" t="str">
        <f>decLOB2Cln2Text_R1</f>
        <v>Enter feedback here</v>
      </c>
      <c r="F367" s="696">
        <f>decLOB2Cln2Text_R1</f>
        <v>0</v>
      </c>
      <c r="G367" s="697">
        <f>decLOB2Cln2Text_R1</f>
        <v>0</v>
      </c>
      <c r="H367" t="s">
        <v>3125</v>
      </c>
      <c r="I367" s="389" t="str">
        <f>tlOutputLOB2Cln2Name_R2</f>
        <v>Jamison Jordon  </v>
      </c>
      <c r="J367" s="388"/>
      <c r="K367" s="696" t="str">
        <f>decLOB2Cln2Text_R2</f>
        <v>Enter feedback here</v>
      </c>
      <c r="L367" s="696">
        <f>decLOB2Cln2Text_R2</f>
        <v>0</v>
      </c>
      <c r="M367" s="697">
        <f>decLOB2Cln2Text_R2</f>
        <v>0</v>
      </c>
      <c r="N367" t="s">
        <v>3135</v>
      </c>
    </row>
    <row r="368" spans="2:14">
      <c r="B368" s="389" t="str">
        <f>tlOutputLOB2Cln3Name_R2</f>
        <v>Audry Amore  </v>
      </c>
      <c r="C368" s="388"/>
      <c r="D368" s="388"/>
      <c r="E368" s="696" t="str">
        <f>decLOB2Cln3Text_R1</f>
        <v>Enter feedback here</v>
      </c>
      <c r="F368" s="696">
        <f>decLOB2Cln3Text_R1</f>
        <v>0</v>
      </c>
      <c r="G368" s="697">
        <f>decLOB2Cln3Text_R1</f>
        <v>0</v>
      </c>
      <c r="H368" t="s">
        <v>3126</v>
      </c>
      <c r="I368" s="389" t="str">
        <f>tlOutputLOB2Cln3Name_R2</f>
        <v>Audry Amore  </v>
      </c>
      <c r="J368" s="388"/>
      <c r="K368" s="696" t="str">
        <f>decLOB2Cln3Text_R2</f>
        <v>Enter feedback here</v>
      </c>
      <c r="L368" s="696">
        <f>decLOB2Cln3Text_R2</f>
        <v>0</v>
      </c>
      <c r="M368" s="697">
        <f>decLOB2Cln3Text_R2</f>
        <v>0</v>
      </c>
      <c r="N368" t="s">
        <v>3136</v>
      </c>
    </row>
    <row r="369" spans="2:14">
      <c r="B369" s="389" t="str">
        <f>tlOutputLOB2Cln4Name_R2</f>
        <v>Marvis Martine  </v>
      </c>
      <c r="C369" s="388"/>
      <c r="D369" s="388"/>
      <c r="E369" s="696" t="str">
        <f>decLOB2Cln4Text_R1</f>
        <v>Enter feedback here</v>
      </c>
      <c r="F369" s="696">
        <f>decLOB2Cln4Text_R1</f>
        <v>0</v>
      </c>
      <c r="G369" s="697">
        <f>decLOB2Cln4Text_R1</f>
        <v>0</v>
      </c>
      <c r="H369" t="s">
        <v>3127</v>
      </c>
      <c r="I369" s="389" t="str">
        <f>tlOutputLOB2Cln4Name_R2</f>
        <v>Marvis Martine  </v>
      </c>
      <c r="J369" s="388"/>
      <c r="K369" s="696" t="str">
        <f>decLOB2Cln4Text_R2</f>
        <v>Enter feedback here</v>
      </c>
      <c r="L369" s="696">
        <f>decLOB2Cln4Text_R2</f>
        <v>0</v>
      </c>
      <c r="M369" s="697">
        <f>decLOB2Cln4Text_R2</f>
        <v>0</v>
      </c>
      <c r="N369" t="s">
        <v>3137</v>
      </c>
    </row>
    <row r="370" spans="2:14">
      <c r="B370" s="389" t="str">
        <f>tlOutputLOB2Cln5Name_R2</f>
        <v>Ming Mines  </v>
      </c>
      <c r="C370" s="388"/>
      <c r="D370" s="388"/>
      <c r="E370" s="696" t="str">
        <f>decLOB2Cln5Text_R1</f>
        <v>Enter feedback here</v>
      </c>
      <c r="F370" s="696">
        <f>decLOB2Cln5Text_R1</f>
        <v>0</v>
      </c>
      <c r="G370" s="697">
        <f>decLOB2Cln5Text_R1</f>
        <v>0</v>
      </c>
      <c r="H370" t="s">
        <v>3128</v>
      </c>
      <c r="I370" s="389" t="str">
        <f>tlOutputLOB2Cln5Name_R2</f>
        <v>Ming Mines  </v>
      </c>
      <c r="J370" s="388"/>
      <c r="K370" s="696" t="str">
        <f>decLOB2Cln5Text_R2</f>
        <v>Enter feedback here</v>
      </c>
      <c r="L370" s="696">
        <f>decLOB2Cln5Text_R2</f>
        <v>0</v>
      </c>
      <c r="M370" s="697">
        <f>decLOB2Cln5Text_R2</f>
        <v>0</v>
      </c>
      <c r="N370" t="s">
        <v>3138</v>
      </c>
    </row>
    <row r="371" spans="2:14">
      <c r="B371" s="389" t="str">
        <f>tlOutputLOB2Cln6Name_R2</f>
        <v>Esteban Ervin  </v>
      </c>
      <c r="C371" s="388"/>
      <c r="D371" s="388"/>
      <c r="E371" s="696" t="str">
        <f>decLOB2Cln6Text_R1</f>
        <v>Enter feedback here</v>
      </c>
      <c r="F371" s="696">
        <f>decLOB2Cln6Text_R1</f>
        <v>0</v>
      </c>
      <c r="G371" s="697">
        <f>decLOB2Cln6Text_R1</f>
        <v>0</v>
      </c>
      <c r="H371" t="s">
        <v>3129</v>
      </c>
      <c r="I371" s="389" t="str">
        <f>tlOutputLOB2Cln6Name_R2</f>
        <v>Esteban Ervin  </v>
      </c>
      <c r="J371" s="388"/>
      <c r="K371" s="696" t="str">
        <f>decLOB2Cln6Text_R2</f>
        <v>Enter feedback here</v>
      </c>
      <c r="L371" s="696">
        <f>decLOB2Cln6Text_R2</f>
        <v>0</v>
      </c>
      <c r="M371" s="697">
        <f>decLOB2Cln6Text_R2</f>
        <v>0</v>
      </c>
      <c r="N371" t="s">
        <v>3139</v>
      </c>
    </row>
    <row r="372" spans="2:14">
      <c r="B372" s="389" t="str">
        <f>tlOutputLOB2Cln7Name_R2</f>
        <v>Chester Cheesman  </v>
      </c>
      <c r="C372" s="388"/>
      <c r="D372" s="388"/>
      <c r="E372" s="696" t="str">
        <f>decLOB2Cln7Text_R1</f>
        <v>Enter feedback here</v>
      </c>
      <c r="F372" s="696">
        <f>decLOB2Cln7Text_R1</f>
        <v>0</v>
      </c>
      <c r="G372" s="697">
        <f>decLOB2Cln7Text_R1</f>
        <v>0</v>
      </c>
      <c r="H372" t="s">
        <v>3130</v>
      </c>
      <c r="I372" s="389" t="str">
        <f>tlOutputLOB2Cln7Name_R2</f>
        <v>Chester Cheesman  </v>
      </c>
      <c r="J372" s="388"/>
      <c r="K372" s="696" t="str">
        <f>decLOB2Cln7Text_R2</f>
        <v>Enter feedback here</v>
      </c>
      <c r="L372" s="696">
        <f>decLOB2Cln7Text_R2</f>
        <v>0</v>
      </c>
      <c r="M372" s="697">
        <f>decLOB2Cln7Text_R2</f>
        <v>0</v>
      </c>
      <c r="N372" t="s">
        <v>3140</v>
      </c>
    </row>
    <row r="373" spans="2:14">
      <c r="B373" s="389" t="str">
        <f>tlOutputLOB2Cln8Name_R2</f>
        <v>Susie Sluder  </v>
      </c>
      <c r="C373" s="388"/>
      <c r="D373" s="388"/>
      <c r="E373" s="696" t="str">
        <f>decLOB2Cln8Text_R1</f>
        <v>Enter feedback here</v>
      </c>
      <c r="F373" s="696">
        <f>decLOB2Cln8Text_R1</f>
        <v>0</v>
      </c>
      <c r="G373" s="697">
        <f>decLOB2Cln8Text_R1</f>
        <v>0</v>
      </c>
      <c r="H373" t="s">
        <v>3131</v>
      </c>
      <c r="I373" s="389" t="str">
        <f>tlOutputLOB2Cln8Name_R2</f>
        <v>Susie Sluder  </v>
      </c>
      <c r="J373" s="388"/>
      <c r="K373" s="696" t="str">
        <f>decLOB2Cln8Text_R2</f>
        <v>Enter feedback here</v>
      </c>
      <c r="L373" s="696">
        <f>decLOB2Cln8Text_R2</f>
        <v>0</v>
      </c>
      <c r="M373" s="697">
        <f>decLOB2Cln8Text_R2</f>
        <v>0</v>
      </c>
      <c r="N373" t="s">
        <v>3141</v>
      </c>
    </row>
    <row r="374" spans="2:14">
      <c r="B374" s="389" t="str">
        <f>tlOutputLOB2Cln9Name_R2</f>
        <v>Jerome Jurek  </v>
      </c>
      <c r="C374" s="388"/>
      <c r="D374" s="388"/>
      <c r="E374" s="696" t="str">
        <f>decLOB2Cln9Text_R1</f>
        <v>Enter feedback here</v>
      </c>
      <c r="F374" s="696">
        <f>decLOB2Cln9Text_R1</f>
        <v>0</v>
      </c>
      <c r="G374" s="697">
        <f>decLOB2Cln9Text_R1</f>
        <v>0</v>
      </c>
      <c r="H374" t="s">
        <v>3132</v>
      </c>
      <c r="I374" s="389" t="str">
        <f>tlOutputLOB2Cln9Name_R2</f>
        <v>Jerome Jurek  </v>
      </c>
      <c r="J374" s="388"/>
      <c r="K374" s="696" t="str">
        <f>decLOB2Cln9Text_R2</f>
        <v>Enter feedback here</v>
      </c>
      <c r="L374" s="696">
        <f>decLOB2Cln9Text_R2</f>
        <v>0</v>
      </c>
      <c r="M374" s="697">
        <f>decLOB2Cln9Text_R2</f>
        <v>0</v>
      </c>
      <c r="N374" t="s">
        <v>3142</v>
      </c>
    </row>
    <row r="375" spans="2:14">
      <c r="B375" s="389" t="str">
        <f>tlOutputLOB2Cln10Name_R2</f>
        <v>Roseanna Roder  </v>
      </c>
      <c r="C375" s="388"/>
      <c r="D375" s="388"/>
      <c r="E375" s="696" t="str">
        <f>decLOB2Cln10Text_R1</f>
        <v>Enter feedback here</v>
      </c>
      <c r="F375" s="696">
        <f>decLOB2Cln10Text_R1</f>
        <v>0</v>
      </c>
      <c r="G375" s="697">
        <f>decLOB2Cln10Text_R1</f>
        <v>0</v>
      </c>
      <c r="H375" t="s">
        <v>3133</v>
      </c>
      <c r="I375" s="389" t="str">
        <f>tlOutputLOB2Cln10Name_R2</f>
        <v>Roseanna Roder  </v>
      </c>
      <c r="J375" s="388"/>
      <c r="K375" s="696" t="str">
        <f>decLOB2Cln10Text_R2</f>
        <v>Enter feedback here</v>
      </c>
      <c r="L375" s="696">
        <f>decLOB2Cln10Text_R2</f>
        <v>0</v>
      </c>
      <c r="M375" s="697">
        <f>decLOB2Cln10Text_R2</f>
        <v>0</v>
      </c>
      <c r="N375" t="s">
        <v>3143</v>
      </c>
    </row>
    <row r="376" spans="2:14">
      <c r="B376" s="389">
        <f>tlOutputLOB2Cln11Name_R2</f>
        <v>0</v>
      </c>
      <c r="C376" s="388"/>
      <c r="D376" s="388"/>
      <c r="E376" s="696" t="str">
        <f>decLOB2Cln11Text_R1</f>
        <v>Enter feedback here</v>
      </c>
      <c r="F376" s="696">
        <f>decLOB2Cln11Text_R1</f>
        <v>0</v>
      </c>
      <c r="G376" s="697">
        <f>decLOB2Cln11Text_R1</f>
        <v>0</v>
      </c>
      <c r="H376" t="s">
        <v>3404</v>
      </c>
      <c r="I376" s="389">
        <f>tlOutputLOB2Cln11Name_R2</f>
        <v>0</v>
      </c>
      <c r="J376" s="388"/>
      <c r="K376" s="696" t="str">
        <f>decLOB2Cln11Text_R2</f>
        <v>Enter feedback here</v>
      </c>
      <c r="L376" s="696">
        <f>decLOB2Cln11Text_R2</f>
        <v>0</v>
      </c>
      <c r="M376" s="697">
        <f>decLOB2Cln11Text_R2</f>
        <v>0</v>
      </c>
      <c r="N376" t="s">
        <v>3407</v>
      </c>
    </row>
    <row r="377" spans="2:14">
      <c r="B377" s="389">
        <f>tlOutputLOB2Cln12Name_R2</f>
        <v>0</v>
      </c>
      <c r="C377" s="388"/>
      <c r="D377" s="388"/>
      <c r="E377" s="696" t="str">
        <f>decLOB2Cln12Text_R1</f>
        <v>Enter feedback here</v>
      </c>
      <c r="F377" s="696">
        <f>decLOB2Cln12Text_R1</f>
        <v>0</v>
      </c>
      <c r="G377" s="697">
        <f>decLOB2Cln12Text_R1</f>
        <v>0</v>
      </c>
      <c r="H377" t="s">
        <v>3405</v>
      </c>
      <c r="I377" s="389">
        <f>tlOutputLOB2Cln12Name_R2</f>
        <v>0</v>
      </c>
      <c r="J377" s="388"/>
      <c r="K377" s="696" t="str">
        <f>decLOB2Cln12Text_R2</f>
        <v>Enter feedback here</v>
      </c>
      <c r="L377" s="696">
        <f>decLOB2Cln12Text_R2</f>
        <v>0</v>
      </c>
      <c r="M377" s="697">
        <f>decLOB2Cln12Text_R2</f>
        <v>0</v>
      </c>
      <c r="N377" t="s">
        <v>3409</v>
      </c>
    </row>
    <row r="378" spans="2:14">
      <c r="B378" s="389"/>
      <c r="C378" s="388"/>
      <c r="D378" s="388"/>
      <c r="E378" s="388"/>
      <c r="F378" s="388"/>
      <c r="G378" s="391"/>
      <c r="I378" s="389"/>
      <c r="J378" s="388"/>
      <c r="K378" s="388"/>
      <c r="L378" s="388"/>
      <c r="M378" s="391"/>
    </row>
    <row r="379" spans="2:14">
      <c r="B379" s="389" t="s">
        <v>3588</v>
      </c>
      <c r="C379" s="388"/>
      <c r="D379" s="388"/>
      <c r="E379" s="388"/>
      <c r="F379" s="388"/>
      <c r="G379" s="391"/>
      <c r="I379" s="389" t="s">
        <v>3588</v>
      </c>
      <c r="J379" s="388"/>
      <c r="K379" s="388"/>
      <c r="L379" s="388"/>
      <c r="M379" s="391"/>
    </row>
    <row r="380" spans="2:14">
      <c r="B380" s="389" t="str">
        <f>tlOutputLOB2Cln1Name_R2</f>
        <v>Sherie Sea</v>
      </c>
      <c r="C380" s="388"/>
      <c r="D380" s="388"/>
      <c r="E380" s="388">
        <f>decLOB2Cln1WeekProdMod_R1</f>
        <v>0</v>
      </c>
      <c r="F380" s="388">
        <f>decLOB2Cln1WeekProdMod_R1</f>
        <v>0</v>
      </c>
      <c r="G380" s="391">
        <f>decLOB2Cln1WeekProdMod_R1</f>
        <v>0</v>
      </c>
      <c r="H380" t="s">
        <v>3410</v>
      </c>
      <c r="I380" s="389" t="str">
        <f>tlOutputLOB2Cln1Name_R2</f>
        <v>Sherie Sea</v>
      </c>
      <c r="J380" s="388"/>
      <c r="K380" s="388">
        <f>decLOB2Cln1WeekProdMod_R2</f>
        <v>0</v>
      </c>
      <c r="L380" s="388">
        <f>decLOB2Cln1WeekProdMod_R2</f>
        <v>0</v>
      </c>
      <c r="M380" s="391">
        <f>decLOB2Cln1WeekProdMod_R2</f>
        <v>0</v>
      </c>
      <c r="N380" t="s">
        <v>3429</v>
      </c>
    </row>
    <row r="381" spans="2:14">
      <c r="B381" s="389" t="str">
        <f>tlOutputLOB2Cln2Name_R2</f>
        <v>Jamison Jordon  </v>
      </c>
      <c r="C381" s="388"/>
      <c r="D381" s="388"/>
      <c r="E381" s="388">
        <f>decLOB2Cln2WeekProdMod_R1</f>
        <v>0</v>
      </c>
      <c r="F381" s="388">
        <f>decLOB2Cln2WeekProdMod_R1</f>
        <v>0</v>
      </c>
      <c r="G381" s="391">
        <f>decLOB2Cln2WeekProdMod_R1</f>
        <v>0</v>
      </c>
      <c r="H381" t="s">
        <v>3411</v>
      </c>
      <c r="I381" s="389" t="str">
        <f>tlOutputLOB2Cln2Name_R2</f>
        <v>Jamison Jordon  </v>
      </c>
      <c r="J381" s="388"/>
      <c r="K381" s="388">
        <f>decLOB2Cln2WeekProdMod_R2</f>
        <v>0</v>
      </c>
      <c r="L381" s="388">
        <f>decLOB2Cln2WeekProdMod_R2</f>
        <v>0</v>
      </c>
      <c r="M381" s="391">
        <f>decLOB2Cln2WeekProdMod_R2</f>
        <v>0</v>
      </c>
      <c r="N381" t="s">
        <v>3439</v>
      </c>
    </row>
    <row r="382" spans="2:14">
      <c r="B382" s="389" t="str">
        <f>tlOutputLOB2Cln3Name_R2</f>
        <v>Audry Amore  </v>
      </c>
      <c r="C382" s="388"/>
      <c r="D382" s="388"/>
      <c r="E382" s="388">
        <f>decLOB2Cln3WeekProdMod_R1</f>
        <v>0</v>
      </c>
      <c r="F382" s="388">
        <f>decLOB2Cln3WeekProdMod_R1</f>
        <v>0</v>
      </c>
      <c r="G382" s="391">
        <f>decLOB2Cln3WeekProdMod_R1</f>
        <v>0</v>
      </c>
      <c r="H382" t="s">
        <v>3412</v>
      </c>
      <c r="I382" s="389" t="str">
        <f>tlOutputLOB2Cln3Name_R2</f>
        <v>Audry Amore  </v>
      </c>
      <c r="J382" s="388"/>
      <c r="K382" s="388">
        <f>decLOB2Cln3WeekProdMod_R2</f>
        <v>0</v>
      </c>
      <c r="L382" s="388">
        <f>decLOB2Cln3WeekProdMod_R2</f>
        <v>0</v>
      </c>
      <c r="M382" s="391">
        <f>decLOB2Cln3WeekProdMod_R2</f>
        <v>0</v>
      </c>
      <c r="N382" t="s">
        <v>3449</v>
      </c>
    </row>
    <row r="383" spans="2:14">
      <c r="B383" s="389" t="str">
        <f>tlOutputLOB2Cln4Name_R2</f>
        <v>Marvis Martine  </v>
      </c>
      <c r="C383" s="388"/>
      <c r="D383" s="388"/>
      <c r="E383" s="388">
        <f>decLOB2Cln4WeekProdMod_R1</f>
        <v>0</v>
      </c>
      <c r="F383" s="388">
        <f>decLOB2Cln4WeekProdMod_R1</f>
        <v>0</v>
      </c>
      <c r="G383" s="391">
        <f>decLOB2Cln4WeekProdMod_R1</f>
        <v>0</v>
      </c>
      <c r="H383" t="s">
        <v>3413</v>
      </c>
      <c r="I383" s="389" t="str">
        <f>tlOutputLOB2Cln4Name_R2</f>
        <v>Marvis Martine  </v>
      </c>
      <c r="J383" s="388"/>
      <c r="K383" s="388">
        <f>decLOB2Cln4WeekProdMod_R2</f>
        <v>0</v>
      </c>
      <c r="L383" s="388">
        <f>decLOB2Cln4WeekProdMod_R2</f>
        <v>0</v>
      </c>
      <c r="M383" s="391">
        <f>decLOB2Cln4WeekProdMod_R2</f>
        <v>0</v>
      </c>
      <c r="N383" t="s">
        <v>3459</v>
      </c>
    </row>
    <row r="384" spans="2:14">
      <c r="B384" s="389" t="str">
        <f>tlOutputLOB2Cln5Name_R2</f>
        <v>Ming Mines  </v>
      </c>
      <c r="C384" s="388"/>
      <c r="D384" s="388"/>
      <c r="E384" s="388">
        <f>decLOB2Cln5WeekProdMod_R1</f>
        <v>0</v>
      </c>
      <c r="F384" s="388">
        <f>decLOB2Cln5WeekProdMod_R1</f>
        <v>0</v>
      </c>
      <c r="G384" s="391">
        <f>decLOB2Cln5WeekProdMod_R1</f>
        <v>0</v>
      </c>
      <c r="H384" t="s">
        <v>3414</v>
      </c>
      <c r="I384" s="389" t="str">
        <f>tlOutputLOB2Cln5Name_R2</f>
        <v>Ming Mines  </v>
      </c>
      <c r="J384" s="388"/>
      <c r="K384" s="388">
        <f>decLOB2Cln5WeekProdMod_R2</f>
        <v>0</v>
      </c>
      <c r="L384" s="388">
        <f>decLOB2Cln5WeekProdMod_R2</f>
        <v>0</v>
      </c>
      <c r="M384" s="391">
        <f>decLOB2Cln5WeekProdMod_R2</f>
        <v>0</v>
      </c>
      <c r="N384" t="s">
        <v>3469</v>
      </c>
    </row>
    <row r="385" spans="2:14">
      <c r="B385" s="389" t="str">
        <f>tlOutputLOB2Cln6Name_R2</f>
        <v>Esteban Ervin  </v>
      </c>
      <c r="C385" s="388"/>
      <c r="D385" s="388"/>
      <c r="E385" s="388">
        <f>decLOB2Cln6WeekProdMod_R1</f>
        <v>0</v>
      </c>
      <c r="F385" s="388">
        <f>decLOB2Cln6WeekProdMod_R1</f>
        <v>0</v>
      </c>
      <c r="G385" s="391">
        <f>decLOB2Cln6WeekProdMod_R1</f>
        <v>0</v>
      </c>
      <c r="H385" t="s">
        <v>3415</v>
      </c>
      <c r="I385" s="389" t="str">
        <f>tlOutputLOB2Cln6Name_R2</f>
        <v>Esteban Ervin  </v>
      </c>
      <c r="J385" s="388"/>
      <c r="K385" s="388">
        <f>decLOB2Cln6WeekProdMod_R2</f>
        <v>0</v>
      </c>
      <c r="L385" s="388">
        <f>decLOB2Cln6WeekProdMod_R2</f>
        <v>0</v>
      </c>
      <c r="M385" s="391">
        <f>decLOB2Cln6WeekProdMod_R2</f>
        <v>0</v>
      </c>
      <c r="N385" t="s">
        <v>3479</v>
      </c>
    </row>
    <row r="386" spans="2:14">
      <c r="B386" s="389" t="str">
        <f>tlOutputLOB2Cln7Name_R2</f>
        <v>Chester Cheesman  </v>
      </c>
      <c r="C386" s="388"/>
      <c r="D386" s="388"/>
      <c r="E386" s="388">
        <f>decLOB2Cln7WeekProdMod_R1</f>
        <v>0</v>
      </c>
      <c r="F386" s="388">
        <f>decLOB2Cln7WeekProdMod_R1</f>
        <v>0</v>
      </c>
      <c r="G386" s="391">
        <f>decLOB2Cln7WeekProdMod_R1</f>
        <v>0</v>
      </c>
      <c r="H386" t="s">
        <v>3416</v>
      </c>
      <c r="I386" s="389" t="str">
        <f>tlOutputLOB2Cln7Name_R2</f>
        <v>Chester Cheesman  </v>
      </c>
      <c r="J386" s="388"/>
      <c r="K386" s="388">
        <f>decLOB2Cln7WeekProdMod_R2</f>
        <v>0</v>
      </c>
      <c r="L386" s="388">
        <f>decLOB2Cln7WeekProdMod_R2</f>
        <v>0</v>
      </c>
      <c r="M386" s="391">
        <f>decLOB2Cln7WeekProdMod_R2</f>
        <v>0</v>
      </c>
      <c r="N386" t="s">
        <v>3489</v>
      </c>
    </row>
    <row r="387" spans="2:14">
      <c r="B387" s="389" t="str">
        <f>tlOutputLOB2Cln8Name_R2</f>
        <v>Susie Sluder  </v>
      </c>
      <c r="C387" s="388"/>
      <c r="D387" s="388"/>
      <c r="E387" s="388">
        <f>decLOB2Cln8WeekProdMod_R1</f>
        <v>0</v>
      </c>
      <c r="F387" s="388">
        <f>decLOB2Cln8WeekProdMod_R1</f>
        <v>0</v>
      </c>
      <c r="G387" s="391">
        <f>decLOB2Cln8WeekProdMod_R1</f>
        <v>0</v>
      </c>
      <c r="H387" t="s">
        <v>3417</v>
      </c>
      <c r="I387" s="389" t="str">
        <f>tlOutputLOB2Cln8Name_R2</f>
        <v>Susie Sluder  </v>
      </c>
      <c r="J387" s="388"/>
      <c r="K387" s="388">
        <f>decLOB2Cln8WeekProdMod_R2</f>
        <v>0</v>
      </c>
      <c r="L387" s="388">
        <f>decLOB2Cln8WeekProdMod_R2</f>
        <v>0</v>
      </c>
      <c r="M387" s="391">
        <f>decLOB2Cln8WeekProdMod_R2</f>
        <v>0</v>
      </c>
      <c r="N387" t="s">
        <v>3499</v>
      </c>
    </row>
    <row r="388" spans="2:14">
      <c r="B388" s="389" t="str">
        <f>tlOutputLOB2Cln9Name_R2</f>
        <v>Jerome Jurek  </v>
      </c>
      <c r="C388" s="388"/>
      <c r="D388" s="388"/>
      <c r="E388" s="388">
        <f>decLOB2Cln9WeekProdMod_R1</f>
        <v>0</v>
      </c>
      <c r="F388" s="388">
        <f>decLOB2Cln9WeekProdMod_R1</f>
        <v>0</v>
      </c>
      <c r="G388" s="391">
        <f>decLOB2Cln9WeekProdMod_R1</f>
        <v>0</v>
      </c>
      <c r="H388" t="s">
        <v>3418</v>
      </c>
      <c r="I388" s="389" t="str">
        <f>tlOutputLOB2Cln9Name_R2</f>
        <v>Jerome Jurek  </v>
      </c>
      <c r="J388" s="388"/>
      <c r="K388" s="388">
        <f>decLOB2Cln9WeekProdMod_R2</f>
        <v>0</v>
      </c>
      <c r="L388" s="388">
        <f>decLOB2Cln9WeekProdMod_R2</f>
        <v>0</v>
      </c>
      <c r="M388" s="391">
        <f>decLOB2Cln9WeekProdMod_R2</f>
        <v>0</v>
      </c>
      <c r="N388" t="s">
        <v>3509</v>
      </c>
    </row>
    <row r="389" spans="2:14">
      <c r="B389" s="389" t="str">
        <f>tlOutputLOB2Cln10Name_R2</f>
        <v>Roseanna Roder  </v>
      </c>
      <c r="C389" s="388"/>
      <c r="D389" s="388"/>
      <c r="E389" s="388">
        <f>decLOB2Cln10WeekProdMod_R1</f>
        <v>0</v>
      </c>
      <c r="F389" s="388">
        <f>decLOB2Cln10WeekProdMod_R1</f>
        <v>0</v>
      </c>
      <c r="G389" s="391">
        <f>decLOB2Cln10WeekProdMod_R1</f>
        <v>0</v>
      </c>
      <c r="H389" t="s">
        <v>3419</v>
      </c>
      <c r="I389" s="389" t="str">
        <f>tlOutputLOB2Cln10Name_R2</f>
        <v>Roseanna Roder  </v>
      </c>
      <c r="J389" s="388"/>
      <c r="K389" s="388">
        <f>decLOB2Cln10WeekProdMod_R2</f>
        <v>0</v>
      </c>
      <c r="L389" s="388">
        <f>decLOB2Cln10WeekProdMod_R2</f>
        <v>0</v>
      </c>
      <c r="M389" s="391">
        <f>decLOB2Cln10WeekProdMod_R2</f>
        <v>0</v>
      </c>
      <c r="N389" t="s">
        <v>3519</v>
      </c>
    </row>
    <row r="390" spans="2:14">
      <c r="B390" s="389">
        <f>tlOutputLOB2Cln11Name_R2</f>
        <v>0</v>
      </c>
      <c r="C390" s="388"/>
      <c r="D390" s="388"/>
      <c r="E390" s="388">
        <f>decLOB2Cln11WeekProdMod_R1</f>
        <v>0</v>
      </c>
      <c r="F390" s="388">
        <f>decLOB2Cln11WeekProdMod_R1</f>
        <v>0</v>
      </c>
      <c r="G390" s="391">
        <f>decLOB2Cln11WeekProdMod_R1</f>
        <v>0</v>
      </c>
      <c r="H390" t="s">
        <v>3420</v>
      </c>
      <c r="I390" s="389">
        <f>tlOutputLOB2Cln11Name_R2</f>
        <v>0</v>
      </c>
      <c r="J390" s="388"/>
      <c r="K390" s="388">
        <f>decLOB2Cln11WeekProdMod_R2</f>
        <v>0</v>
      </c>
      <c r="L390" s="388">
        <f>decLOB2Cln11WeekProdMod_R2</f>
        <v>0</v>
      </c>
      <c r="M390" s="391">
        <f>decLOB2Cln11WeekProdMod_R2</f>
        <v>0</v>
      </c>
      <c r="N390" t="s">
        <v>3422</v>
      </c>
    </row>
    <row r="391" spans="2:14">
      <c r="B391" s="389">
        <f>tlOutputLOB2Cln12Name_R2</f>
        <v>0</v>
      </c>
      <c r="C391" s="388"/>
      <c r="D391" s="388"/>
      <c r="E391" s="388">
        <f>decLOB2Cln12WeekProdMod_R1</f>
        <v>0</v>
      </c>
      <c r="F391" s="388">
        <f>decLOB2Cln12WeekProdMod_R1</f>
        <v>0</v>
      </c>
      <c r="G391" s="391">
        <f>decLOB2Cln12WeekProdMod_R1</f>
        <v>0</v>
      </c>
      <c r="H391" t="s">
        <v>3421</v>
      </c>
      <c r="I391" s="389">
        <f>tlOutputLOB2Cln12Name_R2</f>
        <v>0</v>
      </c>
      <c r="J391" s="388"/>
      <c r="K391" s="388">
        <f>decLOB2Cln12WeekProdMod_R2</f>
        <v>0</v>
      </c>
      <c r="L391" s="388">
        <f>decLOB2Cln12WeekProdMod_R2</f>
        <v>0</v>
      </c>
      <c r="M391" s="391">
        <f>decLOB2Cln12WeekProdMod_R2</f>
        <v>0</v>
      </c>
      <c r="N391" t="s">
        <v>3423</v>
      </c>
    </row>
    <row r="392" spans="2:14">
      <c r="B392" s="389"/>
      <c r="C392" s="388"/>
      <c r="D392" s="388"/>
      <c r="E392" s="388"/>
      <c r="F392" s="388"/>
      <c r="G392" s="391"/>
      <c r="I392" s="389"/>
      <c r="J392" s="388"/>
      <c r="K392" s="388"/>
      <c r="L392" s="388"/>
      <c r="M392" s="391"/>
    </row>
    <row r="393" spans="2:14">
      <c r="B393" s="389" t="s">
        <v>7855</v>
      </c>
      <c r="C393" s="388"/>
      <c r="D393" s="388"/>
      <c r="E393" s="388"/>
      <c r="F393" s="388"/>
      <c r="G393" s="391"/>
      <c r="I393" s="389" t="s">
        <v>7855</v>
      </c>
      <c r="J393" s="388"/>
      <c r="K393" s="388"/>
      <c r="L393" s="388"/>
      <c r="M393" s="391"/>
    </row>
    <row r="394" spans="2:14">
      <c r="B394" s="389" t="str">
        <f>tlOutputLOB2Cln1Name_R2</f>
        <v>Sherie Sea</v>
      </c>
      <c r="C394" s="388"/>
      <c r="D394" s="388"/>
      <c r="E394" s="671">
        <f>calcLOB2Clinician1GrossProd</f>
        <v>27</v>
      </c>
      <c r="F394" s="671">
        <f>calcLOB2Clinician1GrossProd</f>
        <v>27</v>
      </c>
      <c r="G394" s="705">
        <f>calcLOB2Clinician1GrossProd</f>
        <v>27</v>
      </c>
      <c r="H394" t="s">
        <v>1242</v>
      </c>
      <c r="I394" s="389" t="str">
        <f>tlOutputLOB2Cln1Name_R2</f>
        <v>Sherie Sea</v>
      </c>
      <c r="J394" s="388"/>
      <c r="K394" s="671">
        <f>calcR2LOB2Clinician1GrossProd</f>
        <v>27</v>
      </c>
      <c r="L394" s="671">
        <f>calcR2LOB2Clinician1GrossProd</f>
        <v>27</v>
      </c>
      <c r="M394" s="705">
        <f>calcR2LOB2Clinician1GrossProd</f>
        <v>27</v>
      </c>
      <c r="N394" t="s">
        <v>3430</v>
      </c>
    </row>
    <row r="395" spans="2:14">
      <c r="B395" s="389" t="str">
        <f>tlOutputLOB2Cln2Name_R2</f>
        <v>Jamison Jordon  </v>
      </c>
      <c r="C395" s="388"/>
      <c r="D395" s="388"/>
      <c r="E395" s="671">
        <f>calcLOB2Clinician2GrossProd</f>
        <v>28</v>
      </c>
      <c r="F395" s="671">
        <f>calcLOB2Clinician2GrossProd</f>
        <v>28</v>
      </c>
      <c r="G395" s="705">
        <f>calcLOB2Clinician2GrossProd</f>
        <v>28</v>
      </c>
      <c r="H395" t="s">
        <v>1255</v>
      </c>
      <c r="I395" s="389" t="str">
        <f>tlOutputLOB2Cln2Name_R2</f>
        <v>Jamison Jordon  </v>
      </c>
      <c r="J395" s="388"/>
      <c r="K395" s="671">
        <f>calcR2LOB2Clinician2GrossProd</f>
        <v>28</v>
      </c>
      <c r="L395" s="671">
        <f>calcR2LOB2Clinician2GrossProd</f>
        <v>28</v>
      </c>
      <c r="M395" s="705">
        <f>calcR2LOB2Clinician2GrossProd</f>
        <v>28</v>
      </c>
      <c r="N395" t="s">
        <v>3440</v>
      </c>
    </row>
    <row r="396" spans="2:14">
      <c r="B396" s="389" t="str">
        <f>tlOutputLOB2Cln3Name_R2</f>
        <v>Audry Amore  </v>
      </c>
      <c r="C396" s="388"/>
      <c r="D396" s="388"/>
      <c r="E396" s="671">
        <f>calcLOB2Clinician3GrossProd</f>
        <v>17.021276595744681</v>
      </c>
      <c r="F396" s="671">
        <f>calcLOB2Clinician3GrossProd</f>
        <v>17.021276595744681</v>
      </c>
      <c r="G396" s="705">
        <f>calcLOB2Clinician3GrossProd</f>
        <v>17.021276595744681</v>
      </c>
      <c r="H396" t="s">
        <v>1268</v>
      </c>
      <c r="I396" s="389" t="str">
        <f>tlOutputLOB2Cln3Name_R2</f>
        <v>Audry Amore  </v>
      </c>
      <c r="J396" s="388"/>
      <c r="K396" s="671">
        <f>calcR2LOB2Clinician3GrossProd</f>
        <v>17.021276595744681</v>
      </c>
      <c r="L396" s="671">
        <f>calcR2LOB2Clinician3GrossProd</f>
        <v>17.021276595744681</v>
      </c>
      <c r="M396" s="705">
        <f>calcR2LOB2Clinician3GrossProd</f>
        <v>17.021276595744681</v>
      </c>
      <c r="N396" t="s">
        <v>3450</v>
      </c>
    </row>
    <row r="397" spans="2:14">
      <c r="B397" s="389" t="str">
        <f>tlOutputLOB2Cln4Name_R2</f>
        <v>Marvis Martine  </v>
      </c>
      <c r="C397" s="388"/>
      <c r="D397" s="388"/>
      <c r="E397" s="671">
        <f>calcLOB2Clinician4GrossProd</f>
        <v>16.666666666666668</v>
      </c>
      <c r="F397" s="671">
        <f>calcLOB2Clinician4GrossProd</f>
        <v>16.666666666666668</v>
      </c>
      <c r="G397" s="705">
        <f>calcLOB2Clinician4GrossProd</f>
        <v>16.666666666666668</v>
      </c>
      <c r="H397" t="s">
        <v>1281</v>
      </c>
      <c r="I397" s="389" t="str">
        <f>tlOutputLOB2Cln4Name_R2</f>
        <v>Marvis Martine  </v>
      </c>
      <c r="J397" s="388"/>
      <c r="K397" s="671">
        <f>calcR2LOB2Clinician4GrossProd</f>
        <v>16.666666666666668</v>
      </c>
      <c r="L397" s="671">
        <f>calcR2LOB2Clinician4GrossProd</f>
        <v>16.666666666666668</v>
      </c>
      <c r="M397" s="705">
        <f>calcR2LOB2Clinician4GrossProd</f>
        <v>16.666666666666668</v>
      </c>
      <c r="N397" t="s">
        <v>3460</v>
      </c>
    </row>
    <row r="398" spans="2:14">
      <c r="B398" s="389" t="str">
        <f>tlOutputLOB2Cln5Name_R2</f>
        <v>Ming Mines  </v>
      </c>
      <c r="C398" s="388"/>
      <c r="D398" s="388"/>
      <c r="E398" s="671">
        <f>calcLOB2Clinician5GrossProd</f>
        <v>27.5</v>
      </c>
      <c r="F398" s="671">
        <f>calcLOB2Clinician5GrossProd</f>
        <v>27.5</v>
      </c>
      <c r="G398" s="705">
        <f>calcLOB2Clinician5GrossProd</f>
        <v>27.5</v>
      </c>
      <c r="H398" t="s">
        <v>1294</v>
      </c>
      <c r="I398" s="389" t="str">
        <f>tlOutputLOB2Cln5Name_R2</f>
        <v>Ming Mines  </v>
      </c>
      <c r="J398" s="388"/>
      <c r="K398" s="671">
        <f>calcR2LOB2Clinician5GrossProd</f>
        <v>27.5</v>
      </c>
      <c r="L398" s="671">
        <f>calcR2LOB2Clinician5GrossProd</f>
        <v>27.5</v>
      </c>
      <c r="M398" s="705">
        <f>calcR2LOB2Clinician5GrossProd</f>
        <v>27.5</v>
      </c>
      <c r="N398" t="s">
        <v>3470</v>
      </c>
    </row>
    <row r="399" spans="2:14">
      <c r="B399" s="389" t="str">
        <f>tlOutputLOB2Cln6Name_R2</f>
        <v>Esteban Ervin  </v>
      </c>
      <c r="C399" s="388"/>
      <c r="D399" s="388"/>
      <c r="E399" s="671">
        <f>calcLOB2Clinician6GrossProd</f>
        <v>28</v>
      </c>
      <c r="F399" s="671">
        <f>calcLOB2Clinician6GrossProd</f>
        <v>28</v>
      </c>
      <c r="G399" s="705">
        <f>calcLOB2Clinician6GrossProd</f>
        <v>28</v>
      </c>
      <c r="H399" t="s">
        <v>1307</v>
      </c>
      <c r="I399" s="389" t="str">
        <f>tlOutputLOB2Cln6Name_R2</f>
        <v>Esteban Ervin  </v>
      </c>
      <c r="J399" s="388"/>
      <c r="K399" s="671">
        <f>calcR2LOB2Clinician6GrossProd</f>
        <v>28</v>
      </c>
      <c r="L399" s="671">
        <f>calcR2LOB2Clinician6GrossProd</f>
        <v>28</v>
      </c>
      <c r="M399" s="705">
        <f>calcR2LOB2Clinician6GrossProd</f>
        <v>28</v>
      </c>
      <c r="N399" t="s">
        <v>3480</v>
      </c>
    </row>
    <row r="400" spans="2:14">
      <c r="B400" s="389" t="str">
        <f>tlOutputLOB2Cln7Name_R2</f>
        <v>Chester Cheesman  </v>
      </c>
      <c r="C400" s="388"/>
      <c r="D400" s="388"/>
      <c r="E400" s="671">
        <f>calcLOB2Clinician7GrossProd</f>
        <v>28</v>
      </c>
      <c r="F400" s="671">
        <f>calcLOB2Clinician7GrossProd</f>
        <v>28</v>
      </c>
      <c r="G400" s="705">
        <f>calcLOB2Clinician7GrossProd</f>
        <v>28</v>
      </c>
      <c r="H400" t="s">
        <v>1320</v>
      </c>
      <c r="I400" s="389" t="str">
        <f>tlOutputLOB2Cln7Name_R2</f>
        <v>Chester Cheesman  </v>
      </c>
      <c r="J400" s="388"/>
      <c r="K400" s="671">
        <f>calcR2LOB2Clinician7GrossProd</f>
        <v>28</v>
      </c>
      <c r="L400" s="671">
        <f>calcR2LOB2Clinician7GrossProd</f>
        <v>28</v>
      </c>
      <c r="M400" s="705">
        <f>calcR2LOB2Clinician7GrossProd</f>
        <v>28</v>
      </c>
      <c r="N400" t="s">
        <v>3490</v>
      </c>
    </row>
    <row r="401" spans="2:14">
      <c r="B401" s="389" t="str">
        <f>tlOutputLOB2Cln8Name_R2</f>
        <v>Susie Sluder  </v>
      </c>
      <c r="C401" s="388"/>
      <c r="D401" s="388"/>
      <c r="E401" s="671">
        <f>calcLOB2Clinician8GrossProd</f>
        <v>28</v>
      </c>
      <c r="F401" s="671">
        <f>calcLOB2Clinician8GrossProd</f>
        <v>28</v>
      </c>
      <c r="G401" s="705">
        <f>calcLOB2Clinician8GrossProd</f>
        <v>28</v>
      </c>
      <c r="H401" t="s">
        <v>1333</v>
      </c>
      <c r="I401" s="389" t="str">
        <f>tlOutputLOB2Cln8Name_R2</f>
        <v>Susie Sluder  </v>
      </c>
      <c r="J401" s="388"/>
      <c r="K401" s="671">
        <f>calcR2LOB2Clinician8GrossProd</f>
        <v>28</v>
      </c>
      <c r="L401" s="671">
        <f>calcR2LOB2Clinician8GrossProd</f>
        <v>28</v>
      </c>
      <c r="M401" s="705">
        <f>calcR2LOB2Clinician8GrossProd</f>
        <v>28</v>
      </c>
      <c r="N401" t="s">
        <v>3500</v>
      </c>
    </row>
    <row r="402" spans="2:14">
      <c r="B402" s="389" t="str">
        <f>tlOutputLOB2Cln9Name_R2</f>
        <v>Jerome Jurek  </v>
      </c>
      <c r="C402" s="388"/>
      <c r="D402" s="388"/>
      <c r="E402" s="671">
        <f>calcLOB2Clinician9GrossProd</f>
        <v>12.5</v>
      </c>
      <c r="F402" s="671">
        <f>calcLOB2Clinician9GrossProd</f>
        <v>12.5</v>
      </c>
      <c r="G402" s="705">
        <f>calcLOB2Clinician9GrossProd</f>
        <v>12.5</v>
      </c>
      <c r="H402" t="s">
        <v>1346</v>
      </c>
      <c r="I402" s="389" t="str">
        <f>tlOutputLOB2Cln9Name_R2</f>
        <v>Jerome Jurek  </v>
      </c>
      <c r="J402" s="388"/>
      <c r="K402" s="671">
        <f>calcR2LOB2Clinician9GrossProd</f>
        <v>12.5</v>
      </c>
      <c r="L402" s="671">
        <f>calcR2LOB2Clinician9GrossProd</f>
        <v>12.5</v>
      </c>
      <c r="M402" s="705">
        <f>calcR2LOB2Clinician9GrossProd</f>
        <v>12.5</v>
      </c>
      <c r="N402" t="s">
        <v>3510</v>
      </c>
    </row>
    <row r="403" spans="2:14">
      <c r="B403" s="389" t="str">
        <f>tlOutputLOB2Cln10Name_R2</f>
        <v>Roseanna Roder  </v>
      </c>
      <c r="C403" s="388"/>
      <c r="D403" s="388"/>
      <c r="E403" s="671">
        <f>calcLOB2Clinician10GrossProd</f>
        <v>22.680412371134022</v>
      </c>
      <c r="F403" s="671">
        <f>calcLOB2Clinician10GrossProd</f>
        <v>22.680412371134022</v>
      </c>
      <c r="G403" s="705">
        <f>calcLOB2Clinician10GrossProd</f>
        <v>22.680412371134022</v>
      </c>
      <c r="H403" t="s">
        <v>1359</v>
      </c>
      <c r="I403" s="389" t="str">
        <f>tlOutputLOB2Cln10Name_R2</f>
        <v>Roseanna Roder  </v>
      </c>
      <c r="J403" s="388"/>
      <c r="K403" s="671">
        <f>calcR2LOB2Clinician10GrossProd</f>
        <v>22.680412371134022</v>
      </c>
      <c r="L403" s="671">
        <f>calcR2LOB2Clinician10GrossProd</f>
        <v>22.680412371134022</v>
      </c>
      <c r="M403" s="705">
        <f>calcR2LOB2Clinician10GrossProd</f>
        <v>22.680412371134022</v>
      </c>
      <c r="N403" t="s">
        <v>3520</v>
      </c>
    </row>
    <row r="404" spans="2:14">
      <c r="B404" s="389">
        <f>tlOutputLOB2Cln11Name_R2</f>
        <v>0</v>
      </c>
      <c r="C404" s="388"/>
      <c r="D404" s="388"/>
      <c r="E404" s="671">
        <f>calcLOB2Clinician11GrossProd</f>
        <v>0</v>
      </c>
      <c r="F404" s="671">
        <f>calcLOB2Clinician11GrossProd</f>
        <v>0</v>
      </c>
      <c r="G404" s="705">
        <f>calcLOB2Clinician11GrossProd</f>
        <v>0</v>
      </c>
      <c r="H404" t="s">
        <v>2840</v>
      </c>
      <c r="I404" s="389">
        <f>tlOutputLOB2Cln11Name_R2</f>
        <v>0</v>
      </c>
      <c r="J404" s="388"/>
      <c r="K404" s="671">
        <f>calcR2LOB2Clinician11GrossProd</f>
        <v>0</v>
      </c>
      <c r="L404" s="671">
        <f>calcR2LOB2Clinician11GrossProd</f>
        <v>0</v>
      </c>
      <c r="M404" s="705">
        <f>calcR2LOB2Clinician11GrossProd</f>
        <v>0</v>
      </c>
      <c r="N404" t="s">
        <v>2850</v>
      </c>
    </row>
    <row r="405" spans="2:14">
      <c r="B405" s="389">
        <f>tlOutputLOB2Cln12Name_R2</f>
        <v>0</v>
      </c>
      <c r="C405" s="388"/>
      <c r="D405" s="388"/>
      <c r="E405" s="671">
        <f>calcLOB2Clinician12GrossProd</f>
        <v>0</v>
      </c>
      <c r="F405" s="671">
        <f>calcLOB2Clinician12GrossProd</f>
        <v>0</v>
      </c>
      <c r="G405" s="705">
        <f>calcLOB2Clinician12GrossProd</f>
        <v>0</v>
      </c>
      <c r="H405" t="s">
        <v>2893</v>
      </c>
      <c r="I405" s="389">
        <f>tlOutputLOB2Cln12Name_R2</f>
        <v>0</v>
      </c>
      <c r="J405" s="388"/>
      <c r="K405" s="671">
        <f>calcR2LOB2Clinician12GrossProd</f>
        <v>0</v>
      </c>
      <c r="L405" s="671">
        <f>calcR2LOB2Clinician12GrossProd</f>
        <v>0</v>
      </c>
      <c r="M405" s="705">
        <f>calcR2LOB2Clinician12GrossProd</f>
        <v>0</v>
      </c>
      <c r="N405" t="s">
        <v>2903</v>
      </c>
    </row>
    <row r="406" spans="2:14">
      <c r="B406" s="389"/>
      <c r="C406" s="388"/>
      <c r="D406" s="388"/>
      <c r="E406" s="388"/>
      <c r="F406" s="388"/>
      <c r="G406" s="391"/>
      <c r="I406" s="389"/>
      <c r="J406" s="388"/>
      <c r="K406" s="388"/>
      <c r="L406" s="388"/>
      <c r="M406" s="391"/>
    </row>
    <row r="407" spans="2:14">
      <c r="B407" s="389"/>
      <c r="C407" s="388"/>
      <c r="D407" s="388"/>
      <c r="E407" s="388"/>
      <c r="F407" s="388"/>
      <c r="G407" s="391"/>
      <c r="I407" s="389"/>
      <c r="J407" s="388"/>
      <c r="K407" s="388"/>
      <c r="L407" s="388"/>
      <c r="M407" s="391"/>
    </row>
    <row r="408" spans="2:14">
      <c r="B408" s="389"/>
      <c r="C408" s="388"/>
      <c r="D408" s="388"/>
      <c r="E408" s="388"/>
      <c r="F408" s="388"/>
      <c r="G408" s="391"/>
      <c r="I408" s="389"/>
      <c r="J408" s="388"/>
      <c r="K408" s="388"/>
      <c r="L408" s="388"/>
      <c r="M408" s="391"/>
    </row>
    <row r="409" spans="2:14">
      <c r="B409" s="389"/>
      <c r="C409" s="388"/>
      <c r="D409" s="388"/>
      <c r="E409" s="388"/>
      <c r="F409" s="388"/>
      <c r="G409" s="391"/>
      <c r="I409" s="389"/>
      <c r="J409" s="388"/>
      <c r="K409" s="388"/>
      <c r="L409" s="388"/>
      <c r="M409" s="391"/>
    </row>
    <row r="410" spans="2:14">
      <c r="B410" s="389"/>
      <c r="C410" s="388"/>
      <c r="D410" s="388"/>
      <c r="E410" s="388"/>
      <c r="F410" s="388"/>
      <c r="G410" s="391"/>
      <c r="I410" s="389"/>
      <c r="J410" s="388"/>
      <c r="K410" s="388"/>
      <c r="L410" s="388"/>
      <c r="M410" s="391"/>
    </row>
    <row r="411" spans="2:14">
      <c r="B411" s="389"/>
      <c r="C411" s="388"/>
      <c r="D411" s="388"/>
      <c r="E411" s="388"/>
      <c r="F411" s="388"/>
      <c r="G411" s="391"/>
      <c r="I411" s="389"/>
      <c r="J411" s="388"/>
      <c r="K411" s="388"/>
      <c r="L411" s="388"/>
      <c r="M411" s="391"/>
    </row>
    <row r="412" spans="2:14">
      <c r="B412" s="389"/>
      <c r="C412" s="388"/>
      <c r="D412" s="388"/>
      <c r="E412" s="388"/>
      <c r="F412" s="388"/>
      <c r="G412" s="391"/>
      <c r="I412" s="389"/>
      <c r="J412" s="388"/>
      <c r="K412" s="388"/>
      <c r="L412" s="388"/>
      <c r="M412" s="391"/>
    </row>
    <row r="413" spans="2:14">
      <c r="B413" s="389"/>
      <c r="C413" s="388"/>
      <c r="D413" s="388"/>
      <c r="E413" s="388"/>
      <c r="F413" s="388"/>
      <c r="G413" s="391"/>
      <c r="I413" s="389"/>
      <c r="J413" s="388"/>
      <c r="K413" s="388"/>
      <c r="L413" s="388"/>
      <c r="M413" s="391"/>
    </row>
    <row r="414" spans="2:14">
      <c r="B414" s="389"/>
      <c r="C414" s="388"/>
      <c r="D414" s="388"/>
      <c r="E414" s="388"/>
      <c r="F414" s="388"/>
      <c r="G414" s="391"/>
      <c r="I414" s="389"/>
      <c r="J414" s="388"/>
      <c r="K414" s="388"/>
      <c r="L414" s="388"/>
      <c r="M414" s="391"/>
    </row>
    <row r="415" spans="2:14">
      <c r="B415" s="389"/>
      <c r="C415" s="388"/>
      <c r="D415" s="388"/>
      <c r="E415" s="388"/>
      <c r="F415" s="388"/>
      <c r="G415" s="391"/>
      <c r="I415" s="389"/>
      <c r="J415" s="388"/>
      <c r="K415" s="388"/>
      <c r="L415" s="388"/>
      <c r="M415" s="391"/>
    </row>
    <row r="416" spans="2:14">
      <c r="B416" s="389"/>
      <c r="C416" s="388"/>
      <c r="D416" s="388"/>
      <c r="E416" s="388"/>
      <c r="F416" s="388"/>
      <c r="G416" s="391"/>
      <c r="I416" s="389"/>
      <c r="J416" s="388"/>
      <c r="K416" s="388"/>
      <c r="L416" s="388"/>
      <c r="M416" s="391"/>
    </row>
    <row r="417" spans="2:13">
      <c r="B417" s="392"/>
      <c r="C417" s="393"/>
      <c r="D417" s="393"/>
      <c r="E417" s="393"/>
      <c r="F417" s="393"/>
      <c r="G417" s="706"/>
      <c r="I417" s="392"/>
      <c r="J417" s="393"/>
      <c r="K417" s="393"/>
      <c r="L417" s="393"/>
      <c r="M417" s="706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AG40"/>
  <sheetViews>
    <sheetView topLeftCell="A13" zoomScaleNormal="100" workbookViewId="0">
      <selection activeCell="I38" sqref="I38"/>
    </sheetView>
  </sheetViews>
  <sheetFormatPr defaultColWidth="9" defaultRowHeight="10"/>
  <cols>
    <col min="1" max="1" width="4.77734375" style="181" customWidth="1"/>
    <col min="2" max="2" width="4.77734375" style="133" customWidth="1"/>
    <col min="3" max="3" width="4.77734375" style="181" customWidth="1"/>
    <col min="4" max="4" width="18.77734375" style="181" customWidth="1"/>
    <col min="5" max="10" width="12.77734375" style="181" customWidth="1"/>
    <col min="11" max="11" width="16" style="181" customWidth="1"/>
    <col min="12" max="13" width="12.77734375" style="181" customWidth="1"/>
    <col min="14" max="14" width="18.44140625" style="181" customWidth="1"/>
    <col min="15" max="20" width="9" style="181"/>
    <col min="21" max="21" width="10.6640625" style="181" customWidth="1"/>
    <col min="22" max="26" width="9" style="181"/>
    <col min="27" max="27" width="10.6640625" style="181" customWidth="1"/>
    <col min="28" max="32" width="9" style="181"/>
    <col min="33" max="33" width="10.6640625" style="181" customWidth="1"/>
    <col min="34" max="16384" width="9" style="181"/>
  </cols>
  <sheetData>
    <row r="1" spans="1:16" s="144" customFormat="1" ht="33" customHeight="1">
      <c r="A1" s="145" t="s">
        <v>237</v>
      </c>
      <c r="B1" s="145"/>
      <c r="K1" s="185"/>
      <c r="L1" s="185"/>
      <c r="M1" s="185"/>
      <c r="N1" s="185"/>
      <c r="P1" s="145"/>
    </row>
    <row r="2" spans="1:16" s="186" customFormat="1">
      <c r="C2" s="187"/>
      <c r="D2" s="187"/>
      <c r="E2" s="187"/>
      <c r="F2" s="187"/>
      <c r="G2" s="187"/>
      <c r="I2" s="187"/>
      <c r="J2" s="187"/>
      <c r="K2" s="187"/>
      <c r="L2" s="187"/>
      <c r="M2" s="187"/>
      <c r="N2" s="187"/>
      <c r="O2" s="187"/>
    </row>
    <row r="3" spans="1:16" s="186" customFormat="1">
      <c r="C3" s="186" t="s">
        <v>138</v>
      </c>
      <c r="E3" s="81" t="s">
        <v>123</v>
      </c>
      <c r="F3" s="81"/>
      <c r="G3" s="82"/>
      <c r="I3" s="82"/>
      <c r="J3" s="82"/>
      <c r="K3" s="82"/>
      <c r="L3" s="82"/>
      <c r="M3" s="82"/>
      <c r="N3" s="82"/>
      <c r="O3" s="82"/>
    </row>
    <row r="4" spans="1:16" s="8" customFormat="1"/>
    <row r="5" spans="1:16" s="70" customFormat="1">
      <c r="A5" s="69"/>
      <c r="C5" s="70" t="s">
        <v>137</v>
      </c>
      <c r="G5" s="71"/>
      <c r="H5" s="71"/>
      <c r="I5" s="71"/>
      <c r="J5" s="71"/>
      <c r="K5" s="71"/>
      <c r="L5" s="71"/>
      <c r="M5" s="71"/>
      <c r="N5" s="71"/>
      <c r="O5" s="71"/>
      <c r="P5" s="71"/>
    </row>
    <row r="6" spans="1:16" s="8" customFormat="1"/>
    <row r="7" spans="1:16" s="8" customFormat="1" ht="10.5">
      <c r="D7" s="67" t="s">
        <v>136</v>
      </c>
      <c r="E7" s="67"/>
      <c r="F7" s="67"/>
      <c r="H7" s="140" t="s">
        <v>135</v>
      </c>
    </row>
    <row r="8" spans="1:16" s="8" customFormat="1">
      <c r="D8" s="188"/>
      <c r="E8" s="73" t="s">
        <v>110</v>
      </c>
      <c r="H8" s="132"/>
      <c r="I8" s="73" t="s">
        <v>111</v>
      </c>
    </row>
    <row r="9" spans="1:16" s="8" customFormat="1">
      <c r="D9" s="74"/>
      <c r="E9" s="73" t="s">
        <v>107</v>
      </c>
    </row>
    <row r="10" spans="1:16" s="8" customFormat="1">
      <c r="D10" s="75"/>
      <c r="E10" s="73" t="s">
        <v>112</v>
      </c>
    </row>
    <row r="11" spans="1:16" s="8" customFormat="1"/>
    <row r="12" spans="1:16" s="70" customFormat="1">
      <c r="A12" s="69"/>
      <c r="C12" s="70" t="s">
        <v>133</v>
      </c>
      <c r="G12" s="71"/>
      <c r="H12" s="71"/>
      <c r="I12" s="71"/>
      <c r="J12" s="71"/>
      <c r="K12" s="71"/>
      <c r="L12" s="71"/>
      <c r="M12" s="71"/>
      <c r="N12" s="71"/>
      <c r="O12" s="71"/>
      <c r="P12" s="71"/>
    </row>
    <row r="14" spans="1:16">
      <c r="D14" s="181" t="s">
        <v>287</v>
      </c>
      <c r="E14" s="155" t="s">
        <v>149</v>
      </c>
      <c r="F14" s="133" t="s">
        <v>286</v>
      </c>
      <c r="H14" s="189" t="s">
        <v>285</v>
      </c>
    </row>
    <row r="15" spans="1:16">
      <c r="F15" s="133"/>
      <c r="G15" s="189"/>
    </row>
    <row r="16" spans="1:16" s="185" customFormat="1" ht="20">
      <c r="K16" s="185" t="s">
        <v>284</v>
      </c>
      <c r="L16" s="185" t="s">
        <v>283</v>
      </c>
      <c r="M16" s="185" t="s">
        <v>282</v>
      </c>
      <c r="N16" s="185" t="s">
        <v>281</v>
      </c>
      <c r="P16" s="185" t="s">
        <v>280</v>
      </c>
    </row>
    <row r="17" spans="2:33" s="191" customFormat="1" ht="20">
      <c r="B17" s="190"/>
      <c r="E17" s="146" t="s">
        <v>162</v>
      </c>
      <c r="F17" s="146" t="s">
        <v>161</v>
      </c>
      <c r="G17" s="146" t="s">
        <v>160</v>
      </c>
      <c r="H17" s="146" t="s">
        <v>159</v>
      </c>
      <c r="I17" s="146" t="s">
        <v>158</v>
      </c>
      <c r="J17" s="192" t="s">
        <v>279</v>
      </c>
      <c r="K17" s="192" t="s">
        <v>278</v>
      </c>
      <c r="L17" s="192" t="s">
        <v>277</v>
      </c>
      <c r="M17" s="192" t="s">
        <v>276</v>
      </c>
      <c r="N17" s="192" t="s">
        <v>275</v>
      </c>
      <c r="P17" s="146" t="s">
        <v>274</v>
      </c>
      <c r="Q17" s="146" t="s">
        <v>273</v>
      </c>
      <c r="R17" s="146" t="s">
        <v>272</v>
      </c>
      <c r="S17" s="146" t="s">
        <v>271</v>
      </c>
      <c r="T17" s="146" t="s">
        <v>270</v>
      </c>
      <c r="V17" s="146" t="s">
        <v>269</v>
      </c>
      <c r="W17" s="146" t="s">
        <v>268</v>
      </c>
      <c r="X17" s="146" t="s">
        <v>267</v>
      </c>
      <c r="Y17" s="146" t="s">
        <v>266</v>
      </c>
      <c r="Z17" s="146" t="s">
        <v>265</v>
      </c>
      <c r="AB17" s="146" t="s">
        <v>264</v>
      </c>
      <c r="AC17" s="146" t="s">
        <v>263</v>
      </c>
      <c r="AD17" s="146" t="s">
        <v>262</v>
      </c>
      <c r="AE17" s="146" t="s">
        <v>261</v>
      </c>
      <c r="AF17" s="146" t="s">
        <v>260</v>
      </c>
    </row>
    <row r="18" spans="2:33">
      <c r="B18" s="133" t="s">
        <v>259</v>
      </c>
      <c r="J18" s="133" t="s">
        <v>258</v>
      </c>
      <c r="K18" s="182"/>
      <c r="L18" s="182"/>
      <c r="M18" s="182"/>
      <c r="N18" s="182"/>
      <c r="P18" s="183"/>
      <c r="Q18" s="183"/>
      <c r="R18" s="183"/>
      <c r="S18" s="183"/>
      <c r="T18" s="183"/>
      <c r="U18" s="181" t="s">
        <v>257</v>
      </c>
      <c r="V18" s="183"/>
      <c r="W18" s="183"/>
      <c r="X18" s="183"/>
      <c r="Y18" s="183"/>
      <c r="Z18" s="183"/>
      <c r="AA18" s="133" t="s">
        <v>256</v>
      </c>
      <c r="AB18" s="183"/>
      <c r="AC18" s="183"/>
      <c r="AD18" s="183"/>
      <c r="AE18" s="183"/>
      <c r="AF18" s="183"/>
      <c r="AG18" s="133" t="s">
        <v>255</v>
      </c>
    </row>
    <row r="19" spans="2:33">
      <c r="B19" s="133" t="s">
        <v>231</v>
      </c>
      <c r="E19" s="155"/>
      <c r="F19" s="155"/>
      <c r="G19" s="155"/>
      <c r="H19" s="155"/>
      <c r="I19" s="155"/>
      <c r="J19" s="133" t="s">
        <v>254</v>
      </c>
      <c r="K19" s="155"/>
      <c r="L19" s="183" t="b">
        <v>0</v>
      </c>
      <c r="M19" s="183" t="b">
        <v>1</v>
      </c>
      <c r="N19" s="184" t="s">
        <v>5</v>
      </c>
      <c r="P19" s="183"/>
      <c r="Q19" s="183"/>
      <c r="R19" s="183"/>
      <c r="S19" s="183"/>
      <c r="T19" s="183"/>
      <c r="V19" s="183"/>
      <c r="W19" s="183"/>
      <c r="X19" s="183"/>
      <c r="Y19" s="183"/>
      <c r="Z19" s="183"/>
      <c r="AB19" s="183"/>
      <c r="AC19" s="183"/>
      <c r="AD19" s="183"/>
      <c r="AE19" s="183"/>
      <c r="AF19" s="183"/>
    </row>
    <row r="20" spans="2:33">
      <c r="B20" s="133" t="s">
        <v>230</v>
      </c>
      <c r="E20" s="155"/>
      <c r="F20" s="155"/>
      <c r="G20" s="155"/>
      <c r="H20" s="155"/>
      <c r="I20" s="155"/>
      <c r="J20" s="133" t="s">
        <v>253</v>
      </c>
      <c r="K20" s="155"/>
      <c r="L20" s="183" t="b">
        <v>0</v>
      </c>
      <c r="M20" s="183" t="b">
        <v>1</v>
      </c>
      <c r="N20" s="184">
        <v>1</v>
      </c>
      <c r="P20" s="183"/>
      <c r="Q20" s="183"/>
      <c r="R20" s="183"/>
      <c r="S20" s="183"/>
      <c r="T20" s="183"/>
      <c r="V20" s="183"/>
      <c r="W20" s="183"/>
      <c r="X20" s="183"/>
      <c r="Y20" s="183"/>
      <c r="Z20" s="183"/>
      <c r="AB20" s="183"/>
      <c r="AC20" s="183"/>
      <c r="AD20" s="183"/>
      <c r="AE20" s="183"/>
      <c r="AF20" s="183"/>
    </row>
    <row r="21" spans="2:33">
      <c r="B21" s="133" t="s">
        <v>229</v>
      </c>
      <c r="E21" s="155"/>
      <c r="F21" s="155"/>
      <c r="G21" s="155"/>
      <c r="H21" s="155"/>
      <c r="I21" s="155"/>
      <c r="J21" s="133" t="s">
        <v>252</v>
      </c>
      <c r="K21" s="155"/>
      <c r="L21" s="183" t="b">
        <v>0</v>
      </c>
      <c r="M21" s="183" t="b">
        <v>0</v>
      </c>
      <c r="N21" s="184">
        <v>0</v>
      </c>
      <c r="P21" s="183"/>
      <c r="Q21" s="183"/>
      <c r="R21" s="183"/>
      <c r="S21" s="183"/>
      <c r="T21" s="183"/>
      <c r="V21" s="183"/>
      <c r="W21" s="183"/>
      <c r="X21" s="183"/>
      <c r="Y21" s="183"/>
      <c r="Z21" s="183"/>
      <c r="AB21" s="183"/>
      <c r="AC21" s="183"/>
      <c r="AD21" s="183"/>
      <c r="AE21" s="183"/>
      <c r="AF21" s="183"/>
    </row>
    <row r="22" spans="2:33">
      <c r="J22" s="133"/>
      <c r="K22" s="182"/>
      <c r="L22" s="182"/>
      <c r="M22" s="182"/>
      <c r="N22" s="182"/>
      <c r="P22" s="183"/>
      <c r="Q22" s="183"/>
      <c r="R22" s="183"/>
      <c r="S22" s="183"/>
      <c r="T22" s="183"/>
      <c r="V22" s="183"/>
      <c r="W22" s="183"/>
      <c r="X22" s="183"/>
      <c r="Y22" s="183"/>
      <c r="Z22" s="183"/>
      <c r="AB22" s="183"/>
      <c r="AC22" s="183"/>
      <c r="AD22" s="183"/>
      <c r="AE22" s="183"/>
      <c r="AF22" s="183"/>
    </row>
    <row r="23" spans="2:33">
      <c r="B23" s="133" t="s">
        <v>234</v>
      </c>
      <c r="J23" s="133"/>
      <c r="K23" s="182"/>
      <c r="L23" s="182"/>
      <c r="M23" s="182"/>
      <c r="N23" s="182"/>
      <c r="P23" s="183"/>
      <c r="Q23" s="183"/>
      <c r="R23" s="183"/>
      <c r="S23" s="183"/>
      <c r="T23" s="183"/>
      <c r="V23" s="183"/>
      <c r="W23" s="183"/>
      <c r="X23" s="183"/>
      <c r="Y23" s="183"/>
      <c r="Z23" s="183"/>
      <c r="AB23" s="183"/>
      <c r="AC23" s="183"/>
      <c r="AD23" s="183"/>
      <c r="AE23" s="183"/>
      <c r="AF23" s="183"/>
    </row>
    <row r="24" spans="2:33">
      <c r="C24" s="133" t="s">
        <v>251</v>
      </c>
      <c r="E24" s="155"/>
      <c r="F24" s="155"/>
      <c r="G24" s="155"/>
      <c r="H24" s="155"/>
      <c r="I24" s="155"/>
      <c r="J24" s="133" t="s">
        <v>250</v>
      </c>
      <c r="K24" s="155"/>
      <c r="L24" s="183" t="b">
        <v>0</v>
      </c>
      <c r="M24" s="183" t="b">
        <v>1</v>
      </c>
      <c r="N24" s="34">
        <v>0.2</v>
      </c>
      <c r="P24" s="183"/>
      <c r="Q24" s="183"/>
      <c r="R24" s="183"/>
      <c r="S24" s="183"/>
      <c r="T24" s="183"/>
      <c r="V24" s="183"/>
      <c r="W24" s="183"/>
      <c r="X24" s="183"/>
      <c r="Y24" s="183"/>
      <c r="Z24" s="183"/>
      <c r="AB24" s="183"/>
      <c r="AC24" s="183"/>
      <c r="AD24" s="183"/>
      <c r="AE24" s="183"/>
      <c r="AF24" s="183"/>
    </row>
    <row r="25" spans="2:33">
      <c r="C25" s="133" t="s">
        <v>233</v>
      </c>
      <c r="E25" s="155"/>
      <c r="F25" s="155"/>
      <c r="G25" s="155"/>
      <c r="H25" s="155"/>
      <c r="I25" s="155"/>
      <c r="J25" s="133" t="s">
        <v>249</v>
      </c>
      <c r="K25" s="155"/>
      <c r="L25" s="183" t="b">
        <v>0</v>
      </c>
      <c r="M25" s="183" t="b">
        <v>1</v>
      </c>
      <c r="N25" s="184">
        <v>15</v>
      </c>
      <c r="P25" s="183"/>
      <c r="Q25" s="183"/>
      <c r="R25" s="183"/>
      <c r="S25" s="183"/>
      <c r="T25" s="183"/>
      <c r="V25" s="183"/>
      <c r="W25" s="183"/>
      <c r="X25" s="183"/>
      <c r="Y25" s="183"/>
      <c r="Z25" s="183"/>
      <c r="AB25" s="183"/>
      <c r="AC25" s="183"/>
      <c r="AD25" s="183"/>
      <c r="AE25" s="183"/>
      <c r="AF25" s="183"/>
    </row>
    <row r="26" spans="2:33">
      <c r="J26" s="133"/>
      <c r="K26" s="182"/>
      <c r="L26" s="182"/>
      <c r="M26" s="182"/>
      <c r="N26" s="182"/>
      <c r="P26" s="183"/>
      <c r="Q26" s="183"/>
      <c r="R26" s="183"/>
      <c r="S26" s="183"/>
      <c r="T26" s="183"/>
      <c r="V26" s="183"/>
      <c r="W26" s="183"/>
      <c r="X26" s="183"/>
      <c r="Y26" s="183"/>
      <c r="Z26" s="183"/>
      <c r="AB26" s="183"/>
      <c r="AC26" s="183"/>
      <c r="AD26" s="183"/>
      <c r="AE26" s="183"/>
      <c r="AF26" s="183"/>
    </row>
    <row r="27" spans="2:33">
      <c r="B27" s="133" t="s">
        <v>170</v>
      </c>
      <c r="J27" s="133"/>
      <c r="K27" s="182"/>
      <c r="L27" s="182"/>
      <c r="M27" s="182"/>
      <c r="N27" s="182"/>
      <c r="P27" s="183"/>
      <c r="Q27" s="183"/>
      <c r="R27" s="183"/>
      <c r="S27" s="183"/>
      <c r="T27" s="183"/>
      <c r="V27" s="183"/>
      <c r="W27" s="183"/>
      <c r="X27" s="183"/>
      <c r="Y27" s="183"/>
      <c r="Z27" s="183"/>
      <c r="AB27" s="183"/>
      <c r="AC27" s="183"/>
      <c r="AD27" s="183"/>
      <c r="AE27" s="183"/>
      <c r="AF27" s="183"/>
    </row>
    <row r="28" spans="2:33">
      <c r="C28" s="133" t="s">
        <v>248</v>
      </c>
      <c r="E28" s="155"/>
      <c r="F28" s="155"/>
      <c r="G28" s="155"/>
      <c r="H28" s="155"/>
      <c r="I28" s="155"/>
      <c r="J28" s="133" t="s">
        <v>247</v>
      </c>
      <c r="K28" s="155"/>
      <c r="L28" s="183" t="b">
        <v>1</v>
      </c>
      <c r="M28" s="183" t="b">
        <v>1</v>
      </c>
      <c r="N28" s="184">
        <v>0</v>
      </c>
      <c r="P28" s="183"/>
      <c r="Q28" s="183"/>
      <c r="R28" s="183"/>
      <c r="S28" s="183"/>
      <c r="T28" s="183"/>
      <c r="V28" s="183"/>
      <c r="W28" s="183"/>
      <c r="X28" s="183"/>
      <c r="Y28" s="183"/>
      <c r="Z28" s="183"/>
      <c r="AB28" s="183"/>
      <c r="AC28" s="183"/>
      <c r="AD28" s="183"/>
      <c r="AE28" s="183"/>
      <c r="AF28" s="183"/>
    </row>
    <row r="29" spans="2:33">
      <c r="C29" s="133" t="s">
        <v>246</v>
      </c>
      <c r="E29" s="155"/>
      <c r="F29" s="155"/>
      <c r="G29" s="155"/>
      <c r="H29" s="155"/>
      <c r="I29" s="155"/>
      <c r="J29" s="133" t="s">
        <v>245</v>
      </c>
      <c r="K29" s="155"/>
      <c r="L29" s="183" t="b">
        <v>1</v>
      </c>
      <c r="M29" s="183" t="b">
        <v>1</v>
      </c>
      <c r="N29" s="184">
        <v>0</v>
      </c>
      <c r="P29" s="183"/>
      <c r="Q29" s="183"/>
      <c r="R29" s="183"/>
      <c r="S29" s="183"/>
      <c r="T29" s="183"/>
      <c r="V29" s="183"/>
      <c r="W29" s="183"/>
      <c r="X29" s="183"/>
      <c r="Y29" s="183"/>
      <c r="Z29" s="183"/>
      <c r="AB29" s="183"/>
      <c r="AC29" s="183"/>
      <c r="AD29" s="183"/>
      <c r="AE29" s="183"/>
      <c r="AF29" s="183"/>
    </row>
    <row r="30" spans="2:33">
      <c r="C30" s="133" t="s">
        <v>244</v>
      </c>
      <c r="E30" s="155"/>
      <c r="F30" s="155"/>
      <c r="G30" s="155"/>
      <c r="H30" s="155"/>
      <c r="I30" s="155"/>
      <c r="J30" s="133" t="s">
        <v>243</v>
      </c>
      <c r="K30" s="155"/>
      <c r="L30" s="183" t="b">
        <v>1</v>
      </c>
      <c r="M30" s="183" t="b">
        <v>1</v>
      </c>
      <c r="N30" s="184">
        <v>0</v>
      </c>
      <c r="P30" s="183"/>
      <c r="Q30" s="183"/>
      <c r="R30" s="183"/>
      <c r="S30" s="183"/>
      <c r="T30" s="183"/>
      <c r="V30" s="183"/>
      <c r="W30" s="183"/>
      <c r="X30" s="183"/>
      <c r="Y30" s="183"/>
      <c r="Z30" s="183"/>
      <c r="AB30" s="183"/>
      <c r="AC30" s="183"/>
      <c r="AD30" s="183"/>
      <c r="AE30" s="183"/>
      <c r="AF30" s="183"/>
    </row>
    <row r="31" spans="2:33">
      <c r="C31" s="133" t="s">
        <v>242</v>
      </c>
      <c r="E31" s="155"/>
      <c r="F31" s="155"/>
      <c r="G31" s="155"/>
      <c r="H31" s="155"/>
      <c r="I31" s="155"/>
      <c r="J31" s="133" t="s">
        <v>241</v>
      </c>
      <c r="K31" s="155"/>
      <c r="L31" s="183" t="b">
        <v>1</v>
      </c>
      <c r="M31" s="183" t="b">
        <v>1</v>
      </c>
      <c r="N31" s="184">
        <v>0</v>
      </c>
      <c r="P31" s="183"/>
      <c r="Q31" s="183"/>
      <c r="R31" s="183"/>
      <c r="S31" s="183"/>
      <c r="T31" s="183"/>
      <c r="V31" s="183"/>
      <c r="W31" s="183"/>
      <c r="X31" s="183"/>
      <c r="Y31" s="183"/>
      <c r="Z31" s="183"/>
      <c r="AB31" s="183"/>
      <c r="AC31" s="183"/>
      <c r="AD31" s="183"/>
      <c r="AE31" s="183"/>
      <c r="AF31" s="183"/>
    </row>
    <row r="32" spans="2:33">
      <c r="C32" s="133" t="s">
        <v>240</v>
      </c>
      <c r="E32" s="155"/>
      <c r="F32" s="155"/>
      <c r="G32" s="155"/>
      <c r="H32" s="155"/>
      <c r="I32" s="155"/>
      <c r="J32" s="133" t="s">
        <v>239</v>
      </c>
      <c r="K32" s="155"/>
      <c r="L32" s="183" t="b">
        <v>1</v>
      </c>
      <c r="M32" s="183" t="b">
        <v>1</v>
      </c>
      <c r="N32" s="184">
        <v>0</v>
      </c>
      <c r="P32" s="183"/>
      <c r="Q32" s="183"/>
      <c r="R32" s="183"/>
      <c r="S32" s="183"/>
      <c r="T32" s="183"/>
      <c r="V32" s="183"/>
      <c r="W32" s="183"/>
      <c r="X32" s="183"/>
      <c r="Y32" s="183"/>
      <c r="Z32" s="183"/>
      <c r="AB32" s="183"/>
      <c r="AC32" s="183"/>
      <c r="AD32" s="183"/>
      <c r="AE32" s="183"/>
      <c r="AF32" s="183"/>
    </row>
    <row r="33" spans="1:32">
      <c r="J33" s="133"/>
      <c r="K33" s="182"/>
      <c r="L33" s="182"/>
      <c r="M33" s="182"/>
      <c r="N33" s="182"/>
      <c r="P33" s="183"/>
      <c r="Q33" s="183"/>
      <c r="R33" s="183"/>
      <c r="S33" s="183"/>
      <c r="T33" s="183"/>
      <c r="V33" s="183"/>
      <c r="W33" s="183"/>
      <c r="X33" s="183"/>
      <c r="Y33" s="183"/>
      <c r="Z33" s="183"/>
      <c r="AB33" s="183"/>
      <c r="AC33" s="183"/>
      <c r="AD33" s="183"/>
      <c r="AE33" s="183"/>
      <c r="AF33" s="183"/>
    </row>
    <row r="34" spans="1:32">
      <c r="J34" s="133"/>
      <c r="K34" s="182"/>
      <c r="L34" s="182"/>
      <c r="M34" s="182"/>
      <c r="N34" s="182"/>
      <c r="P34" s="183"/>
      <c r="Q34" s="183"/>
      <c r="R34" s="183"/>
      <c r="S34" s="183"/>
      <c r="T34" s="183"/>
      <c r="V34" s="183"/>
      <c r="W34" s="183"/>
      <c r="X34" s="183"/>
      <c r="Y34" s="183"/>
      <c r="Z34" s="183"/>
      <c r="AB34" s="183"/>
      <c r="AC34" s="183"/>
      <c r="AD34" s="183"/>
      <c r="AE34" s="183"/>
      <c r="AF34" s="183"/>
    </row>
    <row r="35" spans="1:32">
      <c r="J35" s="133"/>
      <c r="K35" s="182"/>
      <c r="L35" s="182"/>
      <c r="M35" s="182"/>
      <c r="N35" s="182"/>
      <c r="P35" s="183"/>
      <c r="Q35" s="183"/>
      <c r="R35" s="183"/>
      <c r="S35" s="183"/>
      <c r="T35" s="183"/>
      <c r="V35" s="183"/>
      <c r="W35" s="183"/>
      <c r="X35" s="183"/>
      <c r="Y35" s="183"/>
      <c r="Z35" s="183"/>
      <c r="AB35" s="183"/>
      <c r="AC35" s="183"/>
      <c r="AD35" s="183"/>
      <c r="AE35" s="183"/>
      <c r="AF35" s="183"/>
    </row>
    <row r="36" spans="1:32">
      <c r="J36" s="133"/>
      <c r="K36" s="182"/>
      <c r="L36" s="182"/>
      <c r="M36" s="182"/>
      <c r="N36" s="182"/>
      <c r="P36" s="183"/>
      <c r="Q36" s="183"/>
      <c r="R36" s="183"/>
      <c r="S36" s="183"/>
      <c r="T36" s="183"/>
      <c r="V36" s="183"/>
      <c r="W36" s="183"/>
      <c r="X36" s="183"/>
      <c r="Y36" s="183"/>
      <c r="Z36" s="183"/>
      <c r="AB36" s="183"/>
      <c r="AC36" s="183"/>
      <c r="AD36" s="183"/>
      <c r="AE36" s="183"/>
      <c r="AF36" s="183"/>
    </row>
    <row r="37" spans="1:32">
      <c r="J37" s="133"/>
      <c r="K37" s="182"/>
      <c r="L37" s="182"/>
      <c r="M37" s="182"/>
      <c r="N37" s="182"/>
      <c r="P37" s="183"/>
      <c r="Q37" s="183"/>
      <c r="R37" s="183"/>
      <c r="S37" s="183"/>
      <c r="T37" s="183"/>
      <c r="V37" s="183"/>
      <c r="W37" s="183"/>
      <c r="X37" s="183"/>
      <c r="Y37" s="183"/>
      <c r="Z37" s="183"/>
      <c r="AB37" s="183"/>
      <c r="AC37" s="183"/>
      <c r="AD37" s="183"/>
      <c r="AE37" s="183"/>
      <c r="AF37" s="183"/>
    </row>
    <row r="38" spans="1:32">
      <c r="J38" s="133"/>
      <c r="K38" s="182"/>
      <c r="L38" s="182"/>
      <c r="M38" s="182"/>
      <c r="N38" s="182"/>
      <c r="P38" s="183"/>
      <c r="Q38" s="183"/>
      <c r="R38" s="183"/>
      <c r="S38" s="183"/>
      <c r="T38" s="183"/>
      <c r="V38" s="183"/>
      <c r="W38" s="183"/>
      <c r="X38" s="183"/>
      <c r="Y38" s="183"/>
      <c r="Z38" s="183"/>
      <c r="AB38" s="183"/>
      <c r="AC38" s="183"/>
      <c r="AD38" s="183"/>
      <c r="AE38" s="183"/>
      <c r="AF38" s="183"/>
    </row>
    <row r="39" spans="1:32" s="144" customFormat="1">
      <c r="A39" s="145" t="s">
        <v>236</v>
      </c>
      <c r="B39" s="145"/>
      <c r="E39" s="146"/>
    </row>
    <row r="40" spans="1:32">
      <c r="E40" s="181" t="s">
        <v>238</v>
      </c>
    </row>
  </sheetData>
  <conditionalFormatting sqref="L18:L23 L33:L38 L26:L27">
    <cfRule type="cellIs" dxfId="9" priority="10" operator="equal">
      <formula>TRUE</formula>
    </cfRule>
  </conditionalFormatting>
  <conditionalFormatting sqref="M33:M38 M26:M27 M19:M23">
    <cfRule type="cellIs" dxfId="8" priority="9" operator="equal">
      <formula>TRUE</formula>
    </cfRule>
  </conditionalFormatting>
  <conditionalFormatting sqref="M18">
    <cfRule type="cellIs" dxfId="7" priority="8" operator="equal">
      <formula>TRUE</formula>
    </cfRule>
  </conditionalFormatting>
  <conditionalFormatting sqref="L28:M32">
    <cfRule type="cellIs" dxfId="6" priority="7" operator="equal">
      <formula>TRUE</formula>
    </cfRule>
  </conditionalFormatting>
  <conditionalFormatting sqref="L25">
    <cfRule type="cellIs" dxfId="5" priority="6" operator="equal">
      <formula>TRUE</formula>
    </cfRule>
  </conditionalFormatting>
  <conditionalFormatting sqref="M25">
    <cfRule type="cellIs" dxfId="4" priority="5" operator="equal">
      <formula>TRUE</formula>
    </cfRule>
  </conditionalFormatting>
  <conditionalFormatting sqref="L24">
    <cfRule type="cellIs" dxfId="3" priority="4" operator="equal">
      <formula>TRUE</formula>
    </cfRule>
  </conditionalFormatting>
  <conditionalFormatting sqref="M24">
    <cfRule type="cellIs" dxfId="2" priority="3" operator="equal">
      <formula>TRUE</formula>
    </cfRule>
  </conditionalFormatting>
  <conditionalFormatting sqref="K19:K21 K24:K25 K28:K32 E19:I21 E24:I25 E28:I32">
    <cfRule type="expression" dxfId="1" priority="2">
      <formula>decSimulationType="Hybrid"</formula>
    </cfRule>
  </conditionalFormatting>
  <conditionalFormatting sqref="N19:N21 N24:N25 N28:N32">
    <cfRule type="expression" dxfId="0" priority="1">
      <formula>decSimulationType="Hybrid"</formula>
    </cfRule>
  </conditionalFormatting>
  <dataValidations count="1">
    <dataValidation type="list" allowBlank="1" showInputMessage="1" showErrorMessage="1" sqref="E14">
      <formula1>"BA1,BA2,Hybrid"</formula1>
    </dataValidation>
  </dataValidations>
  <hyperlinks>
    <hyperlink ref="E3" r:id="rId1"/>
  </hyperlinks>
  <pageMargins left="0.7" right="0.7" top="0.75" bottom="0.75" header="0.3" footer="0.3"/>
  <pageSetup paperSize="9"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C000"/>
  </sheetPr>
  <dimension ref="A1:Q92"/>
  <sheetViews>
    <sheetView topLeftCell="B31" workbookViewId="0">
      <selection activeCell="E52" sqref="E52"/>
    </sheetView>
  </sheetViews>
  <sheetFormatPr defaultColWidth="9.33203125" defaultRowHeight="10"/>
  <cols>
    <col min="1" max="1" width="2.77734375" style="197" customWidth="1"/>
    <col min="2" max="2" width="18.77734375" style="197" customWidth="1"/>
    <col min="3" max="3" width="17.77734375" style="197" customWidth="1"/>
    <col min="4" max="4" width="12.77734375" style="197" customWidth="1"/>
    <col min="5" max="8" width="13" style="181" customWidth="1"/>
    <col min="9" max="10" width="13.109375" style="181" customWidth="1"/>
    <col min="11" max="12" width="13.6640625" style="181" customWidth="1"/>
    <col min="13" max="13" width="13.6640625" style="197" customWidth="1"/>
    <col min="14" max="16384" width="9.33203125" style="197"/>
  </cols>
  <sheetData>
    <row r="1" spans="1:14" s="193" customFormat="1" ht="13">
      <c r="A1" s="193" t="str">
        <f>nmLOB1 &amp; " Market Model"</f>
        <v>Riverside Market Model</v>
      </c>
      <c r="E1" s="194" t="s">
        <v>162</v>
      </c>
      <c r="F1" s="194" t="s">
        <v>161</v>
      </c>
      <c r="G1" s="194" t="s">
        <v>160</v>
      </c>
      <c r="H1" s="195"/>
      <c r="I1" s="195"/>
      <c r="J1" s="195"/>
      <c r="K1" s="195"/>
      <c r="L1" s="195"/>
    </row>
    <row r="3" spans="1:14" s="146" customFormat="1">
      <c r="A3" s="147" t="str">
        <f>nmLOB1</f>
        <v>Riverside</v>
      </c>
      <c r="C3" s="147"/>
    </row>
    <row r="4" spans="1:14">
      <c r="A4" s="196"/>
      <c r="D4" s="181" t="s">
        <v>410</v>
      </c>
      <c r="E4" s="181" t="s">
        <v>411</v>
      </c>
      <c r="F4" s="181" t="s">
        <v>412</v>
      </c>
      <c r="G4" s="181" t="s">
        <v>413</v>
      </c>
      <c r="H4" s="181" t="s">
        <v>416</v>
      </c>
    </row>
    <row r="5" spans="1:14">
      <c r="A5" s="196"/>
      <c r="B5" s="197" t="s">
        <v>417</v>
      </c>
      <c r="D5" s="198"/>
      <c r="E5" s="198"/>
      <c r="F5" s="198"/>
      <c r="G5" s="198"/>
      <c r="H5" s="198"/>
    </row>
    <row r="6" spans="1:14">
      <c r="A6" s="196"/>
      <c r="B6" s="197" t="str">
        <f>nmLOB1 &amp; " Volume"</f>
        <v>Riverside Volume</v>
      </c>
      <c r="D6" s="199">
        <f t="shared" ref="D6:H6" si="0">dataMMLOB1UnitsNew*(1+D5)</f>
        <v>7387.875</v>
      </c>
      <c r="E6" s="199">
        <f t="shared" si="0"/>
        <v>7462.5</v>
      </c>
      <c r="F6" s="199">
        <f t="shared" si="0"/>
        <v>7500</v>
      </c>
      <c r="G6" s="199">
        <f t="shared" si="0"/>
        <v>7537.4999999999991</v>
      </c>
      <c r="H6" s="199">
        <f t="shared" si="0"/>
        <v>7612.8749999999991</v>
      </c>
      <c r="I6" s="199"/>
    </row>
    <row r="7" spans="1:14">
      <c r="A7" s="196"/>
      <c r="C7" s="199"/>
      <c r="D7" s="199"/>
      <c r="E7" s="199"/>
      <c r="F7" s="197"/>
      <c r="G7" s="199"/>
      <c r="H7" s="199"/>
      <c r="I7" s="199"/>
    </row>
    <row r="8" spans="1:14">
      <c r="A8" s="196"/>
      <c r="D8" s="199" t="s">
        <v>418</v>
      </c>
      <c r="E8" s="199"/>
      <c r="F8" s="199"/>
      <c r="G8" s="199"/>
      <c r="H8" s="199"/>
      <c r="I8" s="197"/>
      <c r="J8" s="199" t="s">
        <v>418</v>
      </c>
    </row>
    <row r="9" spans="1:14">
      <c r="A9" s="196"/>
      <c r="C9" s="197" t="s">
        <v>419</v>
      </c>
      <c r="D9" s="199">
        <f>INDEX($D6:$H6,4)</f>
        <v>7537.4999999999991</v>
      </c>
      <c r="E9" s="199"/>
      <c r="F9" s="199"/>
      <c r="G9" s="199"/>
      <c r="H9" s="199"/>
      <c r="I9" s="197" t="s">
        <v>419</v>
      </c>
      <c r="J9" s="199">
        <f>INDEX($D6:$H6,5)</f>
        <v>7612.8749999999991</v>
      </c>
    </row>
    <row r="10" spans="1:14">
      <c r="A10" s="196"/>
      <c r="C10" s="197" t="s">
        <v>420</v>
      </c>
      <c r="D10" s="199">
        <f>D9</f>
        <v>7537.4999999999991</v>
      </c>
      <c r="E10" s="199"/>
      <c r="F10" s="199"/>
      <c r="G10" s="199"/>
      <c r="H10" s="199"/>
      <c r="I10" s="197" t="s">
        <v>420</v>
      </c>
      <c r="J10" s="199">
        <f>J9</f>
        <v>7612.8749999999991</v>
      </c>
    </row>
    <row r="11" spans="1:14">
      <c r="A11" s="196"/>
      <c r="C11" s="197" t="s">
        <v>421</v>
      </c>
      <c r="D11" s="200"/>
      <c r="E11" s="199"/>
      <c r="F11" s="199"/>
      <c r="G11" s="199"/>
      <c r="H11" s="199"/>
      <c r="I11" s="197" t="s">
        <v>421</v>
      </c>
      <c r="J11" s="200"/>
    </row>
    <row r="12" spans="1:14">
      <c r="A12" s="196"/>
      <c r="C12" s="197" t="s">
        <v>422</v>
      </c>
      <c r="D12" s="201">
        <f>D10</f>
        <v>7537.4999999999991</v>
      </c>
      <c r="E12" s="199"/>
      <c r="F12" s="199"/>
      <c r="G12" s="199"/>
      <c r="H12" s="199"/>
      <c r="I12" s="197" t="s">
        <v>422</v>
      </c>
      <c r="J12" s="201">
        <f>J10</f>
        <v>7612.8749999999991</v>
      </c>
    </row>
    <row r="13" spans="1:14">
      <c r="A13" s="196"/>
      <c r="I13" s="199"/>
    </row>
    <row r="14" spans="1:14">
      <c r="A14" s="196"/>
      <c r="I14" s="199"/>
    </row>
    <row r="15" spans="1:14">
      <c r="A15" s="196"/>
      <c r="I15" s="199"/>
    </row>
    <row r="16" spans="1:14">
      <c r="A16" s="196"/>
      <c r="B16" s="197" t="s">
        <v>423</v>
      </c>
      <c r="E16" s="202" t="b">
        <v>1</v>
      </c>
      <c r="F16" s="202" t="b">
        <v>1</v>
      </c>
      <c r="G16" s="202" t="b">
        <v>1</v>
      </c>
      <c r="H16" s="183">
        <f>COUNTIF(E16:G16,TRUE)</f>
        <v>3</v>
      </c>
      <c r="I16" s="197"/>
      <c r="J16" s="197"/>
      <c r="K16" s="202" t="b">
        <v>1</v>
      </c>
      <c r="L16" s="202" t="b">
        <v>1</v>
      </c>
      <c r="M16" s="202" t="b">
        <v>1</v>
      </c>
      <c r="N16" s="183">
        <f>COUNTIF(K16:M16,TRUE)</f>
        <v>3</v>
      </c>
    </row>
    <row r="17" spans="1:17">
      <c r="A17" s="196"/>
      <c r="B17" s="197" t="s">
        <v>424</v>
      </c>
      <c r="C17" s="181" t="s">
        <v>425</v>
      </c>
      <c r="D17" s="181" t="s">
        <v>426</v>
      </c>
      <c r="H17" s="181" t="s">
        <v>427</v>
      </c>
      <c r="I17" s="199"/>
    </row>
    <row r="18" spans="1:17">
      <c r="A18" s="196">
        <v>1</v>
      </c>
      <c r="B18" s="203" t="str">
        <f t="shared" ref="B18:B24" si="1">INDEX(tblMMLOB1Drivers,$A18,1)</f>
        <v>Referral Volume</v>
      </c>
      <c r="C18" s="202">
        <f t="shared" ref="C18:C24" si="2">INDEX(tblMMLOB1Drivers,$A18,3)</f>
        <v>10</v>
      </c>
      <c r="D18" s="204">
        <v>1</v>
      </c>
      <c r="E18" s="207">
        <f>paramLOB1ReferralVolume</f>
        <v>1</v>
      </c>
      <c r="F18" s="207">
        <f>paramLOB1ReferralVolume</f>
        <v>1.06</v>
      </c>
      <c r="G18" s="207">
        <f>paramLOB1ReferralVolume</f>
        <v>0.95</v>
      </c>
      <c r="H18" s="183"/>
      <c r="I18" s="202">
        <f t="shared" ref="I18:I24" si="3">INDEX(tblMMLOB1Drivers,$A18,3)</f>
        <v>10</v>
      </c>
      <c r="J18" s="204">
        <v>1</v>
      </c>
      <c r="K18" s="207">
        <f>paramR2LOB1ReferralVolume</f>
        <v>1</v>
      </c>
      <c r="L18" s="207">
        <f>paramR2LOB1ReferralVolume</f>
        <v>1.06</v>
      </c>
      <c r="M18" s="207">
        <f>paramR2LOB1ReferralVolume</f>
        <v>1.01</v>
      </c>
      <c r="N18" s="183"/>
      <c r="Q18" s="206"/>
    </row>
    <row r="19" spans="1:17">
      <c r="A19" s="196"/>
      <c r="B19" s="648" t="s">
        <v>7599</v>
      </c>
      <c r="C19" s="647">
        <v>6</v>
      </c>
      <c r="D19" s="649"/>
      <c r="E19" s="650">
        <f>IF($E$16=TRUE,E18,0)</f>
        <v>1</v>
      </c>
      <c r="F19" s="650">
        <f t="shared" ref="F19:G19" si="4">IF($E$16=TRUE,F18,0)</f>
        <v>1.06</v>
      </c>
      <c r="G19" s="650">
        <f t="shared" si="4"/>
        <v>0.95</v>
      </c>
      <c r="H19" s="183">
        <f>IF($H$16=0,0,SUM(E19:G19)/$H$16)</f>
        <v>1.0033333333333332</v>
      </c>
      <c r="I19" s="647">
        <v>6</v>
      </c>
      <c r="J19" s="649"/>
      <c r="K19" s="650">
        <f>IF($K$16=TRUE,K18,0)</f>
        <v>1</v>
      </c>
      <c r="L19" s="650">
        <f t="shared" ref="L19:M19" si="5">IF($K$16=TRUE,L18,0)</f>
        <v>1.06</v>
      </c>
      <c r="M19" s="650">
        <f t="shared" si="5"/>
        <v>1.01</v>
      </c>
      <c r="N19" s="183">
        <f>IF($H$16=0,0,SUM(K19:M19)/$H$16)</f>
        <v>1.0233333333333334</v>
      </c>
      <c r="Q19" s="206"/>
    </row>
    <row r="20" spans="1:17">
      <c r="A20" s="196"/>
      <c r="B20" s="648" t="s">
        <v>7598</v>
      </c>
      <c r="C20" s="651">
        <f>STDEVP(E19:G19)*C19+(STDEVP(E19:G19)=0)</f>
        <v>0.26981475126464111</v>
      </c>
      <c r="D20" s="649"/>
      <c r="E20" s="650">
        <f>IF(E19=0,0,(NORMDIST(E18,$H19,$C20,TRUE)))*($E$16=TRUE)</f>
        <v>0.49507153048947461</v>
      </c>
      <c r="F20" s="650">
        <f t="shared" ref="F20:G20" si="6">IF(F19=0,0,(NORMDIST(F18,$H19,$C20,TRUE)))*($E$16=TRUE)</f>
        <v>0.58317421794832369</v>
      </c>
      <c r="G20" s="650">
        <f t="shared" si="6"/>
        <v>0.42165300690973051</v>
      </c>
      <c r="H20" s="183"/>
      <c r="I20" s="651">
        <f>STDEVP(K19:M19)*I19+(STDEVP(K19:M19)=0)</f>
        <v>0.15748015748023636</v>
      </c>
      <c r="J20" s="649"/>
      <c r="K20" s="650">
        <f>IF(K19=0,0,(NORMDIST(K18,$N19,$I20,TRUE)))*($K$16=TRUE)</f>
        <v>0.44110556031723452</v>
      </c>
      <c r="L20" s="650">
        <f t="shared" ref="L20:M20" si="7">IF(L19=0,0,(NORMDIST(L18,$N19,$I20,TRUE)))*($K$16=TRUE)</f>
        <v>0.59205467645529875</v>
      </c>
      <c r="M20" s="650">
        <f t="shared" si="7"/>
        <v>0.46626316480752367</v>
      </c>
      <c r="N20" s="183"/>
      <c r="Q20" s="206"/>
    </row>
    <row r="21" spans="1:17">
      <c r="A21" s="196">
        <v>2</v>
      </c>
      <c r="B21" s="203" t="str">
        <f t="shared" si="1"/>
        <v>Clinical Quality</v>
      </c>
      <c r="C21" s="202">
        <f t="shared" si="2"/>
        <v>6</v>
      </c>
      <c r="D21" s="204">
        <f t="shared" ref="D21:D24" si="8">INDEX(tblMMLOB1Drivers,$A21,2)</f>
        <v>1</v>
      </c>
      <c r="E21" s="207">
        <f>cbalLOB1Stars</f>
        <v>0.78900000000000003</v>
      </c>
      <c r="F21" s="207">
        <f>cbalLOB1Stars</f>
        <v>0.82020000000000004</v>
      </c>
      <c r="G21" s="207">
        <f>cbalLOB1Stars</f>
        <v>0.76490000000000002</v>
      </c>
      <c r="H21" s="183"/>
      <c r="I21" s="202">
        <f t="shared" si="3"/>
        <v>6</v>
      </c>
      <c r="J21" s="204">
        <f t="shared" ref="J21:J24" si="9">INDEX(tblMMLOB1Drivers,$A21,2)</f>
        <v>1</v>
      </c>
      <c r="K21" s="207">
        <f>cbalR2LOB1Stars</f>
        <v>0.77497922131414743</v>
      </c>
      <c r="L21" s="207">
        <f>cbalR2LOB1Stars</f>
        <v>0.80089999999999995</v>
      </c>
      <c r="M21" s="207">
        <f>cbalR2LOB1Stars</f>
        <v>0.74979999999999991</v>
      </c>
      <c r="N21" s="183"/>
      <c r="Q21" s="206"/>
    </row>
    <row r="22" spans="1:17">
      <c r="A22" s="196"/>
      <c r="B22" s="648" t="s">
        <v>7599</v>
      </c>
      <c r="C22" s="647">
        <v>6</v>
      </c>
      <c r="D22" s="649"/>
      <c r="E22" s="650">
        <f>IF($E$16=TRUE,E21,0)</f>
        <v>0.78900000000000003</v>
      </c>
      <c r="F22" s="650">
        <f t="shared" ref="F22:G22" si="10">IF($E$16=TRUE,F21,0)</f>
        <v>0.82020000000000004</v>
      </c>
      <c r="G22" s="650">
        <f t="shared" si="10"/>
        <v>0.76490000000000002</v>
      </c>
      <c r="H22" s="183">
        <f>IF($H$16=0,0,SUM(E22:G22)/$H$16)</f>
        <v>0.79136666666666666</v>
      </c>
      <c r="I22" s="647">
        <v>6</v>
      </c>
      <c r="J22" s="649"/>
      <c r="K22" s="650">
        <f>IF($K$16=TRUE,K21,0)</f>
        <v>0.77497922131414743</v>
      </c>
      <c r="L22" s="650">
        <f t="shared" ref="L22:M22" si="11">IF($E$16=TRUE,L21,0)</f>
        <v>0.80089999999999995</v>
      </c>
      <c r="M22" s="650">
        <f t="shared" si="11"/>
        <v>0.74979999999999991</v>
      </c>
      <c r="N22" s="183">
        <f>IF($H$16=0,0,SUM(K22:M22)/$H$16)</f>
        <v>0.7752264071047158</v>
      </c>
      <c r="Q22" s="206"/>
    </row>
    <row r="23" spans="1:17">
      <c r="A23" s="196"/>
      <c r="B23" s="648" t="s">
        <v>7598</v>
      </c>
      <c r="C23" s="651">
        <f>STDEVP(E22:G22)*C22+(STDEVP(E22:G22)=0)</f>
        <v>0.13582842117907434</v>
      </c>
      <c r="D23" s="649"/>
      <c r="E23" s="650">
        <f>IF(E22=0,0,(NORMDIST(E21,$H22,$C23,TRUE)))*($E$16=TRUE)</f>
        <v>0.49304920415595299</v>
      </c>
      <c r="F23" s="650">
        <f t="shared" ref="F23:G23" si="12">IF(F22=0,0,(NORMDIST(F21,$H22,$C23,TRUE)))*($E$16=TRUE)</f>
        <v>0.58405477104503922</v>
      </c>
      <c r="G23" s="650">
        <f t="shared" si="12"/>
        <v>0.42275375154670025</v>
      </c>
      <c r="H23" s="183"/>
      <c r="I23" s="651">
        <f>STDEVP(K22:M22)*I22+(STDEVP(K22:M22)=0)</f>
        <v>0.12517331910064172</v>
      </c>
      <c r="J23" s="649"/>
      <c r="K23" s="650">
        <f>IF(K22=0,0,(NORMDIST(K21,$N22,$I23,TRUE)))*($K$16=TRUE)</f>
        <v>0.49921218994919647</v>
      </c>
      <c r="L23" s="650">
        <f t="shared" ref="L23:M23" si="13">IF(L22=0,0,(NORMDIST(L21,$N22,$I23,TRUE)))*($K$16=TRUE)</f>
        <v>0.58125470307119742</v>
      </c>
      <c r="M23" s="650">
        <f t="shared" si="13"/>
        <v>0.41951686556447093</v>
      </c>
      <c r="N23" s="183"/>
      <c r="Q23" s="206"/>
    </row>
    <row r="24" spans="1:17">
      <c r="A24" s="196">
        <v>3</v>
      </c>
      <c r="B24" s="203" t="str">
        <f t="shared" si="1"/>
        <v>Referral Satisfaction</v>
      </c>
      <c r="C24" s="202">
        <f t="shared" si="2"/>
        <v>9</v>
      </c>
      <c r="D24" s="204">
        <f t="shared" si="8"/>
        <v>1</v>
      </c>
      <c r="E24" s="207">
        <f>calcLOB1CSAT</f>
        <v>0.8599</v>
      </c>
      <c r="F24" s="207">
        <f>calcLOB1CSAT</f>
        <v>0.84666999999999992</v>
      </c>
      <c r="G24" s="207">
        <f>calcLOB1CSAT</f>
        <v>0.82153999999999994</v>
      </c>
      <c r="H24" s="183"/>
      <c r="I24" s="202">
        <f t="shared" si="3"/>
        <v>9</v>
      </c>
      <c r="J24" s="204">
        <f t="shared" si="9"/>
        <v>1</v>
      </c>
      <c r="K24" s="207">
        <f>calcR2LOB1CSAT</f>
        <v>0.84798233811702528</v>
      </c>
      <c r="L24" s="207">
        <f>calcR2LOB1CSAT</f>
        <v>0.87088999999999994</v>
      </c>
      <c r="M24" s="207">
        <f>calcR2LOB1CSAT</f>
        <v>0.81807999999999992</v>
      </c>
      <c r="N24" s="183"/>
    </row>
    <row r="25" spans="1:17">
      <c r="A25" s="196"/>
      <c r="B25" s="648" t="s">
        <v>7599</v>
      </c>
      <c r="C25" s="647">
        <v>6</v>
      </c>
      <c r="D25" s="649"/>
      <c r="E25" s="650">
        <f>IF($E$16=TRUE,E24,0)</f>
        <v>0.8599</v>
      </c>
      <c r="F25" s="650">
        <f t="shared" ref="F25:G25" si="14">IF($E$16=TRUE,F24,0)</f>
        <v>0.84666999999999992</v>
      </c>
      <c r="G25" s="650">
        <f t="shared" si="14"/>
        <v>0.82153999999999994</v>
      </c>
      <c r="H25" s="183">
        <f>IF($H$16=0,0,SUM(E25:G25)/$H$16)</f>
        <v>0.84270333333333325</v>
      </c>
      <c r="I25" s="647">
        <v>6</v>
      </c>
      <c r="J25" s="649"/>
      <c r="K25" s="650">
        <f>IF($K$16=TRUE,K24,0)</f>
        <v>0.84798233811702528</v>
      </c>
      <c r="L25" s="650">
        <f t="shared" ref="L25:M25" si="15">IF($K$16=TRUE,L24,0)</f>
        <v>0.87088999999999994</v>
      </c>
      <c r="M25" s="650">
        <f t="shared" si="15"/>
        <v>0.81807999999999992</v>
      </c>
      <c r="N25" s="183">
        <f>IF($H$16=0,0,SUM(K25:M25)/$H$16)</f>
        <v>0.84565077937234179</v>
      </c>
    </row>
    <row r="26" spans="1:17">
      <c r="A26" s="196"/>
      <c r="B26" s="648" t="s">
        <v>7598</v>
      </c>
      <c r="C26" s="651">
        <f>STDEVP(E25:G25)*C25+(STDEVP(E25:G25)=0)</f>
        <v>9.5457622011026561E-2</v>
      </c>
      <c r="D26" s="649"/>
      <c r="E26" s="650">
        <f>IF(E25=0,0,(NORMDIST(E24,$H25,$C26,TRUE)))*($E$16=TRUE)</f>
        <v>0.57148249639288851</v>
      </c>
      <c r="F26" s="650">
        <f>IF(F25=0,0,(NORMDIST(F24,$H25,$C26,TRUE)))*($E$16=TRUE)</f>
        <v>0.51657296408038111</v>
      </c>
      <c r="G26" s="650">
        <f t="shared" ref="G26" si="16">IF(G25=0,0,(NORMDIST(G24,$H25,$C26,TRUE)))*($E$16=TRUE)</f>
        <v>0.41227217147141204</v>
      </c>
      <c r="H26" s="183"/>
      <c r="I26" s="651">
        <f>STDEVP(K25:M25)*I25+(STDEVP(K25:M25)=0)</f>
        <v>0.12973522108987368</v>
      </c>
      <c r="J26" s="649"/>
      <c r="K26" s="650">
        <f>IF(K25=0,0,(NORMDIST(K24,$N25,$I26,TRUE)))*($K$16=TRUE)</f>
        <v>0.50716927359112751</v>
      </c>
      <c r="L26" s="650">
        <f t="shared" ref="L26:M26" si="17">IF(L25=0,0,(NORMDIST(L24,$N25,$I26,TRUE)))*($K$16=TRUE)</f>
        <v>0.57712506215042703</v>
      </c>
      <c r="M26" s="650">
        <f t="shared" si="17"/>
        <v>0.41585234114377101</v>
      </c>
      <c r="N26" s="183"/>
    </row>
    <row r="27" spans="1:17">
      <c r="A27" s="196">
        <v>10</v>
      </c>
      <c r="B27" s="203" t="s">
        <v>428</v>
      </c>
      <c r="C27" s="202">
        <v>0</v>
      </c>
      <c r="D27" s="204"/>
      <c r="E27" s="207"/>
      <c r="F27" s="207"/>
      <c r="G27" s="207"/>
      <c r="H27" s="183"/>
      <c r="I27" s="202">
        <v>0</v>
      </c>
      <c r="J27" s="204"/>
      <c r="K27" s="207"/>
      <c r="L27" s="207"/>
      <c r="M27" s="207"/>
      <c r="N27" s="183"/>
    </row>
    <row r="28" spans="1:17">
      <c r="A28" s="196"/>
      <c r="I28" s="197"/>
      <c r="J28" s="197"/>
      <c r="M28" s="181"/>
      <c r="N28" s="181"/>
    </row>
    <row r="29" spans="1:17" ht="10.5">
      <c r="A29" s="196"/>
      <c r="B29" s="208" t="s">
        <v>429</v>
      </c>
      <c r="D29" s="181" t="s">
        <v>425</v>
      </c>
      <c r="H29" s="181" t="s">
        <v>427</v>
      </c>
      <c r="I29" s="197"/>
      <c r="J29" s="181" t="s">
        <v>425</v>
      </c>
      <c r="M29" s="181"/>
      <c r="N29" s="181" t="s">
        <v>427</v>
      </c>
    </row>
    <row r="30" spans="1:17">
      <c r="A30" s="196"/>
      <c r="C30" s="209" t="str">
        <f>B18</f>
        <v>Referral Volume</v>
      </c>
      <c r="D30" s="210">
        <f>C18</f>
        <v>10</v>
      </c>
      <c r="E30" s="653">
        <f>$D30*E20</f>
        <v>4.9507153048947465</v>
      </c>
      <c r="F30" s="653">
        <f t="shared" ref="F30" si="18">$D30*F20</f>
        <v>5.8317421794832374</v>
      </c>
      <c r="G30" s="654">
        <f>$D30*G20</f>
        <v>4.2165300690973053</v>
      </c>
      <c r="H30" s="212">
        <f>SUMIF($E$16:$G$16,TRUE,E30:G30)/MAX(1,$H$16)</f>
        <v>4.9996625178250964</v>
      </c>
      <c r="I30" s="209">
        <f>H18</f>
        <v>0</v>
      </c>
      <c r="J30" s="210">
        <f>I18</f>
        <v>10</v>
      </c>
      <c r="K30" s="653">
        <f>$J30*K20</f>
        <v>4.4110556031723451</v>
      </c>
      <c r="L30" s="653">
        <f t="shared" ref="L30:M30" si="19">$J30*L20</f>
        <v>5.9205467645529879</v>
      </c>
      <c r="M30" s="653">
        <f t="shared" si="19"/>
        <v>4.6626316480752363</v>
      </c>
      <c r="N30" s="212">
        <f>SUMIF($E$16:$G$16,TRUE,K30:M30)/MAX(1,$H$16)</f>
        <v>4.9980780052668559</v>
      </c>
      <c r="O30" s="181"/>
    </row>
    <row r="31" spans="1:17">
      <c r="A31" s="196"/>
      <c r="C31" s="213" t="str">
        <f>B21</f>
        <v>Clinical Quality</v>
      </c>
      <c r="D31" s="214">
        <f>C21</f>
        <v>6</v>
      </c>
      <c r="E31" s="655">
        <f>$D31*E23</f>
        <v>2.9582952249357177</v>
      </c>
      <c r="F31" s="655">
        <f t="shared" ref="F31:G31" si="20">$D31*F23</f>
        <v>3.5043286262702353</v>
      </c>
      <c r="G31" s="656">
        <f t="shared" si="20"/>
        <v>2.5365225092802017</v>
      </c>
      <c r="H31" s="216">
        <f>SUMIF($E$16:$G$16,TRUE,E31:G31)/MAX(1,$H$16)</f>
        <v>2.9997154534953849</v>
      </c>
      <c r="I31" s="213">
        <f>H21</f>
        <v>0</v>
      </c>
      <c r="J31" s="214">
        <f>I21</f>
        <v>6</v>
      </c>
      <c r="K31" s="655">
        <f>$J31*K23</f>
        <v>2.9952731396951791</v>
      </c>
      <c r="L31" s="655">
        <f t="shared" ref="L31:M31" si="21">$J31*L23</f>
        <v>3.4875282184271845</v>
      </c>
      <c r="M31" s="655">
        <f t="shared" si="21"/>
        <v>2.5171011933868255</v>
      </c>
      <c r="N31" s="216">
        <f>SUMIF($E$16:$G$16,TRUE,K31:M31)/MAX(1,$H$16)</f>
        <v>2.9999675171697295</v>
      </c>
    </row>
    <row r="32" spans="1:17">
      <c r="A32" s="196"/>
      <c r="C32" s="213" t="str">
        <f>B24</f>
        <v>Referral Satisfaction</v>
      </c>
      <c r="D32" s="214">
        <f>C24</f>
        <v>9</v>
      </c>
      <c r="E32" s="655">
        <f>$D32*E26</f>
        <v>5.1433424675359962</v>
      </c>
      <c r="F32" s="655">
        <f t="shared" ref="F32:G32" si="22">$D32*F26</f>
        <v>4.6491566767234298</v>
      </c>
      <c r="G32" s="656">
        <f t="shared" si="22"/>
        <v>3.7104495432427083</v>
      </c>
      <c r="H32" s="216">
        <f>SUMIF($E$16:$G$16,TRUE,E32:G32)/MAX(1,$H$16)</f>
        <v>4.5009828958340448</v>
      </c>
      <c r="I32" s="213">
        <f>H24</f>
        <v>0</v>
      </c>
      <c r="J32" s="214">
        <f>I24</f>
        <v>9</v>
      </c>
      <c r="K32" s="655">
        <f>$J32*K26</f>
        <v>4.5645234623201478</v>
      </c>
      <c r="L32" s="655">
        <f t="shared" ref="L32:M32" si="23">$J32*L26</f>
        <v>5.1941255593538429</v>
      </c>
      <c r="M32" s="655">
        <f t="shared" si="23"/>
        <v>3.7426710702939392</v>
      </c>
      <c r="N32" s="216">
        <f>SUMIF($E$16:$G$16,TRUE,K32:M32)/MAX(1,$H$16)</f>
        <v>4.5004400306559766</v>
      </c>
    </row>
    <row r="33" spans="1:15">
      <c r="A33" s="196"/>
      <c r="C33" s="217" t="str">
        <f>B27</f>
        <v>Special Programs</v>
      </c>
      <c r="D33" s="218">
        <f t="shared" ref="D33" si="24">C27</f>
        <v>0</v>
      </c>
      <c r="E33" s="652">
        <f>E27*SUM(E30:E32)</f>
        <v>0</v>
      </c>
      <c r="F33" s="652">
        <f>F27*SUM(F30:F32)</f>
        <v>0</v>
      </c>
      <c r="G33" s="657">
        <f>G27*SUM(G30:G32)</f>
        <v>0</v>
      </c>
      <c r="H33" s="220">
        <f>SUMIF($E$16:$G$16,TRUE,E33:G33)/MAX(1,$H$16)</f>
        <v>0</v>
      </c>
      <c r="I33" s="217">
        <f>H27</f>
        <v>0</v>
      </c>
      <c r="J33" s="218">
        <f t="shared" ref="J33" si="25">I27</f>
        <v>0</v>
      </c>
      <c r="K33" s="652">
        <f>K27*SUM(K30:K32)</f>
        <v>0</v>
      </c>
      <c r="L33" s="652">
        <f t="shared" ref="L33:M33" si="26">L27*SUM(L30:L32)</f>
        <v>0</v>
      </c>
      <c r="M33" s="652">
        <f t="shared" si="26"/>
        <v>0</v>
      </c>
      <c r="N33" s="220">
        <f>SUMIF($E$16:$G$16,TRUE,K33:M33)/MAX(1,$H$16)</f>
        <v>0</v>
      </c>
    </row>
    <row r="34" spans="1:15">
      <c r="A34" s="196"/>
      <c r="C34" s="217" t="s">
        <v>430</v>
      </c>
      <c r="D34" s="221"/>
      <c r="E34" s="218">
        <f>SUM(E30:E33)</f>
        <v>13.05235299736646</v>
      </c>
      <c r="F34" s="218">
        <f t="shared" ref="F34:G34" si="27">SUM(F30:F33)</f>
        <v>13.985227482476901</v>
      </c>
      <c r="G34" s="218">
        <f t="shared" si="27"/>
        <v>10.463502121620216</v>
      </c>
      <c r="H34" s="219">
        <f>SUM(E34:G34)</f>
        <v>37.50108260146358</v>
      </c>
      <c r="I34" s="217" t="s">
        <v>430</v>
      </c>
      <c r="J34" s="221"/>
      <c r="K34" s="218">
        <f>SUM(K30:K33)</f>
        <v>11.970852205187672</v>
      </c>
      <c r="L34" s="218">
        <f t="shared" ref="L34:M34" si="28">SUM(L30:L33)</f>
        <v>14.602200542334016</v>
      </c>
      <c r="M34" s="218">
        <f t="shared" si="28"/>
        <v>10.922403911756001</v>
      </c>
      <c r="N34" s="219">
        <f>SUM(K34:M34)</f>
        <v>37.495456659277686</v>
      </c>
    </row>
    <row r="35" spans="1:15">
      <c r="A35" s="196"/>
      <c r="C35" s="222" t="s">
        <v>225</v>
      </c>
      <c r="D35" s="223"/>
      <c r="E35" s="224">
        <f>E34/$H34</f>
        <v>0.34805269853348336</v>
      </c>
      <c r="F35" s="224">
        <f>F34/$H34</f>
        <v>0.37292863331713766</v>
      </c>
      <c r="G35" s="224">
        <f>G34/$H34</f>
        <v>0.27901866814937898</v>
      </c>
      <c r="H35" s="225">
        <f>D12</f>
        <v>7537.4999999999991</v>
      </c>
      <c r="I35" s="222" t="s">
        <v>225</v>
      </c>
      <c r="J35" s="223"/>
      <c r="K35" s="224">
        <f>K34/$N34</f>
        <v>0.31926140582756884</v>
      </c>
      <c r="L35" s="224">
        <f t="shared" ref="L35:M35" si="29">L34/$N34</f>
        <v>0.38943919726127463</v>
      </c>
      <c r="M35" s="224">
        <f t="shared" si="29"/>
        <v>0.29129939691115664</v>
      </c>
      <c r="N35" s="225">
        <f>J12</f>
        <v>7612.8749999999991</v>
      </c>
    </row>
    <row r="36" spans="1:15">
      <c r="A36" s="196"/>
      <c r="C36" s="209" t="s">
        <v>431</v>
      </c>
      <c r="D36" s="226"/>
      <c r="E36" s="227">
        <f>E35*$H35</f>
        <v>2623.4472151961304</v>
      </c>
      <c r="F36" s="227">
        <f>F35*$H35</f>
        <v>2810.9495736279246</v>
      </c>
      <c r="G36" s="227">
        <f>G35*$H35</f>
        <v>2103.1032111759437</v>
      </c>
      <c r="H36" s="228">
        <f>SUM(E36:G36)</f>
        <v>7537.4999999999982</v>
      </c>
      <c r="I36" s="209" t="s">
        <v>431</v>
      </c>
      <c r="J36" s="226"/>
      <c r="K36" s="227">
        <f>K35*$N35</f>
        <v>2430.4971748895528</v>
      </c>
      <c r="L36" s="227">
        <f t="shared" ref="L36:M36" si="30">L35*$N35</f>
        <v>2964.7519288504259</v>
      </c>
      <c r="M36" s="227">
        <f t="shared" si="30"/>
        <v>2217.6258962600214</v>
      </c>
      <c r="N36" s="228">
        <f>SUM(K36:M36)</f>
        <v>7612.875</v>
      </c>
    </row>
    <row r="37" spans="1:15">
      <c r="A37" s="196"/>
      <c r="C37" s="213" t="s">
        <v>432</v>
      </c>
      <c r="D37" s="229"/>
      <c r="E37" s="230">
        <v>0</v>
      </c>
      <c r="F37" s="230">
        <v>0</v>
      </c>
      <c r="G37" s="230">
        <v>0</v>
      </c>
      <c r="H37" s="231">
        <f>SUM(E37:G37)</f>
        <v>0</v>
      </c>
      <c r="I37" s="213" t="s">
        <v>432</v>
      </c>
      <c r="J37" s="229"/>
      <c r="K37" s="230">
        <v>0</v>
      </c>
      <c r="L37" s="230">
        <v>0</v>
      </c>
      <c r="M37" s="230">
        <v>0</v>
      </c>
      <c r="N37" s="231">
        <f>SUM(K37:M37)</f>
        <v>0</v>
      </c>
      <c r="O37" s="133"/>
    </row>
    <row r="38" spans="1:15">
      <c r="A38" s="196"/>
      <c r="C38" s="213" t="s">
        <v>433</v>
      </c>
      <c r="D38" s="229"/>
      <c r="E38" s="232">
        <f>E36*(1+E37)</f>
        <v>2623.4472151961304</v>
      </c>
      <c r="F38" s="232">
        <f>F36*(1+F37)</f>
        <v>2810.9495736279246</v>
      </c>
      <c r="G38" s="232">
        <f>G36*(1+G37)</f>
        <v>2103.1032111759437</v>
      </c>
      <c r="H38" s="233">
        <f>SUM(E38:G38)</f>
        <v>7537.4999999999982</v>
      </c>
      <c r="I38" s="213" t="s">
        <v>433</v>
      </c>
      <c r="J38" s="229"/>
      <c r="K38" s="232">
        <f>K36*(1+K37)</f>
        <v>2430.4971748895528</v>
      </c>
      <c r="L38" s="232">
        <f t="shared" ref="L38:M38" si="31">L36*(1+L37)</f>
        <v>2964.7519288504259</v>
      </c>
      <c r="M38" s="232">
        <f t="shared" si="31"/>
        <v>2217.6258962600214</v>
      </c>
      <c r="N38" s="233">
        <f>SUM(K38:M38)</f>
        <v>7612.875</v>
      </c>
      <c r="O38" s="133" t="s">
        <v>7602</v>
      </c>
    </row>
    <row r="39" spans="1:15">
      <c r="A39" s="196"/>
      <c r="C39" s="234" t="s">
        <v>434</v>
      </c>
      <c r="D39" s="235"/>
      <c r="E39" s="673">
        <f>E38/$H38</f>
        <v>0.34805269853348336</v>
      </c>
      <c r="F39" s="236">
        <f>F38/$H38</f>
        <v>0.37292863331713766</v>
      </c>
      <c r="G39" s="236">
        <f>G38/$H38</f>
        <v>0.27901866814937898</v>
      </c>
      <c r="H39" s="237"/>
      <c r="I39" s="234" t="s">
        <v>434</v>
      </c>
      <c r="J39" s="235"/>
      <c r="K39" s="713">
        <f>K38/$N38</f>
        <v>0.31926140582756879</v>
      </c>
      <c r="L39" s="711">
        <f t="shared" ref="L39:M39" si="32">L38/$N38</f>
        <v>0.38943919726127463</v>
      </c>
      <c r="M39" s="711">
        <f t="shared" si="32"/>
        <v>0.29129939691115658</v>
      </c>
      <c r="N39" s="237"/>
      <c r="O39" s="133" t="s">
        <v>7603</v>
      </c>
    </row>
    <row r="40" spans="1:15">
      <c r="A40" s="196"/>
      <c r="C40" s="229" t="s">
        <v>7880</v>
      </c>
      <c r="D40" s="229"/>
      <c r="E40" s="708">
        <v>0.35000000000000009</v>
      </c>
      <c r="F40" s="709">
        <v>0.45</v>
      </c>
      <c r="G40" s="709">
        <v>0.19999999999999996</v>
      </c>
      <c r="H40" s="501"/>
      <c r="I40" s="229"/>
      <c r="J40" s="229"/>
      <c r="K40" s="712">
        <f>E39</f>
        <v>0.34805269853348336</v>
      </c>
      <c r="L40" s="712">
        <f>F39</f>
        <v>0.37292863331713766</v>
      </c>
      <c r="M40" s="712">
        <f>G39</f>
        <v>0.27901866814937898</v>
      </c>
      <c r="N40" s="501"/>
      <c r="O40" s="133"/>
    </row>
    <row r="41" spans="1:15">
      <c r="A41" s="196"/>
      <c r="H41" s="133" t="s">
        <v>729</v>
      </c>
    </row>
    <row r="42" spans="1:15" ht="10.5">
      <c r="A42" s="196"/>
      <c r="B42" s="208" t="s">
        <v>435</v>
      </c>
      <c r="H42" s="133" t="s">
        <v>727</v>
      </c>
      <c r="I42" s="197"/>
      <c r="J42" s="197"/>
      <c r="M42" s="181"/>
      <c r="N42" s="133" t="s">
        <v>727</v>
      </c>
    </row>
    <row r="43" spans="1:15">
      <c r="A43" s="196"/>
      <c r="C43" s="181" t="s">
        <v>7861</v>
      </c>
      <c r="I43" s="181" t="s">
        <v>7862</v>
      </c>
      <c r="J43" s="197"/>
      <c r="M43" s="181"/>
      <c r="N43" s="181"/>
    </row>
    <row r="44" spans="1:15">
      <c r="A44" s="196"/>
      <c r="C44" s="238">
        <f>D30</f>
        <v>10</v>
      </c>
      <c r="D44" s="239" t="str">
        <f>B18</f>
        <v>Referral Volume</v>
      </c>
      <c r="E44" s="240">
        <f t="shared" ref="E44:G47" si="33">IF(E$16,IF($H$34=0,0,(E30-$H30)/$H$34),0)</f>
        <v>-1.3052213305553898E-3</v>
      </c>
      <c r="F44" s="241">
        <f t="shared" si="33"/>
        <v>2.2188150419573935E-2</v>
      </c>
      <c r="G44" s="241">
        <f t="shared" si="33"/>
        <v>-2.0882929089018547E-2</v>
      </c>
      <c r="H44" s="280">
        <f>MAX(E44:G44)-MIN(E44:G44)</f>
        <v>4.3071079508592486E-2</v>
      </c>
      <c r="I44" s="238">
        <f>J30</f>
        <v>10</v>
      </c>
      <c r="J44" s="239">
        <f>H18</f>
        <v>0</v>
      </c>
      <c r="K44" s="240">
        <f>IF(K$16,IF($N$34=0,0,(K30-$N30)/$H$34),0)</f>
        <v>-1.5653478816411572E-2</v>
      </c>
      <c r="L44" s="240">
        <f t="shared" ref="L44:M44" si="34">IF(L$16,IF($N$34=0,0,(L30-$N30)/$H$34),0)</f>
        <v>2.4598456772288762E-2</v>
      </c>
      <c r="M44" s="240">
        <f t="shared" si="34"/>
        <v>-8.9449779558771411E-3</v>
      </c>
      <c r="N44" s="280">
        <f>MAX(K44:M44)-MIN(K44:M44)</f>
        <v>4.0251935588700334E-2</v>
      </c>
    </row>
    <row r="45" spans="1:15">
      <c r="A45" s="196"/>
      <c r="C45" s="242">
        <f>D31</f>
        <v>6</v>
      </c>
      <c r="D45" s="243" t="str">
        <f>B21</f>
        <v>Clinical Quality</v>
      </c>
      <c r="E45" s="244">
        <f t="shared" si="33"/>
        <v>-1.1045075418182906E-3</v>
      </c>
      <c r="F45" s="245">
        <f t="shared" si="33"/>
        <v>1.3455962808795192E-2</v>
      </c>
      <c r="G45" s="245">
        <f t="shared" si="33"/>
        <v>-1.2351455266976901E-2</v>
      </c>
      <c r="H45" s="280">
        <f t="shared" ref="H45:H46" si="35">MAX(E45:G45)-MIN(E45:G45)</f>
        <v>2.5807418075772096E-2</v>
      </c>
      <c r="I45" s="242">
        <f>J31</f>
        <v>6</v>
      </c>
      <c r="J45" s="243">
        <f>H21</f>
        <v>0</v>
      </c>
      <c r="K45" s="244">
        <f>IF(K$16,IF($N$34=0,0,(K31-$N31)/$H$34),0)</f>
        <v>-1.2517978545950755E-4</v>
      </c>
      <c r="L45" s="244">
        <f t="shared" ref="L45:M45" si="36">IF(L$16,IF($N$34=0,0,(L31-$N31)/$H$34),0)</f>
        <v>1.3001243362462998E-2</v>
      </c>
      <c r="M45" s="244">
        <f t="shared" si="36"/>
        <v>-1.2876063577003478E-2</v>
      </c>
      <c r="N45" s="280">
        <f t="shared" ref="N45:N46" si="37">MAX(K45:M45)-MIN(K45:M45)</f>
        <v>2.5877306939466476E-2</v>
      </c>
    </row>
    <row r="46" spans="1:15">
      <c r="A46" s="196"/>
      <c r="C46" s="242">
        <f>D32</f>
        <v>9</v>
      </c>
      <c r="D46" s="243" t="str">
        <f>B24</f>
        <v>Referral Satisfaction</v>
      </c>
      <c r="E46" s="244">
        <f t="shared" si="33"/>
        <v>1.71290940725237E-2</v>
      </c>
      <c r="F46" s="245">
        <f t="shared" si="33"/>
        <v>3.9511867554352193E-3</v>
      </c>
      <c r="G46" s="245">
        <f t="shared" si="33"/>
        <v>-2.108028082795892E-2</v>
      </c>
      <c r="H46" s="280">
        <f t="shared" si="35"/>
        <v>3.8209374900482623E-2</v>
      </c>
      <c r="I46" s="242">
        <f>J32</f>
        <v>9</v>
      </c>
      <c r="J46" s="243">
        <f>H24</f>
        <v>0</v>
      </c>
      <c r="K46" s="244">
        <f>IF(K$16,IF($N$34=0,0,(K32-$N32)/$H$34),0)</f>
        <v>1.7088421778434248E-3</v>
      </c>
      <c r="L46" s="244">
        <f t="shared" ref="L46:M46" si="38">IF(L$16,IF($N$34=0,0,(L32-$N32)/$H$34),0)</f>
        <v>1.8497746746937736E-2</v>
      </c>
      <c r="M46" s="244">
        <f t="shared" si="38"/>
        <v>-2.0206588924781162E-2</v>
      </c>
      <c r="N46" s="280">
        <f t="shared" si="37"/>
        <v>3.8704335671718895E-2</v>
      </c>
    </row>
    <row r="47" spans="1:15">
      <c r="A47" s="196"/>
      <c r="C47" s="246">
        <f>D33</f>
        <v>0</v>
      </c>
      <c r="D47" s="247" t="str">
        <f>B27</f>
        <v>Special Programs</v>
      </c>
      <c r="E47" s="248">
        <f t="shared" si="33"/>
        <v>0</v>
      </c>
      <c r="F47" s="249">
        <f t="shared" si="33"/>
        <v>0</v>
      </c>
      <c r="G47" s="249">
        <f t="shared" si="33"/>
        <v>0</v>
      </c>
      <c r="I47" s="246">
        <f>J33</f>
        <v>0</v>
      </c>
      <c r="J47" s="247">
        <f>H27</f>
        <v>0</v>
      </c>
      <c r="K47" s="248">
        <f>IF(K$16,IF($H$34=0,0,(K33-$H33)/$H$34),0)</f>
        <v>0</v>
      </c>
      <c r="L47" s="249">
        <f>IF(L$16,IF($H$34=0,0,(L33-$H33)/$H$34),0)</f>
        <v>0</v>
      </c>
      <c r="M47" s="249">
        <f>IF(M$16,IF($H$34=0,0,(M33-$H33)/$H$34),0)</f>
        <v>0</v>
      </c>
      <c r="N47" s="181"/>
    </row>
    <row r="48" spans="1:15">
      <c r="A48" s="196"/>
      <c r="C48" s="234"/>
      <c r="D48" s="235" t="s">
        <v>13</v>
      </c>
      <c r="E48" s="250">
        <f>SUM(E44:E47)</f>
        <v>1.471936520015002E-2</v>
      </c>
      <c r="F48" s="250">
        <f>SUM(F44:F47)</f>
        <v>3.9595299983804344E-2</v>
      </c>
      <c r="G48" s="250">
        <f>SUM(G44:G47)</f>
        <v>-5.4314665183954364E-2</v>
      </c>
      <c r="I48" s="234"/>
      <c r="J48" s="235" t="s">
        <v>13</v>
      </c>
      <c r="K48" s="250">
        <f>SUM(K44:K47)</f>
        <v>-1.4069816424027654E-2</v>
      </c>
      <c r="L48" s="250">
        <f>SUM(L44:L47)</f>
        <v>5.6097446881689494E-2</v>
      </c>
      <c r="M48" s="250">
        <f>SUM(M44:M47)</f>
        <v>-4.202763045766178E-2</v>
      </c>
      <c r="N48" s="181"/>
    </row>
    <row r="49" spans="1:14">
      <c r="A49" s="196"/>
      <c r="I49" s="197"/>
      <c r="J49" s="197"/>
      <c r="M49" s="181"/>
      <c r="N49" s="181"/>
    </row>
    <row r="50" spans="1:14">
      <c r="A50" s="196"/>
      <c r="B50" s="197" t="s">
        <v>436</v>
      </c>
      <c r="I50" s="197"/>
      <c r="J50" s="197"/>
      <c r="M50" s="181"/>
      <c r="N50" s="181"/>
    </row>
    <row r="51" spans="1:14" ht="10.5">
      <c r="A51" s="196"/>
      <c r="B51" s="197" t="s">
        <v>7869</v>
      </c>
      <c r="C51" s="181" t="s">
        <v>425</v>
      </c>
      <c r="D51" s="252">
        <v>2</v>
      </c>
      <c r="E51" s="252">
        <v>3</v>
      </c>
      <c r="F51" s="252">
        <v>4</v>
      </c>
      <c r="G51" s="252">
        <v>5</v>
      </c>
      <c r="H51" s="197"/>
      <c r="I51" s="181" t="s">
        <v>425</v>
      </c>
      <c r="J51" s="252">
        <v>2</v>
      </c>
      <c r="K51" s="252">
        <v>3</v>
      </c>
      <c r="L51" s="252">
        <v>4</v>
      </c>
      <c r="M51" s="252">
        <v>5</v>
      </c>
    </row>
    <row r="52" spans="1:14">
      <c r="A52" s="196"/>
      <c r="B52" s="209">
        <v>1</v>
      </c>
      <c r="C52" s="211">
        <f>LARGE(C$44:C$47,B52)</f>
        <v>10</v>
      </c>
      <c r="D52" s="254" t="str">
        <f t="shared" ref="D52:G56" si="39">VLOOKUP($C52,mmLOB1ImpactTable,D$51,FALSE)</f>
        <v>Referral Volume</v>
      </c>
      <c r="E52" s="672">
        <f t="shared" si="39"/>
        <v>-1.3052213305553898E-3</v>
      </c>
      <c r="F52" s="255">
        <f t="shared" si="39"/>
        <v>2.2188150419573935E-2</v>
      </c>
      <c r="G52" s="255">
        <f>VLOOKUP($C52,mmLOB1ImpactTable,G$51,FALSE)</f>
        <v>-2.0882929089018547E-2</v>
      </c>
      <c r="H52" s="209">
        <v>1</v>
      </c>
      <c r="I52" s="211">
        <f>LARGE(I$44:I$47,H52)</f>
        <v>10</v>
      </c>
      <c r="J52" s="254" t="str">
        <f>VLOOKUP($C52,mmLOB1ImpactTable,J$51,FALSE)</f>
        <v>Referral Volume</v>
      </c>
      <c r="K52" s="672">
        <f t="shared" ref="K52:M56" si="40">VLOOKUP($C52,mmR2LOB1ImpactTable,K$51,FALSE)</f>
        <v>-1.5653478816411572E-2</v>
      </c>
      <c r="L52" s="255">
        <f t="shared" si="40"/>
        <v>2.4598456772288762E-2</v>
      </c>
      <c r="M52" s="255">
        <f t="shared" si="40"/>
        <v>-8.9449779558771411E-3</v>
      </c>
      <c r="N52" s="197" t="s">
        <v>7845</v>
      </c>
    </row>
    <row r="53" spans="1:14">
      <c r="A53" s="196"/>
      <c r="B53" s="213">
        <v>2</v>
      </c>
      <c r="C53" s="215">
        <f>LARGE(C$44:C$47,B53)</f>
        <v>9</v>
      </c>
      <c r="D53" s="257" t="str">
        <f t="shared" si="39"/>
        <v>Referral Satisfaction</v>
      </c>
      <c r="E53" s="673">
        <f t="shared" si="39"/>
        <v>1.71290940725237E-2</v>
      </c>
      <c r="F53" s="259">
        <f t="shared" si="39"/>
        <v>3.9511867554352193E-3</v>
      </c>
      <c r="G53" s="259">
        <f t="shared" si="39"/>
        <v>-2.108028082795892E-2</v>
      </c>
      <c r="H53" s="213">
        <v>2</v>
      </c>
      <c r="I53" s="215">
        <f>LARGE(I$44:I$47,H53)</f>
        <v>9</v>
      </c>
      <c r="J53" s="257" t="str">
        <f>VLOOKUP($C53,mmLOB1ImpactTable,J$51,FALSE)</f>
        <v>Referral Satisfaction</v>
      </c>
      <c r="K53" s="673">
        <f t="shared" si="40"/>
        <v>1.7088421778434248E-3</v>
      </c>
      <c r="L53" s="259">
        <f t="shared" si="40"/>
        <v>1.8497746746937736E-2</v>
      </c>
      <c r="M53" s="259">
        <f t="shared" si="40"/>
        <v>-2.0206588924781162E-2</v>
      </c>
      <c r="N53" s="197" t="s">
        <v>7846</v>
      </c>
    </row>
    <row r="54" spans="1:14">
      <c r="A54" s="196"/>
      <c r="B54" s="213">
        <v>3</v>
      </c>
      <c r="C54" s="215">
        <f>LARGE(C$44:C$47,B54)</f>
        <v>6</v>
      </c>
      <c r="D54" s="257" t="str">
        <f t="shared" si="39"/>
        <v>Clinical Quality</v>
      </c>
      <c r="E54" s="673">
        <f t="shared" si="39"/>
        <v>-1.1045075418182906E-3</v>
      </c>
      <c r="F54" s="259">
        <f t="shared" si="39"/>
        <v>1.3455962808795192E-2</v>
      </c>
      <c r="G54" s="259">
        <f t="shared" si="39"/>
        <v>-1.2351455266976901E-2</v>
      </c>
      <c r="H54" s="213">
        <v>3</v>
      </c>
      <c r="I54" s="215">
        <f>LARGE(I$44:I$47,H54)</f>
        <v>6</v>
      </c>
      <c r="J54" s="257" t="str">
        <f>VLOOKUP($C54,mmLOB1ImpactTable,J$51,FALSE)</f>
        <v>Clinical Quality</v>
      </c>
      <c r="K54" s="673">
        <f t="shared" si="40"/>
        <v>-1.2517978545950755E-4</v>
      </c>
      <c r="L54" s="259">
        <f t="shared" si="40"/>
        <v>1.3001243362462998E-2</v>
      </c>
      <c r="M54" s="259">
        <f t="shared" si="40"/>
        <v>-1.2876063577003478E-2</v>
      </c>
      <c r="N54" s="197" t="s">
        <v>7847</v>
      </c>
    </row>
    <row r="55" spans="1:14">
      <c r="A55" s="196"/>
      <c r="B55" s="213">
        <v>4</v>
      </c>
      <c r="C55" s="215">
        <f>LARGE(C$44:C$47,B55)</f>
        <v>0</v>
      </c>
      <c r="D55" s="257" t="str">
        <f t="shared" si="39"/>
        <v>Special Programs</v>
      </c>
      <c r="E55" s="258">
        <f t="shared" si="39"/>
        <v>0</v>
      </c>
      <c r="F55" s="259">
        <f t="shared" si="39"/>
        <v>0</v>
      </c>
      <c r="G55" s="259">
        <f t="shared" si="39"/>
        <v>0</v>
      </c>
      <c r="H55" s="213">
        <v>4</v>
      </c>
      <c r="I55" s="215">
        <f>LARGE(I$44:I$47,H55)</f>
        <v>0</v>
      </c>
      <c r="J55" s="257" t="str">
        <f>VLOOKUP($C55,mmLOB1ImpactTable,J$51,FALSE)</f>
        <v>Special Programs</v>
      </c>
      <c r="K55" s="258">
        <f t="shared" si="40"/>
        <v>0</v>
      </c>
      <c r="L55" s="259">
        <f t="shared" si="40"/>
        <v>0</v>
      </c>
      <c r="M55" s="259">
        <f t="shared" si="40"/>
        <v>0</v>
      </c>
    </row>
    <row r="56" spans="1:14">
      <c r="A56" s="196"/>
      <c r="B56" s="217">
        <v>10</v>
      </c>
      <c r="C56" s="260"/>
      <c r="D56" s="261" t="str">
        <f t="shared" si="39"/>
        <v>Special Programs</v>
      </c>
      <c r="E56" s="262">
        <f t="shared" si="39"/>
        <v>0</v>
      </c>
      <c r="F56" s="262">
        <f t="shared" si="39"/>
        <v>0</v>
      </c>
      <c r="G56" s="262">
        <f t="shared" si="39"/>
        <v>0</v>
      </c>
      <c r="H56" s="217">
        <v>10</v>
      </c>
      <c r="I56" s="260"/>
      <c r="J56" s="261" t="str">
        <f>VLOOKUP($C56,mmLOB1ImpactTable,J$51,FALSE)</f>
        <v>Special Programs</v>
      </c>
      <c r="K56" s="262">
        <f t="shared" si="40"/>
        <v>0</v>
      </c>
      <c r="L56" s="262">
        <f t="shared" si="40"/>
        <v>0</v>
      </c>
      <c r="M56" s="262">
        <f t="shared" si="40"/>
        <v>0</v>
      </c>
    </row>
    <row r="57" spans="1:14">
      <c r="A57" s="196"/>
      <c r="I57" s="197"/>
      <c r="J57" s="197"/>
      <c r="M57" s="181"/>
      <c r="N57" s="181"/>
    </row>
    <row r="58" spans="1:14">
      <c r="A58" s="196"/>
      <c r="B58" s="197" t="s">
        <v>440</v>
      </c>
      <c r="C58" s="181" t="s">
        <v>441</v>
      </c>
      <c r="I58" s="181" t="s">
        <v>441</v>
      </c>
      <c r="J58" s="197"/>
      <c r="M58" s="181"/>
      <c r="N58" s="181"/>
    </row>
    <row r="59" spans="1:14">
      <c r="A59" s="196"/>
      <c r="B59" s="197">
        <v>1</v>
      </c>
      <c r="C59" s="263">
        <f t="shared" ref="C59:D62" si="41">C52</f>
        <v>10</v>
      </c>
      <c r="D59" s="265" t="str">
        <f t="shared" si="41"/>
        <v>Referral Volume</v>
      </c>
      <c r="E59" s="264">
        <f t="shared" ref="E59:G62" si="42">IF($E65&gt;0,(E52-$C65)/$E65-0.5,0)</f>
        <v>-4.5455837610072158E-2</v>
      </c>
      <c r="F59" s="264">
        <f t="shared" si="42"/>
        <v>0.5</v>
      </c>
      <c r="G59" s="264">
        <f t="shared" si="42"/>
        <v>-0.5</v>
      </c>
      <c r="I59" s="263">
        <f t="shared" ref="I59:J62" si="43">I52</f>
        <v>10</v>
      </c>
      <c r="J59" s="265" t="str">
        <f t="shared" si="43"/>
        <v>Referral Volume</v>
      </c>
      <c r="K59" s="264">
        <f t="shared" ref="K59:M62" si="44">IF($E65&gt;0,(K52-$C65)/$E65-0.5,0)</f>
        <v>-0.37858557685874294</v>
      </c>
      <c r="L59" s="264">
        <f t="shared" si="44"/>
        <v>0.55596113169705852</v>
      </c>
      <c r="M59" s="264">
        <f t="shared" si="44"/>
        <v>-0.22283139244838662</v>
      </c>
      <c r="N59" s="181"/>
    </row>
    <row r="60" spans="1:14">
      <c r="A60" s="196"/>
      <c r="B60" s="197">
        <v>2</v>
      </c>
      <c r="C60" s="263">
        <f t="shared" si="41"/>
        <v>9</v>
      </c>
      <c r="D60" s="265" t="str">
        <f t="shared" si="41"/>
        <v>Referral Satisfaction</v>
      </c>
      <c r="E60" s="264">
        <f t="shared" si="42"/>
        <v>0.5</v>
      </c>
      <c r="F60" s="264">
        <f t="shared" si="42"/>
        <v>0.15511324507635338</v>
      </c>
      <c r="G60" s="264">
        <f t="shared" si="42"/>
        <v>-0.5</v>
      </c>
      <c r="I60" s="263">
        <f t="shared" si="43"/>
        <v>9</v>
      </c>
      <c r="J60" s="265" t="str">
        <f t="shared" si="43"/>
        <v>Referral Satisfaction</v>
      </c>
      <c r="K60" s="264">
        <f t="shared" si="44"/>
        <v>9.6427527672390601E-2</v>
      </c>
      <c r="L60" s="264">
        <f t="shared" si="44"/>
        <v>0.53581981327825257</v>
      </c>
      <c r="M60" s="264">
        <f t="shared" si="44"/>
        <v>-0.47713409587428968</v>
      </c>
      <c r="N60" s="181"/>
    </row>
    <row r="61" spans="1:14">
      <c r="A61" s="196"/>
      <c r="B61" s="197">
        <v>3</v>
      </c>
      <c r="C61" s="263">
        <f t="shared" si="41"/>
        <v>6</v>
      </c>
      <c r="D61" s="265" t="str">
        <f t="shared" si="41"/>
        <v>Clinical Quality</v>
      </c>
      <c r="E61" s="264">
        <f t="shared" si="42"/>
        <v>-6.4197096658917541E-2</v>
      </c>
      <c r="F61" s="264">
        <f t="shared" si="42"/>
        <v>0.5</v>
      </c>
      <c r="G61" s="264">
        <f t="shared" si="42"/>
        <v>-0.5</v>
      </c>
      <c r="I61" s="263">
        <f t="shared" si="43"/>
        <v>6</v>
      </c>
      <c r="J61" s="265" t="str">
        <f t="shared" si="43"/>
        <v>Clinical Quality</v>
      </c>
      <c r="K61" s="264">
        <f t="shared" si="44"/>
        <v>-2.6249567251542538E-2</v>
      </c>
      <c r="L61" s="264">
        <f t="shared" si="44"/>
        <v>0.48238028132077715</v>
      </c>
      <c r="M61" s="264">
        <f t="shared" si="44"/>
        <v>-0.52032781072815171</v>
      </c>
      <c r="N61" s="181"/>
    </row>
    <row r="62" spans="1:14">
      <c r="A62" s="196"/>
      <c r="B62" s="197">
        <v>4</v>
      </c>
      <c r="C62" s="263">
        <f t="shared" si="41"/>
        <v>0</v>
      </c>
      <c r="D62" s="265" t="str">
        <f t="shared" si="41"/>
        <v>Special Programs</v>
      </c>
      <c r="E62" s="264">
        <f t="shared" si="42"/>
        <v>0</v>
      </c>
      <c r="F62" s="264">
        <f t="shared" si="42"/>
        <v>0</v>
      </c>
      <c r="G62" s="264">
        <f t="shared" si="42"/>
        <v>0</v>
      </c>
      <c r="I62" s="263">
        <f t="shared" si="43"/>
        <v>0</v>
      </c>
      <c r="J62" s="265" t="str">
        <f t="shared" si="43"/>
        <v>Special Programs</v>
      </c>
      <c r="K62" s="264">
        <f t="shared" si="44"/>
        <v>0</v>
      </c>
      <c r="L62" s="264">
        <f t="shared" si="44"/>
        <v>0</v>
      </c>
      <c r="M62" s="264">
        <f t="shared" si="44"/>
        <v>0</v>
      </c>
      <c r="N62" s="181"/>
    </row>
    <row r="63" spans="1:14">
      <c r="A63" s="196"/>
      <c r="I63" s="197"/>
      <c r="J63" s="197"/>
      <c r="M63" s="181"/>
      <c r="N63" s="181"/>
    </row>
    <row r="64" spans="1:14" ht="10.5">
      <c r="A64" s="196"/>
      <c r="C64" s="253" t="s">
        <v>437</v>
      </c>
      <c r="D64" s="253" t="s">
        <v>438</v>
      </c>
      <c r="E64" s="253" t="s">
        <v>439</v>
      </c>
      <c r="I64" s="253" t="s">
        <v>437</v>
      </c>
      <c r="J64" s="253" t="s">
        <v>438</v>
      </c>
      <c r="K64" s="253" t="s">
        <v>439</v>
      </c>
      <c r="M64" s="181"/>
      <c r="N64" s="181"/>
    </row>
    <row r="65" spans="1:14">
      <c r="A65" s="196"/>
      <c r="C65" s="256">
        <f>MIN(E52:G52)</f>
        <v>-2.0882929089018547E-2</v>
      </c>
      <c r="D65" s="256">
        <f>MAX(E52:G52)</f>
        <v>2.2188150419573935E-2</v>
      </c>
      <c r="E65" s="256">
        <f t="shared" ref="E65:E69" si="45">D65-C65</f>
        <v>4.3071079508592486E-2</v>
      </c>
      <c r="I65" s="256">
        <f>MIN(K52:M52)</f>
        <v>-1.5653478816411572E-2</v>
      </c>
      <c r="J65" s="256">
        <f>MAX(K52:M52)</f>
        <v>2.4598456772288762E-2</v>
      </c>
      <c r="K65" s="256">
        <f t="shared" ref="K65:K69" si="46">J65-I65</f>
        <v>4.0251935588700334E-2</v>
      </c>
      <c r="M65" s="181"/>
      <c r="N65" s="181"/>
    </row>
    <row r="66" spans="1:14">
      <c r="A66" s="196"/>
      <c r="C66" s="256">
        <f>MIN(E53:G53)</f>
        <v>-2.108028082795892E-2</v>
      </c>
      <c r="D66" s="256">
        <f>MAX(E53:G53)</f>
        <v>1.71290940725237E-2</v>
      </c>
      <c r="E66" s="256">
        <f t="shared" si="45"/>
        <v>3.8209374900482623E-2</v>
      </c>
      <c r="I66" s="256">
        <f>MIN(K53:M53)</f>
        <v>-2.0206588924781162E-2</v>
      </c>
      <c r="J66" s="256">
        <f>MAX(K53:M53)</f>
        <v>1.8497746746937736E-2</v>
      </c>
      <c r="K66" s="256">
        <f t="shared" si="46"/>
        <v>3.8704335671718895E-2</v>
      </c>
      <c r="M66" s="181"/>
      <c r="N66" s="181"/>
    </row>
    <row r="67" spans="1:14">
      <c r="A67" s="196"/>
      <c r="C67" s="256">
        <f>MIN(E54:G54)</f>
        <v>-1.2351455266976901E-2</v>
      </c>
      <c r="D67" s="256">
        <f>MAX(E54:G54)</f>
        <v>1.3455962808795192E-2</v>
      </c>
      <c r="E67" s="256">
        <f t="shared" si="45"/>
        <v>2.5807418075772096E-2</v>
      </c>
      <c r="I67" s="256">
        <f>MIN(K54:M54)</f>
        <v>-1.2876063577003478E-2</v>
      </c>
      <c r="J67" s="256">
        <f>MAX(K54:M54)</f>
        <v>1.3001243362462998E-2</v>
      </c>
      <c r="K67" s="256">
        <f t="shared" si="46"/>
        <v>2.5877306939466476E-2</v>
      </c>
      <c r="M67" s="181"/>
      <c r="N67" s="181"/>
    </row>
    <row r="68" spans="1:14">
      <c r="A68" s="196"/>
      <c r="C68" s="256">
        <f>MIN(E55:G55)</f>
        <v>0</v>
      </c>
      <c r="D68" s="256">
        <f>MAX(E55:G55)</f>
        <v>0</v>
      </c>
      <c r="E68" s="256">
        <f t="shared" si="45"/>
        <v>0</v>
      </c>
      <c r="I68" s="256">
        <f>MIN(K55:M55)</f>
        <v>0</v>
      </c>
      <c r="J68" s="256">
        <f>MAX(K55:M55)</f>
        <v>0</v>
      </c>
      <c r="K68" s="256">
        <f t="shared" si="46"/>
        <v>0</v>
      </c>
      <c r="M68" s="181"/>
      <c r="N68" s="181"/>
    </row>
    <row r="69" spans="1:14">
      <c r="A69" s="196"/>
      <c r="C69" s="256">
        <f>MIN(E56:G56)</f>
        <v>0</v>
      </c>
      <c r="D69" s="256">
        <f>MAX(E56:G56)</f>
        <v>0</v>
      </c>
      <c r="E69" s="256">
        <f t="shared" si="45"/>
        <v>0</v>
      </c>
      <c r="I69" s="256">
        <f>MIN(K56:M56)</f>
        <v>0</v>
      </c>
      <c r="J69" s="256">
        <f>MAX(K56:M56)</f>
        <v>0</v>
      </c>
      <c r="K69" s="256">
        <f t="shared" si="46"/>
        <v>0</v>
      </c>
      <c r="M69" s="181"/>
      <c r="N69" s="181"/>
    </row>
    <row r="70" spans="1:14">
      <c r="A70" s="196"/>
    </row>
    <row r="71" spans="1:14">
      <c r="A71" s="196"/>
    </row>
    <row r="72" spans="1:14">
      <c r="A72" s="196"/>
    </row>
    <row r="73" spans="1:14">
      <c r="A73" s="196"/>
    </row>
    <row r="74" spans="1:14">
      <c r="A74" s="196"/>
      <c r="C74" s="263"/>
      <c r="D74" s="265"/>
      <c r="E74" s="264"/>
      <c r="F74" s="264"/>
      <c r="G74" s="264"/>
      <c r="I74" s="197"/>
    </row>
    <row r="75" spans="1:14">
      <c r="A75" s="196"/>
      <c r="C75" s="263"/>
      <c r="D75" s="265"/>
      <c r="E75" s="264"/>
      <c r="F75" s="264"/>
      <c r="G75" s="264"/>
      <c r="I75" s="197"/>
    </row>
    <row r="76" spans="1:14">
      <c r="A76" s="196"/>
      <c r="C76" s="263"/>
      <c r="D76" s="265"/>
      <c r="E76" s="264"/>
      <c r="F76" s="264"/>
      <c r="G76" s="264"/>
      <c r="I76" s="197"/>
    </row>
    <row r="77" spans="1:14">
      <c r="A77" s="196"/>
      <c r="C77" s="263"/>
      <c r="D77" s="265"/>
      <c r="E77" s="264"/>
      <c r="F77" s="264"/>
      <c r="G77" s="264"/>
      <c r="I77" s="197"/>
    </row>
    <row r="78" spans="1:14">
      <c r="A78" s="196"/>
      <c r="C78" s="263"/>
      <c r="D78" s="265"/>
      <c r="E78" s="264"/>
      <c r="F78" s="264"/>
      <c r="G78" s="264"/>
      <c r="I78" s="197"/>
    </row>
    <row r="79" spans="1:14">
      <c r="A79" s="196"/>
      <c r="C79" s="263"/>
      <c r="D79" s="265"/>
      <c r="E79" s="264"/>
      <c r="F79" s="264"/>
      <c r="G79" s="264"/>
      <c r="I79" s="197"/>
    </row>
    <row r="80" spans="1:14">
      <c r="A80" s="196"/>
    </row>
    <row r="82" spans="3:5" ht="10.5">
      <c r="C82" s="253"/>
      <c r="D82" s="253"/>
      <c r="E82" s="253"/>
    </row>
    <row r="83" spans="3:5">
      <c r="C83" s="256"/>
      <c r="D83" s="256"/>
      <c r="E83" s="256"/>
    </row>
    <row r="84" spans="3:5">
      <c r="C84" s="256"/>
      <c r="D84" s="256"/>
      <c r="E84" s="256"/>
    </row>
    <row r="85" spans="3:5">
      <c r="C85" s="256"/>
      <c r="D85" s="256"/>
      <c r="E85" s="256"/>
    </row>
    <row r="86" spans="3:5">
      <c r="C86" s="256"/>
      <c r="D86" s="256"/>
      <c r="E86" s="256"/>
    </row>
    <row r="87" spans="3:5">
      <c r="C87" s="256"/>
      <c r="D87" s="256"/>
      <c r="E87" s="256"/>
    </row>
    <row r="88" spans="3:5">
      <c r="C88" s="256"/>
      <c r="D88" s="256"/>
      <c r="E88" s="256"/>
    </row>
    <row r="89" spans="3:5">
      <c r="C89" s="256"/>
      <c r="D89" s="256"/>
      <c r="E89" s="256"/>
    </row>
    <row r="90" spans="3:5">
      <c r="C90" s="256"/>
      <c r="D90" s="256"/>
      <c r="E90" s="256"/>
    </row>
    <row r="91" spans="3:5">
      <c r="C91" s="256"/>
      <c r="D91" s="256"/>
      <c r="E91" s="256"/>
    </row>
    <row r="92" spans="3:5">
      <c r="C92" s="256"/>
      <c r="D92" s="256"/>
      <c r="E92" s="256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Q73"/>
  <sheetViews>
    <sheetView topLeftCell="A7" workbookViewId="0">
      <selection activeCell="I26" sqref="I26"/>
    </sheetView>
  </sheetViews>
  <sheetFormatPr defaultColWidth="9.33203125" defaultRowHeight="10"/>
  <cols>
    <col min="1" max="1" width="2.77734375" style="197" customWidth="1"/>
    <col min="2" max="2" width="18.77734375" style="197" customWidth="1"/>
    <col min="3" max="3" width="17.77734375" style="197" customWidth="1"/>
    <col min="4" max="4" width="12.77734375" style="197" customWidth="1"/>
    <col min="5" max="8" width="13" style="181" customWidth="1"/>
    <col min="9" max="12" width="15.109375" style="181" customWidth="1"/>
    <col min="13" max="14" width="15.109375" style="197" customWidth="1"/>
    <col min="15" max="16384" width="9.33203125" style="197"/>
  </cols>
  <sheetData>
    <row r="1" spans="1:14" s="193" customFormat="1" ht="13">
      <c r="A1" s="193" t="str">
        <f>nmLOB2 &amp; " Market Model"</f>
        <v>Pleasentville Market Model</v>
      </c>
      <c r="E1" s="194" t="s">
        <v>162</v>
      </c>
      <c r="F1" s="194" t="s">
        <v>161</v>
      </c>
      <c r="G1" s="194" t="s">
        <v>160</v>
      </c>
      <c r="H1" s="195"/>
      <c r="I1" s="195"/>
      <c r="J1" s="195"/>
      <c r="K1" s="195"/>
      <c r="L1" s="195"/>
    </row>
    <row r="3" spans="1:14" s="146" customFormat="1">
      <c r="A3" s="147" t="str">
        <f>nmLOB2</f>
        <v>Pleasentville</v>
      </c>
      <c r="C3" s="147"/>
    </row>
    <row r="4" spans="1:14">
      <c r="A4" s="196"/>
      <c r="D4" s="181" t="s">
        <v>410</v>
      </c>
      <c r="E4" s="181" t="s">
        <v>411</v>
      </c>
      <c r="F4" s="181" t="s">
        <v>412</v>
      </c>
      <c r="G4" s="181" t="s">
        <v>413</v>
      </c>
      <c r="H4" s="181" t="s">
        <v>416</v>
      </c>
    </row>
    <row r="5" spans="1:14">
      <c r="A5" s="196"/>
      <c r="B5" s="197" t="s">
        <v>417</v>
      </c>
      <c r="D5" s="198"/>
      <c r="E5" s="198"/>
      <c r="F5" s="198"/>
      <c r="G5" s="198"/>
      <c r="H5" s="198"/>
    </row>
    <row r="6" spans="1:14">
      <c r="A6" s="196"/>
      <c r="B6" s="197" t="str">
        <f>nmLOB1 &amp; " Volume"</f>
        <v>Riverside Volume</v>
      </c>
      <c r="D6" s="199">
        <f t="shared" ref="D6:H6" si="0">dataMMLOB2UnitsNew*(1+D5)</f>
        <v>5023.7550000000001</v>
      </c>
      <c r="E6" s="199">
        <f t="shared" si="0"/>
        <v>5074.5</v>
      </c>
      <c r="F6" s="199">
        <f t="shared" si="0"/>
        <v>5100</v>
      </c>
      <c r="G6" s="199">
        <f t="shared" si="0"/>
        <v>5253</v>
      </c>
      <c r="H6" s="199">
        <f t="shared" si="0"/>
        <v>5463.12</v>
      </c>
      <c r="I6" s="199"/>
    </row>
    <row r="7" spans="1:14">
      <c r="A7" s="196"/>
      <c r="C7" s="199"/>
      <c r="D7" s="199"/>
      <c r="E7" s="199"/>
      <c r="F7" s="197"/>
      <c r="G7" s="199"/>
      <c r="H7" s="199"/>
      <c r="I7" s="199"/>
    </row>
    <row r="8" spans="1:14">
      <c r="A8" s="196"/>
      <c r="D8" s="199" t="s">
        <v>418</v>
      </c>
      <c r="E8" s="199"/>
      <c r="F8" s="199"/>
      <c r="G8" s="199"/>
      <c r="H8" s="199"/>
      <c r="I8" s="197"/>
      <c r="J8" s="199" t="s">
        <v>418</v>
      </c>
      <c r="K8" s="199"/>
      <c r="L8" s="199"/>
      <c r="M8" s="199"/>
      <c r="N8" s="199"/>
    </row>
    <row r="9" spans="1:14">
      <c r="A9" s="196"/>
      <c r="C9" s="197" t="s">
        <v>419</v>
      </c>
      <c r="D9" s="199">
        <f>INDEX($D6:$H6,4)</f>
        <v>5253</v>
      </c>
      <c r="E9" s="199"/>
      <c r="F9" s="199"/>
      <c r="G9" s="199"/>
      <c r="H9" s="199"/>
      <c r="I9" s="197" t="s">
        <v>419</v>
      </c>
      <c r="J9" s="199">
        <f>INDEX($D6:$H6,5)</f>
        <v>5463.12</v>
      </c>
      <c r="K9" s="199"/>
      <c r="L9" s="199"/>
      <c r="M9" s="199"/>
      <c r="N9" s="199"/>
    </row>
    <row r="10" spans="1:14">
      <c r="A10" s="196"/>
      <c r="C10" s="197" t="s">
        <v>420</v>
      </c>
      <c r="D10" s="199">
        <f>D9</f>
        <v>5253</v>
      </c>
      <c r="E10" s="199"/>
      <c r="F10" s="199"/>
      <c r="G10" s="199"/>
      <c r="H10" s="199"/>
      <c r="I10" s="197" t="s">
        <v>420</v>
      </c>
      <c r="J10" s="199">
        <f>J9</f>
        <v>5463.12</v>
      </c>
      <c r="K10" s="199"/>
      <c r="L10" s="199"/>
      <c r="M10" s="199"/>
      <c r="N10" s="199"/>
    </row>
    <row r="11" spans="1:14">
      <c r="A11" s="196"/>
      <c r="C11" s="197" t="s">
        <v>421</v>
      </c>
      <c r="D11" s="200"/>
      <c r="E11" s="199"/>
      <c r="F11" s="199"/>
      <c r="G11" s="199"/>
      <c r="H11" s="199"/>
      <c r="I11" s="197" t="s">
        <v>421</v>
      </c>
      <c r="J11" s="200"/>
      <c r="K11" s="199"/>
      <c r="L11" s="199"/>
      <c r="M11" s="199"/>
      <c r="N11" s="199"/>
    </row>
    <row r="12" spans="1:14">
      <c r="A12" s="196"/>
      <c r="C12" s="197" t="s">
        <v>422</v>
      </c>
      <c r="D12" s="201">
        <f>D10</f>
        <v>5253</v>
      </c>
      <c r="E12" s="199"/>
      <c r="F12" s="199"/>
      <c r="G12" s="199"/>
      <c r="H12" s="199"/>
      <c r="I12" s="197" t="s">
        <v>422</v>
      </c>
      <c r="J12" s="201">
        <f>J10</f>
        <v>5463.12</v>
      </c>
      <c r="K12" s="199"/>
      <c r="L12" s="199"/>
      <c r="M12" s="199"/>
      <c r="N12" s="199"/>
    </row>
    <row r="13" spans="1:14">
      <c r="A13" s="196"/>
      <c r="I13" s="197"/>
      <c r="J13" s="197"/>
      <c r="M13" s="181"/>
      <c r="N13" s="181"/>
    </row>
    <row r="14" spans="1:14">
      <c r="A14" s="196"/>
      <c r="I14" s="197"/>
      <c r="J14" s="197"/>
      <c r="M14" s="181"/>
      <c r="N14" s="181"/>
    </row>
    <row r="15" spans="1:14">
      <c r="A15" s="196"/>
      <c r="I15" s="197"/>
      <c r="J15" s="197"/>
      <c r="M15" s="181"/>
      <c r="N15" s="181"/>
    </row>
    <row r="16" spans="1:14">
      <c r="A16" s="196"/>
      <c r="B16" s="197" t="s">
        <v>423</v>
      </c>
      <c r="E16" s="202" t="b">
        <v>1</v>
      </c>
      <c r="F16" s="202" t="b">
        <v>1</v>
      </c>
      <c r="G16" s="202" t="b">
        <v>1</v>
      </c>
      <c r="H16" s="183">
        <f>COUNTIF(E16:G16,TRUE)</f>
        <v>3</v>
      </c>
      <c r="I16" s="197"/>
      <c r="J16" s="197"/>
      <c r="K16" s="202" t="b">
        <v>1</v>
      </c>
      <c r="L16" s="202" t="b">
        <v>1</v>
      </c>
      <c r="M16" s="202" t="b">
        <v>1</v>
      </c>
      <c r="N16" s="183">
        <f>COUNTIF(K16:M16,TRUE)</f>
        <v>3</v>
      </c>
    </row>
    <row r="17" spans="1:17">
      <c r="A17" s="196"/>
      <c r="B17" s="197" t="s">
        <v>424</v>
      </c>
      <c r="C17" s="181" t="s">
        <v>425</v>
      </c>
      <c r="D17" s="181" t="s">
        <v>426</v>
      </c>
      <c r="I17" s="181" t="s">
        <v>425</v>
      </c>
      <c r="J17" s="181" t="s">
        <v>426</v>
      </c>
      <c r="M17" s="181"/>
      <c r="N17" s="181"/>
    </row>
    <row r="18" spans="1:17">
      <c r="A18" s="196">
        <v>1</v>
      </c>
      <c r="B18" s="203" t="str">
        <f t="shared" ref="B18:B24" si="1">INDEX(tblMMLOB1Drivers,$A18,1)</f>
        <v>Referral Volume</v>
      </c>
      <c r="C18" s="202">
        <f t="shared" ref="C18:C24" si="2">INDEX(tblMMLOB1Drivers,$A18,3)</f>
        <v>10</v>
      </c>
      <c r="D18" s="204">
        <v>1</v>
      </c>
      <c r="E18" s="207">
        <f>paramLOB2ReferralVolume</f>
        <v>1</v>
      </c>
      <c r="F18" s="207">
        <f>paramLOB2ReferralVolume</f>
        <v>0.95</v>
      </c>
      <c r="G18" s="207">
        <f>paramLOB2ReferralVolume</f>
        <v>1.05</v>
      </c>
      <c r="H18" s="183"/>
      <c r="I18" s="202">
        <f t="shared" ref="I18:I24" si="3">INDEX(tblMMLOB1Drivers,$A18,3)</f>
        <v>10</v>
      </c>
      <c r="J18" s="204">
        <v>1</v>
      </c>
      <c r="K18" s="207">
        <f>paramR2LOB2ReferralVolume</f>
        <v>1</v>
      </c>
      <c r="L18" s="207">
        <f>paramR2LOB2ReferralVolume</f>
        <v>1</v>
      </c>
      <c r="M18" s="207">
        <f>paramR2LOB2ReferralVolume</f>
        <v>1.05</v>
      </c>
      <c r="N18" s="183"/>
      <c r="Q18" s="206"/>
    </row>
    <row r="19" spans="1:17">
      <c r="A19" s="196"/>
      <c r="B19" s="648" t="s">
        <v>7599</v>
      </c>
      <c r="C19" s="647">
        <v>6</v>
      </c>
      <c r="D19" s="649"/>
      <c r="E19" s="650">
        <f>IF($E$16=TRUE,E18,0)</f>
        <v>1</v>
      </c>
      <c r="F19" s="650">
        <f t="shared" ref="F19:G19" si="4">IF($E$16=TRUE,F18,0)</f>
        <v>0.95</v>
      </c>
      <c r="G19" s="650">
        <f t="shared" si="4"/>
        <v>1.05</v>
      </c>
      <c r="H19" s="183">
        <f>IF($H$16=0,0,SUM(E19:G19)/$H$16)</f>
        <v>1</v>
      </c>
      <c r="I19" s="647">
        <v>6</v>
      </c>
      <c r="J19" s="649"/>
      <c r="K19" s="650">
        <f>IF($K$16=TRUE,K18,0)</f>
        <v>1</v>
      </c>
      <c r="L19" s="650">
        <f t="shared" ref="L19:M19" si="5">IF($K$16=TRUE,L18,0)</f>
        <v>1</v>
      </c>
      <c r="M19" s="650">
        <f t="shared" si="5"/>
        <v>1.05</v>
      </c>
      <c r="N19" s="183">
        <f>IF($H$16=0,0,SUM(K19:M19)/$H$16)</f>
        <v>1.0166666666666666</v>
      </c>
      <c r="Q19" s="206"/>
    </row>
    <row r="20" spans="1:17">
      <c r="A20" s="196"/>
      <c r="B20" s="648" t="s">
        <v>7598</v>
      </c>
      <c r="C20" s="651">
        <f>STDEVP(E19:G19)*C19+(STDEVP(E19:G19)=0)</f>
        <v>0.24494897427831802</v>
      </c>
      <c r="D20" s="649"/>
      <c r="E20" s="650">
        <f>IF(E19=0,0,(NORMDIST(E18,$H19,$C20,TRUE)))*($E$16=TRUE)</f>
        <v>0.5</v>
      </c>
      <c r="F20" s="650">
        <f t="shared" ref="F20:G20" si="6">IF(F19=0,0,(NORMDIST(F18,$H19,$C20,TRUE)))*($E$16=TRUE)</f>
        <v>0.41912824319291309</v>
      </c>
      <c r="G20" s="650">
        <f t="shared" si="6"/>
        <v>0.58087175680708691</v>
      </c>
      <c r="H20" s="183"/>
      <c r="I20" s="651">
        <f>STDEVP(K19:M19)*I19+(STDEVP(K19:M19)=0)</f>
        <v>0.14142135623730961</v>
      </c>
      <c r="J20" s="649"/>
      <c r="K20" s="650">
        <f>IF(K19=0,0,(NORMDIST(K18,$N19,$I20,TRUE)))*($K$16=TRUE)</f>
        <v>0.45309280787746431</v>
      </c>
      <c r="L20" s="650">
        <f t="shared" ref="L20:M20" si="7">IF(L19=0,0,(NORMDIST(L18,$N19,$I20,TRUE)))*($K$16=TRUE)</f>
        <v>0.45309280787746431</v>
      </c>
      <c r="M20" s="650">
        <f t="shared" si="7"/>
        <v>0.59316814211660429</v>
      </c>
      <c r="N20" s="183"/>
      <c r="Q20" s="206"/>
    </row>
    <row r="21" spans="1:17">
      <c r="A21" s="196">
        <v>2</v>
      </c>
      <c r="B21" s="203" t="str">
        <f t="shared" si="1"/>
        <v>Clinical Quality</v>
      </c>
      <c r="C21" s="202">
        <f t="shared" si="2"/>
        <v>6</v>
      </c>
      <c r="D21" s="204">
        <f t="shared" ref="D21:D24" si="8">INDEX(tblMMLOB1Drivers,$A21,2)</f>
        <v>1</v>
      </c>
      <c r="E21" s="207">
        <f>cbalLOB2Stars</f>
        <v>0.6429999999999999</v>
      </c>
      <c r="F21" s="207">
        <f>cbalLOB2Stars</f>
        <v>0.754</v>
      </c>
      <c r="G21" s="207">
        <f>cbalLOB2Stars</f>
        <v>0.75369999999999993</v>
      </c>
      <c r="H21" s="183"/>
      <c r="I21" s="202">
        <f t="shared" si="3"/>
        <v>6</v>
      </c>
      <c r="J21" s="204">
        <f t="shared" ref="J21:J24" si="9">INDEX(tblMMLOB1Drivers,$A21,2)</f>
        <v>1</v>
      </c>
      <c r="K21" s="207">
        <f>cbalR2LOB2Stars</f>
        <v>0.64121040838303567</v>
      </c>
      <c r="L21" s="207">
        <f>cbalR2LOB2Stars</f>
        <v>0.77300000000000002</v>
      </c>
      <c r="M21" s="207">
        <f>cbalR2LOB2Stars</f>
        <v>0.74217663000649803</v>
      </c>
      <c r="N21" s="183"/>
      <c r="Q21" s="206"/>
    </row>
    <row r="22" spans="1:17">
      <c r="A22" s="196"/>
      <c r="B22" s="648" t="s">
        <v>7599</v>
      </c>
      <c r="C22" s="647">
        <v>6</v>
      </c>
      <c r="D22" s="649"/>
      <c r="E22" s="650">
        <f>IF($E$16=TRUE,E21,0)</f>
        <v>0.6429999999999999</v>
      </c>
      <c r="F22" s="650">
        <f t="shared" ref="F22" si="10">IF($E$16=TRUE,F21,0)</f>
        <v>0.754</v>
      </c>
      <c r="G22" s="650">
        <f t="shared" ref="G22" si="11">IF($E$16=TRUE,G21,0)</f>
        <v>0.75369999999999993</v>
      </c>
      <c r="H22" s="183">
        <f>IF($H$16=0,0,SUM(E22:G22)/$H$16)</f>
        <v>0.71689999999999987</v>
      </c>
      <c r="I22" s="647">
        <v>6</v>
      </c>
      <c r="J22" s="649"/>
      <c r="K22" s="650">
        <f>IF($K$16=TRUE,K21,0)</f>
        <v>0.64121040838303567</v>
      </c>
      <c r="L22" s="650">
        <f t="shared" ref="L22:M22" si="12">IF($K$16=TRUE,L21,0)</f>
        <v>0.77300000000000002</v>
      </c>
      <c r="M22" s="650">
        <f t="shared" si="12"/>
        <v>0.74217663000649803</v>
      </c>
      <c r="N22" s="183">
        <f>IF($H$16=0,0,SUM(K22:M22)/$H$16)</f>
        <v>0.71879567946317791</v>
      </c>
      <c r="Q22" s="206"/>
    </row>
    <row r="23" spans="1:17">
      <c r="A23" s="196"/>
      <c r="B23" s="648" t="s">
        <v>7598</v>
      </c>
      <c r="C23" s="651">
        <f>STDEVP(E22:G22)*C22+(STDEVP(E22:G22)=0)</f>
        <v>0.31353200793539421</v>
      </c>
      <c r="D23" s="649"/>
      <c r="E23" s="650">
        <f>IF(E22=0,0,(NORMDIST(E21,$H22,$C23,TRUE)))*($E$16=TRUE)</f>
        <v>0.40683210907823014</v>
      </c>
      <c r="F23" s="650">
        <f t="shared" ref="F23" si="13">IF(F22=0,0,(NORMDIST(F21,$H22,$C23,TRUE)))*($E$16=TRUE)</f>
        <v>0.54709659968600288</v>
      </c>
      <c r="G23" s="650">
        <f t="shared" ref="G23" si="14">IF(G22=0,0,(NORMDIST(G21,$H22,$C23,TRUE)))*($E$16=TRUE)</f>
        <v>0.5467175173893859</v>
      </c>
      <c r="H23" s="183"/>
      <c r="I23" s="651">
        <f>STDEVP(K22:M22)*I22+(STDEVP(K22:M22)=0)</f>
        <v>0.33771440304044292</v>
      </c>
      <c r="J23" s="649"/>
      <c r="K23" s="650">
        <f>IF(K22=0,0,(NORMDIST(K21,$N22,$I23,TRUE)))*($K$16=TRUE)</f>
        <v>0.40914832722524691</v>
      </c>
      <c r="L23" s="650">
        <f t="shared" ref="L23:M23" si="15">IF(L22=0,0,(NORMDIST(L21,$N22,$I23,TRUE)))*($K$16=TRUE)</f>
        <v>0.563757740616318</v>
      </c>
      <c r="M23" s="650">
        <f t="shared" si="15"/>
        <v>0.52759788583636069</v>
      </c>
      <c r="N23" s="183"/>
      <c r="Q23" s="206"/>
    </row>
    <row r="24" spans="1:17">
      <c r="A24" s="196">
        <v>3</v>
      </c>
      <c r="B24" s="203" t="str">
        <f t="shared" si="1"/>
        <v>Referral Satisfaction</v>
      </c>
      <c r="C24" s="202">
        <f t="shared" si="2"/>
        <v>9</v>
      </c>
      <c r="D24" s="204">
        <f t="shared" si="8"/>
        <v>1</v>
      </c>
      <c r="E24" s="207">
        <f>calcLOB2CSAT</f>
        <v>0.63729999999999987</v>
      </c>
      <c r="F24" s="207">
        <f>calcLOB2CSAT</f>
        <v>0.71339999999999992</v>
      </c>
      <c r="G24" s="207">
        <f>calcLOB2CSAT</f>
        <v>0.70877000000000001</v>
      </c>
      <c r="H24" s="183"/>
      <c r="I24" s="202">
        <f t="shared" si="3"/>
        <v>9</v>
      </c>
      <c r="J24" s="204">
        <f t="shared" si="9"/>
        <v>1</v>
      </c>
      <c r="K24" s="207">
        <f>calcR2LOB2CSAT</f>
        <v>0.6357788471255803</v>
      </c>
      <c r="L24" s="207">
        <f>calcR2LOB2CSAT</f>
        <v>0.75329999999999997</v>
      </c>
      <c r="M24" s="207">
        <f>calcR2LOB2CSAT</f>
        <v>0.74585013550552337</v>
      </c>
      <c r="N24" s="183"/>
    </row>
    <row r="25" spans="1:17">
      <c r="A25" s="196"/>
      <c r="B25" s="648" t="s">
        <v>7599</v>
      </c>
      <c r="C25" s="647">
        <v>6</v>
      </c>
      <c r="D25" s="649"/>
      <c r="E25" s="650">
        <f>IF($E$16=TRUE,E24,0)</f>
        <v>0.63729999999999987</v>
      </c>
      <c r="F25" s="650">
        <f t="shared" ref="F25" si="16">IF($E$16=TRUE,F24,0)</f>
        <v>0.71339999999999992</v>
      </c>
      <c r="G25" s="650">
        <f t="shared" ref="G25" si="17">IF($E$16=TRUE,G24,0)</f>
        <v>0.70877000000000001</v>
      </c>
      <c r="H25" s="183">
        <f>IF($H$16=0,0,SUM(E25:G25)/$H$16)</f>
        <v>0.68648999999999993</v>
      </c>
      <c r="I25" s="647">
        <v>6</v>
      </c>
      <c r="J25" s="649"/>
      <c r="K25" s="650">
        <f>IF($K$16=TRUE,K24,0)</f>
        <v>0.6357788471255803</v>
      </c>
      <c r="L25" s="650">
        <f t="shared" ref="L25:M25" si="18">IF($K$16=TRUE,L24,0)</f>
        <v>0.75329999999999997</v>
      </c>
      <c r="M25" s="650">
        <f t="shared" si="18"/>
        <v>0.74585013550552337</v>
      </c>
      <c r="N25" s="183">
        <f>IF($H$16=0,0,SUM(K25:M25)/$H$16)</f>
        <v>0.71164299421036803</v>
      </c>
    </row>
    <row r="26" spans="1:17">
      <c r="A26" s="196"/>
      <c r="B26" s="648" t="s">
        <v>7598</v>
      </c>
      <c r="C26" s="651">
        <f>STDEVP(E25:G25)*C25+(STDEVP(E25:G25)=0)</f>
        <v>0.20900342389539966</v>
      </c>
      <c r="D26" s="649"/>
      <c r="E26" s="650">
        <f>IF(E25=0,0,(NORMDIST(E24,$H25,$C26,TRUE)))*($E$16=TRUE)</f>
        <v>0.40696660650235278</v>
      </c>
      <c r="F26" s="650">
        <f>IF(F25=0,0,(NORMDIST(F24,$H25,$C26,TRUE)))*($E$16=TRUE)</f>
        <v>0.55122379661638476</v>
      </c>
      <c r="G26" s="650">
        <f t="shared" ref="G26" si="19">IF(G25=0,0,(NORMDIST(G24,$H25,$C26,TRUE)))*($E$16=TRUE)</f>
        <v>0.54244728675393228</v>
      </c>
      <c r="H26" s="183"/>
      <c r="I26" s="651">
        <f>STDEVP(K25:M25)*I25+(STDEVP(K25:M25)=0)</f>
        <v>0.3223812052805769</v>
      </c>
      <c r="J26" s="649"/>
      <c r="K26" s="650">
        <f>IF(K25=0,0,(NORMDIST(K24,$N25,$I26,TRUE)))*($K$16=TRUE)</f>
        <v>0.40697849917715861</v>
      </c>
      <c r="L26" s="650">
        <f>IF(L25=0,0,(NORMDIST(L24,$N25,$I26,TRUE)))*($K$16=TRUE)</f>
        <v>0.55140687240285635</v>
      </c>
      <c r="M26" s="650">
        <f t="shared" ref="M26" si="20">IF(M25=0,0,(NORMDIST(M24,$N25,$I26,TRUE)))*($K$16=TRUE)</f>
        <v>0.54225156513432871</v>
      </c>
      <c r="N26" s="183"/>
    </row>
    <row r="27" spans="1:17">
      <c r="A27" s="196">
        <v>10</v>
      </c>
      <c r="B27" s="203" t="s">
        <v>428</v>
      </c>
      <c r="C27" s="202">
        <v>0</v>
      </c>
      <c r="D27" s="204"/>
      <c r="E27" s="207"/>
      <c r="F27" s="207"/>
      <c r="G27" s="207"/>
      <c r="H27" s="183"/>
      <c r="I27" s="202">
        <v>0</v>
      </c>
      <c r="J27" s="204"/>
      <c r="K27" s="207"/>
      <c r="L27" s="207"/>
      <c r="M27" s="207"/>
      <c r="N27" s="183"/>
    </row>
    <row r="28" spans="1:17">
      <c r="A28" s="196"/>
      <c r="I28" s="197"/>
      <c r="J28" s="197"/>
      <c r="M28" s="181"/>
      <c r="N28" s="181"/>
    </row>
    <row r="29" spans="1:17" ht="10.5">
      <c r="A29" s="196"/>
      <c r="B29" s="208" t="s">
        <v>429</v>
      </c>
      <c r="D29" s="181" t="s">
        <v>425</v>
      </c>
      <c r="H29" s="181" t="s">
        <v>427</v>
      </c>
      <c r="I29" s="197"/>
      <c r="J29" s="181" t="s">
        <v>425</v>
      </c>
      <c r="M29" s="181"/>
      <c r="N29" s="181" t="s">
        <v>427</v>
      </c>
    </row>
    <row r="30" spans="1:17">
      <c r="A30" s="196"/>
      <c r="C30" s="209" t="str">
        <f>B18</f>
        <v>Referral Volume</v>
      </c>
      <c r="D30" s="210">
        <f>C18</f>
        <v>10</v>
      </c>
      <c r="E30" s="653">
        <f>$D30*E20</f>
        <v>5</v>
      </c>
      <c r="F30" s="653">
        <f t="shared" ref="F30:G30" si="21">$D30*F20</f>
        <v>4.1912824319291309</v>
      </c>
      <c r="G30" s="654">
        <f t="shared" si="21"/>
        <v>5.8087175680708691</v>
      </c>
      <c r="H30" s="212">
        <f>SUMIF($E$16:$G$16,TRUE,E30:G30)/MAX(1,$H$16)</f>
        <v>5</v>
      </c>
      <c r="I30" s="209">
        <f>H18</f>
        <v>0</v>
      </c>
      <c r="J30" s="210">
        <f>I18</f>
        <v>10</v>
      </c>
      <c r="K30" s="653">
        <f>$J30*K20</f>
        <v>4.5309280787746431</v>
      </c>
      <c r="L30" s="653">
        <f t="shared" ref="L30:M30" si="22">$J30*L20</f>
        <v>4.5309280787746431</v>
      </c>
      <c r="M30" s="653">
        <f t="shared" si="22"/>
        <v>5.9316814211660427</v>
      </c>
      <c r="N30" s="212">
        <f>SUMIF($E$16:$G$16,TRUE,K30:M30)/MAX(1,$H$16)</f>
        <v>4.9978458595717763</v>
      </c>
      <c r="O30" s="181"/>
    </row>
    <row r="31" spans="1:17">
      <c r="A31" s="196"/>
      <c r="C31" s="213" t="str">
        <f>B21</f>
        <v>Clinical Quality</v>
      </c>
      <c r="D31" s="214">
        <f>C21</f>
        <v>6</v>
      </c>
      <c r="E31" s="655">
        <f>$D31*E23</f>
        <v>2.440992654469381</v>
      </c>
      <c r="F31" s="655">
        <f t="shared" ref="F31:G31" si="23">$D31*F23</f>
        <v>3.2825795981160173</v>
      </c>
      <c r="G31" s="656">
        <f t="shared" si="23"/>
        <v>3.2803051043363154</v>
      </c>
      <c r="H31" s="216">
        <f>SUMIF($E$16:$G$16,TRUE,E31:G31)/MAX(1,$H$16)</f>
        <v>3.0012924523072382</v>
      </c>
      <c r="I31" s="213">
        <f>H21</f>
        <v>0</v>
      </c>
      <c r="J31" s="214">
        <f>I21</f>
        <v>6</v>
      </c>
      <c r="K31" s="655">
        <f>$J31*K23</f>
        <v>2.4548899633514814</v>
      </c>
      <c r="L31" s="655">
        <f t="shared" ref="L31:M31" si="24">$J31*L23</f>
        <v>3.3825464436979082</v>
      </c>
      <c r="M31" s="655">
        <f t="shared" si="24"/>
        <v>3.1655873150181639</v>
      </c>
      <c r="N31" s="216">
        <f>SUMIF($E$16:$G$16,TRUE,K31:M31)/MAX(1,$H$16)</f>
        <v>3.0010079073558509</v>
      </c>
    </row>
    <row r="32" spans="1:17">
      <c r="A32" s="196"/>
      <c r="C32" s="213" t="str">
        <f>B24</f>
        <v>Referral Satisfaction</v>
      </c>
      <c r="D32" s="214">
        <f>C24</f>
        <v>9</v>
      </c>
      <c r="E32" s="655">
        <f>$D32*E26</f>
        <v>3.6626994585211752</v>
      </c>
      <c r="F32" s="655">
        <f t="shared" ref="F32:G32" si="25">$D32*F26</f>
        <v>4.9610141695474628</v>
      </c>
      <c r="G32" s="656">
        <f t="shared" si="25"/>
        <v>4.8820255807853901</v>
      </c>
      <c r="H32" s="216">
        <f>SUMIF($E$16:$G$16,TRUE,E32:G32)/MAX(1,$H$16)</f>
        <v>4.5019130696180092</v>
      </c>
      <c r="I32" s="213">
        <f>H24</f>
        <v>0</v>
      </c>
      <c r="J32" s="214">
        <f>I24</f>
        <v>9</v>
      </c>
      <c r="K32" s="655">
        <f>$J32*K26</f>
        <v>3.6628064925944277</v>
      </c>
      <c r="L32" s="655">
        <f t="shared" ref="L32:M32" si="26">$J32*L26</f>
        <v>4.9626618516257075</v>
      </c>
      <c r="M32" s="655">
        <f t="shared" si="26"/>
        <v>4.8802640862089586</v>
      </c>
      <c r="N32" s="216">
        <f>SUMIF($E$16:$G$16,TRUE,K32:M32)/MAX(1,$H$16)</f>
        <v>4.5019108101430314</v>
      </c>
    </row>
    <row r="33" spans="1:15">
      <c r="A33" s="196"/>
      <c r="C33" s="217" t="str">
        <f>B27</f>
        <v>Special Programs</v>
      </c>
      <c r="D33" s="218">
        <f t="shared" ref="D33" si="27">C27</f>
        <v>0</v>
      </c>
      <c r="E33" s="652">
        <f>E27*SUM(E30:E32)</f>
        <v>0</v>
      </c>
      <c r="F33" s="652">
        <f>F27*SUM(F30:F32)</f>
        <v>0</v>
      </c>
      <c r="G33" s="657">
        <f>G27*SUM(G30:G32)</f>
        <v>0</v>
      </c>
      <c r="H33" s="220">
        <f>SUMIF($E$16:$G$16,TRUE,E33:G33)/MAX(1,$H$16)</f>
        <v>0</v>
      </c>
      <c r="I33" s="217">
        <f>H27</f>
        <v>0</v>
      </c>
      <c r="J33" s="218">
        <f t="shared" ref="J33" si="28">I27</f>
        <v>0</v>
      </c>
      <c r="K33" s="652">
        <f>K27*SUM(K30:K32)</f>
        <v>0</v>
      </c>
      <c r="L33" s="652">
        <f t="shared" ref="L33:M33" si="29">L27*SUM(L30:L32)</f>
        <v>0</v>
      </c>
      <c r="M33" s="652">
        <f t="shared" si="29"/>
        <v>0</v>
      </c>
      <c r="N33" s="220">
        <f>SUMIF($E$16:$G$16,TRUE,K33:M33)/MAX(1,$H$16)</f>
        <v>0</v>
      </c>
    </row>
    <row r="34" spans="1:15">
      <c r="A34" s="196"/>
      <c r="C34" s="217" t="s">
        <v>430</v>
      </c>
      <c r="D34" s="221"/>
      <c r="E34" s="218">
        <f>SUM(E30:E33)</f>
        <v>11.103692112990556</v>
      </c>
      <c r="F34" s="218">
        <f>SUM(F30:F33)</f>
        <v>12.434876199592612</v>
      </c>
      <c r="G34" s="218">
        <f>SUM(G30:G33)</f>
        <v>13.971048253192574</v>
      </c>
      <c r="H34" s="219">
        <f>SUM(E34:G34)</f>
        <v>37.509616565775744</v>
      </c>
      <c r="I34" s="217" t="s">
        <v>430</v>
      </c>
      <c r="J34" s="221"/>
      <c r="K34" s="218">
        <f>SUM(K30:K33)</f>
        <v>10.648624534720552</v>
      </c>
      <c r="L34" s="218">
        <f t="shared" ref="L34:M34" si="30">SUM(L30:L33)</f>
        <v>12.876136374098259</v>
      </c>
      <c r="M34" s="218">
        <f t="shared" si="30"/>
        <v>13.977532822393165</v>
      </c>
      <c r="N34" s="219">
        <f>SUM(K34:M34)</f>
        <v>37.502293731211978</v>
      </c>
    </row>
    <row r="35" spans="1:15">
      <c r="A35" s="196"/>
      <c r="C35" s="222" t="s">
        <v>225</v>
      </c>
      <c r="D35" s="223"/>
      <c r="E35" s="224">
        <f>E34/$H34</f>
        <v>0.29602254380605181</v>
      </c>
      <c r="F35" s="224">
        <f>F34/$H34</f>
        <v>0.33151168521776764</v>
      </c>
      <c r="G35" s="224">
        <f>G34/$H34</f>
        <v>0.3724657709761805</v>
      </c>
      <c r="H35" s="225">
        <f>D12</f>
        <v>5253</v>
      </c>
      <c r="I35" s="222" t="s">
        <v>225</v>
      </c>
      <c r="J35" s="223"/>
      <c r="K35" s="224">
        <f>K34/$N34</f>
        <v>0.28394595304068126</v>
      </c>
      <c r="L35" s="224">
        <f t="shared" ref="L35:M35" si="31">L34/$N34</f>
        <v>0.34334263569008999</v>
      </c>
      <c r="M35" s="224">
        <f t="shared" si="31"/>
        <v>0.37271141126922869</v>
      </c>
      <c r="N35" s="225">
        <f>J12</f>
        <v>5463.12</v>
      </c>
    </row>
    <row r="36" spans="1:15">
      <c r="A36" s="196"/>
      <c r="C36" s="209" t="s">
        <v>431</v>
      </c>
      <c r="D36" s="226"/>
      <c r="E36" s="227">
        <f>E35*$H35</f>
        <v>1555.0064226131901</v>
      </c>
      <c r="F36" s="227">
        <f>F35*$H35</f>
        <v>1741.4308824489333</v>
      </c>
      <c r="G36" s="227">
        <f>G35*$H35</f>
        <v>1956.5626949378761</v>
      </c>
      <c r="H36" s="228">
        <f>SUM(E36:G36)</f>
        <v>5253</v>
      </c>
      <c r="I36" s="209" t="s">
        <v>431</v>
      </c>
      <c r="J36" s="226"/>
      <c r="K36" s="227">
        <f>K35*$N35</f>
        <v>1551.2308149756066</v>
      </c>
      <c r="L36" s="227">
        <f t="shared" ref="L36:M36" si="32">L35*$N35</f>
        <v>1875.7220198912444</v>
      </c>
      <c r="M36" s="227">
        <f t="shared" si="32"/>
        <v>2036.1671651331485</v>
      </c>
      <c r="N36" s="228">
        <f>SUM(K36:M36)</f>
        <v>5463.119999999999</v>
      </c>
    </row>
    <row r="37" spans="1:15">
      <c r="A37" s="196"/>
      <c r="C37" s="213" t="s">
        <v>432</v>
      </c>
      <c r="D37" s="229"/>
      <c r="E37" s="230">
        <v>0</v>
      </c>
      <c r="F37" s="230">
        <v>0</v>
      </c>
      <c r="G37" s="230">
        <v>0</v>
      </c>
      <c r="H37" s="231">
        <f>SUM(E37:G37)</f>
        <v>0</v>
      </c>
      <c r="I37" s="213" t="s">
        <v>432</v>
      </c>
      <c r="J37" s="229"/>
      <c r="K37" s="230">
        <v>0</v>
      </c>
      <c r="L37" s="230">
        <v>0</v>
      </c>
      <c r="M37" s="230">
        <v>0</v>
      </c>
      <c r="N37" s="231">
        <f>SUM(K37:M37)</f>
        <v>0</v>
      </c>
      <c r="O37" s="133"/>
    </row>
    <row r="38" spans="1:15">
      <c r="A38" s="196"/>
      <c r="C38" s="213" t="s">
        <v>433</v>
      </c>
      <c r="D38" s="229"/>
      <c r="E38" s="232">
        <f>E36*(1+E37)</f>
        <v>1555.0064226131901</v>
      </c>
      <c r="F38" s="232">
        <f>F36*(1+F37)</f>
        <v>1741.4308824489333</v>
      </c>
      <c r="G38" s="232">
        <f>G36*(1+G37)</f>
        <v>1956.5626949378761</v>
      </c>
      <c r="H38" s="233">
        <f>SUM(E38:G38)</f>
        <v>5253</v>
      </c>
      <c r="I38" s="213" t="s">
        <v>433</v>
      </c>
      <c r="J38" s="229"/>
      <c r="K38" s="232">
        <f>K36*(1+K37)</f>
        <v>1551.2308149756066</v>
      </c>
      <c r="L38" s="232">
        <f t="shared" ref="L38:M38" si="33">L36*(1+L37)</f>
        <v>1875.7220198912444</v>
      </c>
      <c r="M38" s="232">
        <f t="shared" si="33"/>
        <v>2036.1671651331485</v>
      </c>
      <c r="N38" s="233">
        <f>SUM(K38:M38)</f>
        <v>5463.119999999999</v>
      </c>
      <c r="O38" s="133" t="s">
        <v>7600</v>
      </c>
    </row>
    <row r="39" spans="1:15">
      <c r="A39" s="196"/>
      <c r="C39" s="234" t="s">
        <v>434</v>
      </c>
      <c r="D39" s="235"/>
      <c r="E39" s="710">
        <f>E38/$H38</f>
        <v>0.29602254380605181</v>
      </c>
      <c r="F39" s="711">
        <f>F38/$H38</f>
        <v>0.33151168521776764</v>
      </c>
      <c r="G39" s="711">
        <f>G38/$H38</f>
        <v>0.3724657709761805</v>
      </c>
      <c r="H39" s="237"/>
      <c r="I39" s="234" t="s">
        <v>434</v>
      </c>
      <c r="J39" s="235"/>
      <c r="K39" s="710">
        <f>K38/$N38</f>
        <v>0.28394595304068132</v>
      </c>
      <c r="L39" s="711">
        <f t="shared" ref="L39:M39" si="34">L38/$N38</f>
        <v>0.34334263569009005</v>
      </c>
      <c r="M39" s="711">
        <f t="shared" si="34"/>
        <v>0.37271141126922874</v>
      </c>
      <c r="N39" s="237"/>
      <c r="O39" s="133" t="s">
        <v>7601</v>
      </c>
    </row>
    <row r="40" spans="1:15">
      <c r="A40" s="196"/>
      <c r="C40" s="229" t="s">
        <v>7880</v>
      </c>
      <c r="D40" s="229"/>
      <c r="E40" s="712">
        <v>0.33000000000000007</v>
      </c>
      <c r="F40" s="712">
        <v>0.18</v>
      </c>
      <c r="G40" s="712">
        <v>0.49</v>
      </c>
      <c r="H40" s="229"/>
      <c r="I40" s="229"/>
      <c r="J40" s="229"/>
      <c r="K40" s="714">
        <f>E39</f>
        <v>0.29602254380605181</v>
      </c>
      <c r="L40" s="714">
        <f t="shared" ref="L40:M40" si="35">F39</f>
        <v>0.33151168521776764</v>
      </c>
      <c r="M40" s="714">
        <f t="shared" si="35"/>
        <v>0.3724657709761805</v>
      </c>
      <c r="N40" s="229"/>
      <c r="O40" s="133"/>
    </row>
    <row r="41" spans="1:15">
      <c r="A41" s="196"/>
      <c r="H41" s="133" t="s">
        <v>728</v>
      </c>
      <c r="I41" s="197"/>
      <c r="J41" s="197"/>
      <c r="M41" s="181"/>
      <c r="N41" s="133"/>
    </row>
    <row r="42" spans="1:15" ht="10.5">
      <c r="A42" s="196"/>
      <c r="B42" s="208" t="s">
        <v>435</v>
      </c>
      <c r="H42" s="133" t="s">
        <v>729</v>
      </c>
      <c r="I42" s="197"/>
      <c r="J42" s="197"/>
      <c r="M42" s="181"/>
      <c r="N42" s="133"/>
    </row>
    <row r="43" spans="1:15">
      <c r="A43" s="196"/>
      <c r="C43" s="181" t="s">
        <v>730</v>
      </c>
      <c r="H43" s="133"/>
      <c r="I43" s="133" t="s">
        <v>7860</v>
      </c>
      <c r="J43" s="197"/>
      <c r="M43" s="181"/>
      <c r="N43" s="181"/>
    </row>
    <row r="44" spans="1:15">
      <c r="A44" s="196"/>
      <c r="C44" s="238">
        <f>D30</f>
        <v>10</v>
      </c>
      <c r="D44" s="239" t="str">
        <f>B18</f>
        <v>Referral Volume</v>
      </c>
      <c r="E44" s="240">
        <f t="shared" ref="E44:G47" si="36">IF(E$16,IF($H$34=0,0,(E30-$H30)/$H$34),0)</f>
        <v>0</v>
      </c>
      <c r="F44" s="241">
        <f t="shared" si="36"/>
        <v>-2.1560272861033548E-2</v>
      </c>
      <c r="G44" s="241">
        <f t="shared" si="36"/>
        <v>2.1560272861033548E-2</v>
      </c>
      <c r="H44" s="280">
        <f>MAX(E44:G44)-MIN(E44:G44)</f>
        <v>4.3120545722067097E-2</v>
      </c>
      <c r="I44" s="238">
        <f>J30</f>
        <v>10</v>
      </c>
      <c r="J44" s="239">
        <f>H18</f>
        <v>0</v>
      </c>
      <c r="K44" s="240">
        <f>IF(K$16,IF($N$34=0,0,(K30-$N30)/$H$34),0)</f>
        <v>-1.2447948647471778E-2</v>
      </c>
      <c r="L44" s="240">
        <f t="shared" ref="L44:M44" si="37">IF(L$16,IF($N$34=0,0,(L30-$N30)/$H$34),0)</f>
        <v>-1.2447948647471778E-2</v>
      </c>
      <c r="M44" s="240">
        <f t="shared" si="37"/>
        <v>2.4895897294943556E-2</v>
      </c>
      <c r="N44" s="280">
        <f>MAX(K44:M44)-MIN(K44:M44)</f>
        <v>3.7343845942415334E-2</v>
      </c>
    </row>
    <row r="45" spans="1:15">
      <c r="A45" s="196"/>
      <c r="C45" s="242">
        <f>D31</f>
        <v>6</v>
      </c>
      <c r="D45" s="243" t="str">
        <f>B21</f>
        <v>Clinical Quality</v>
      </c>
      <c r="E45" s="244">
        <f t="shared" si="36"/>
        <v>-1.4937497344323215E-2</v>
      </c>
      <c r="F45" s="245">
        <f t="shared" si="36"/>
        <v>7.4990674808824657E-3</v>
      </c>
      <c r="G45" s="245">
        <f t="shared" si="36"/>
        <v>7.438429863440725E-3</v>
      </c>
      <c r="H45" s="280">
        <f t="shared" ref="H45:H46" si="38">MAX(E45:G45)-MIN(E45:G45)</f>
        <v>2.2436564825205681E-2</v>
      </c>
      <c r="I45" s="242">
        <f>J31</f>
        <v>6</v>
      </c>
      <c r="J45" s="243">
        <f>H21</f>
        <v>0</v>
      </c>
      <c r="K45" s="244">
        <f>IF(K$16,IF($N$34=0,0,(K31-$N31)/$H$34),0)</f>
        <v>-1.4559411532418983E-2</v>
      </c>
      <c r="L45" s="244">
        <f t="shared" ref="L45:M45" si="39">IF(L$16,IF($N$34=0,0,(L31-$N31)/$H$34),0)</f>
        <v>1.0171752507067162E-2</v>
      </c>
      <c r="M45" s="244">
        <f t="shared" si="39"/>
        <v>4.387659025351846E-3</v>
      </c>
      <c r="N45" s="280">
        <f t="shared" ref="N45:N46" si="40">MAX(K45:M45)-MIN(K45:M45)</f>
        <v>2.4731164039486143E-2</v>
      </c>
    </row>
    <row r="46" spans="1:15">
      <c r="A46" s="196"/>
      <c r="C46" s="242">
        <f>D32</f>
        <v>9</v>
      </c>
      <c r="D46" s="243" t="str">
        <f>B24</f>
        <v>Referral Satisfaction</v>
      </c>
      <c r="E46" s="244">
        <f t="shared" si="36"/>
        <v>-2.2373292182958311E-2</v>
      </c>
      <c r="F46" s="245">
        <f t="shared" si="36"/>
        <v>1.2239557264585406E-2</v>
      </c>
      <c r="G46" s="245">
        <f t="shared" si="36"/>
        <v>1.0133734918372918E-2</v>
      </c>
      <c r="H46" s="280">
        <f t="shared" si="38"/>
        <v>3.4612849447543718E-2</v>
      </c>
      <c r="I46" s="242">
        <f>J32</f>
        <v>9</v>
      </c>
      <c r="J46" s="243">
        <f>H24</f>
        <v>0</v>
      </c>
      <c r="K46" s="244">
        <f>IF(K$16,IF($N$34=0,0,(K32-$N32)/$N$34),0)</f>
        <v>-2.2374746557175078E-2</v>
      </c>
      <c r="L46" s="244">
        <f t="shared" ref="L46:M46" si="41">IF(L$16,IF($N$34=0,0,(L32-$N32)/$N$34),0)</f>
        <v>1.2285942955516011E-2</v>
      </c>
      <c r="M46" s="244">
        <f t="shared" si="41"/>
        <v>1.0088803601659055E-2</v>
      </c>
      <c r="N46" s="280">
        <f t="shared" si="40"/>
        <v>3.4660689512691092E-2</v>
      </c>
    </row>
    <row r="47" spans="1:15">
      <c r="A47" s="196"/>
      <c r="C47" s="246">
        <f>D33</f>
        <v>0</v>
      </c>
      <c r="D47" s="247" t="str">
        <f>B27</f>
        <v>Special Programs</v>
      </c>
      <c r="E47" s="248">
        <f t="shared" si="36"/>
        <v>0</v>
      </c>
      <c r="F47" s="249">
        <f t="shared" si="36"/>
        <v>0</v>
      </c>
      <c r="G47" s="249">
        <f t="shared" si="36"/>
        <v>0</v>
      </c>
      <c r="I47" s="246">
        <f>J33</f>
        <v>0</v>
      </c>
      <c r="J47" s="247">
        <f>H27</f>
        <v>0</v>
      </c>
      <c r="K47" s="248">
        <f>IF(K$16,IF($H$34=0,0,(K33-$H33)/$H$34),0)</f>
        <v>0</v>
      </c>
      <c r="L47" s="248">
        <f t="shared" ref="L47:M47" si="42">IF(L$16,IF($H$34=0,0,(L33-$H33)/$H$34),0)</f>
        <v>0</v>
      </c>
      <c r="M47" s="248">
        <f t="shared" si="42"/>
        <v>0</v>
      </c>
      <c r="N47" s="181"/>
    </row>
    <row r="48" spans="1:15">
      <c r="A48" s="196"/>
      <c r="C48" s="234"/>
      <c r="D48" s="235" t="s">
        <v>13</v>
      </c>
      <c r="E48" s="250">
        <f>SUM(E44:E47)</f>
        <v>-3.7310789527281528E-2</v>
      </c>
      <c r="F48" s="250">
        <f>SUM(F44:F47)</f>
        <v>-1.8216481155656772E-3</v>
      </c>
      <c r="G48" s="250">
        <f>SUM(G44:G47)</f>
        <v>3.9132437642847191E-2</v>
      </c>
      <c r="I48" s="234"/>
      <c r="J48" s="235" t="s">
        <v>13</v>
      </c>
      <c r="K48" s="250">
        <f>SUM(K44:K47)</f>
        <v>-4.9382106737065841E-2</v>
      </c>
      <c r="L48" s="250">
        <f t="shared" ref="L48:M48" si="43">SUM(L44:L47)</f>
        <v>1.0009746815111395E-2</v>
      </c>
      <c r="M48" s="250">
        <f t="shared" si="43"/>
        <v>3.937235992195446E-2</v>
      </c>
      <c r="N48" s="181"/>
    </row>
    <row r="49" spans="1:14">
      <c r="A49" s="196"/>
      <c r="I49" s="197"/>
      <c r="J49" s="197"/>
      <c r="M49" s="181"/>
      <c r="N49" s="181"/>
    </row>
    <row r="50" spans="1:14">
      <c r="A50" s="196"/>
      <c r="B50" s="197" t="s">
        <v>436</v>
      </c>
      <c r="I50" s="197"/>
      <c r="J50" s="197"/>
      <c r="M50" s="181"/>
      <c r="N50" s="181"/>
    </row>
    <row r="51" spans="1:14" ht="10.5">
      <c r="A51" s="196"/>
      <c r="B51" s="197" t="s">
        <v>731</v>
      </c>
      <c r="C51" s="181" t="s">
        <v>425</v>
      </c>
      <c r="D51" s="252">
        <v>2</v>
      </c>
      <c r="E51" s="252">
        <v>3</v>
      </c>
      <c r="F51" s="252">
        <v>4</v>
      </c>
      <c r="G51" s="252">
        <v>5</v>
      </c>
      <c r="H51" s="197"/>
      <c r="I51" s="181" t="s">
        <v>425</v>
      </c>
      <c r="J51" s="252">
        <v>2</v>
      </c>
      <c r="K51" s="252">
        <v>3</v>
      </c>
      <c r="L51" s="252">
        <v>4</v>
      </c>
      <c r="M51" s="252">
        <v>5</v>
      </c>
    </row>
    <row r="52" spans="1:14">
      <c r="A52" s="196"/>
      <c r="B52" s="209">
        <v>1</v>
      </c>
      <c r="C52" s="211">
        <f>LARGE(C$44:C$47,B52)</f>
        <v>10</v>
      </c>
      <c r="D52" s="254" t="str">
        <f t="shared" ref="D52:G56" si="44">VLOOKUP($C52,mmLOB2ImpactTable,D$51,FALSE)</f>
        <v>Referral Volume</v>
      </c>
      <c r="E52" s="672">
        <f t="shared" si="44"/>
        <v>0</v>
      </c>
      <c r="F52" s="255">
        <f t="shared" si="44"/>
        <v>-2.1560272861033548E-2</v>
      </c>
      <c r="G52" s="255">
        <f t="shared" si="44"/>
        <v>2.1560272861033548E-2</v>
      </c>
      <c r="H52" s="209">
        <v>1</v>
      </c>
      <c r="I52" s="211">
        <f>LARGE(I$44:I$47,H52)</f>
        <v>10</v>
      </c>
      <c r="J52" s="254" t="str">
        <f t="shared" ref="J52:J56" si="45">VLOOKUP($C52,mmLOB2ImpactTable,J$51,FALSE)</f>
        <v>Referral Volume</v>
      </c>
      <c r="K52" s="672">
        <f t="shared" ref="K52:M56" si="46">VLOOKUP($C52,mmR2LOB2ImpactTable,K$51,FALSE)</f>
        <v>-1.2447948647471778E-2</v>
      </c>
      <c r="L52" s="255">
        <f t="shared" si="46"/>
        <v>-1.2447948647471778E-2</v>
      </c>
      <c r="M52" s="255">
        <f t="shared" si="46"/>
        <v>2.4895897294943556E-2</v>
      </c>
      <c r="N52" s="197" t="s">
        <v>7863</v>
      </c>
    </row>
    <row r="53" spans="1:14">
      <c r="A53" s="196"/>
      <c r="B53" s="213">
        <v>2</v>
      </c>
      <c r="C53" s="215">
        <f>LARGE(C$44:C$47,B53)</f>
        <v>9</v>
      </c>
      <c r="D53" s="257" t="str">
        <f t="shared" si="44"/>
        <v>Referral Satisfaction</v>
      </c>
      <c r="E53" s="673">
        <f t="shared" si="44"/>
        <v>-2.2373292182958311E-2</v>
      </c>
      <c r="F53" s="259">
        <f t="shared" si="44"/>
        <v>1.2239557264585406E-2</v>
      </c>
      <c r="G53" s="259">
        <f t="shared" si="44"/>
        <v>1.0133734918372918E-2</v>
      </c>
      <c r="H53" s="213">
        <v>2</v>
      </c>
      <c r="I53" s="215">
        <f>LARGE(I$44:I$47,H53)</f>
        <v>9</v>
      </c>
      <c r="J53" s="257" t="str">
        <f t="shared" si="45"/>
        <v>Referral Satisfaction</v>
      </c>
      <c r="K53" s="673">
        <f t="shared" si="46"/>
        <v>-2.2374746557175078E-2</v>
      </c>
      <c r="L53" s="259">
        <f t="shared" si="46"/>
        <v>1.2285942955516011E-2</v>
      </c>
      <c r="M53" s="259">
        <f t="shared" si="46"/>
        <v>1.0088803601659055E-2</v>
      </c>
      <c r="N53" s="197" t="s">
        <v>7864</v>
      </c>
    </row>
    <row r="54" spans="1:14">
      <c r="A54" s="196"/>
      <c r="B54" s="213">
        <v>3</v>
      </c>
      <c r="C54" s="215">
        <f>LARGE(C$44:C$47,B54)</f>
        <v>6</v>
      </c>
      <c r="D54" s="257" t="str">
        <f t="shared" si="44"/>
        <v>Clinical Quality</v>
      </c>
      <c r="E54" s="673">
        <f t="shared" si="44"/>
        <v>-1.4937497344323215E-2</v>
      </c>
      <c r="F54" s="259">
        <f t="shared" si="44"/>
        <v>7.4990674808824657E-3</v>
      </c>
      <c r="G54" s="259">
        <f t="shared" si="44"/>
        <v>7.438429863440725E-3</v>
      </c>
      <c r="H54" s="213">
        <v>3</v>
      </c>
      <c r="I54" s="215">
        <f>LARGE(I$44:I$47,H54)</f>
        <v>6</v>
      </c>
      <c r="J54" s="257" t="str">
        <f t="shared" si="45"/>
        <v>Clinical Quality</v>
      </c>
      <c r="K54" s="673">
        <f t="shared" si="46"/>
        <v>-1.4559411532418983E-2</v>
      </c>
      <c r="L54" s="259">
        <f t="shared" si="46"/>
        <v>1.0171752507067162E-2</v>
      </c>
      <c r="M54" s="259">
        <f t="shared" si="46"/>
        <v>4.387659025351846E-3</v>
      </c>
      <c r="N54" s="197" t="s">
        <v>7865</v>
      </c>
    </row>
    <row r="55" spans="1:14">
      <c r="A55" s="196"/>
      <c r="B55" s="213">
        <v>4</v>
      </c>
      <c r="C55" s="215">
        <f>LARGE(C$44:C$47,B55)</f>
        <v>0</v>
      </c>
      <c r="D55" s="257" t="str">
        <f t="shared" si="44"/>
        <v>Special Programs</v>
      </c>
      <c r="E55" s="258">
        <f t="shared" si="44"/>
        <v>0</v>
      </c>
      <c r="F55" s="259">
        <f t="shared" si="44"/>
        <v>0</v>
      </c>
      <c r="G55" s="259">
        <f t="shared" si="44"/>
        <v>0</v>
      </c>
      <c r="H55" s="213">
        <v>4</v>
      </c>
      <c r="I55" s="215">
        <f>LARGE(I$44:I$47,H55)</f>
        <v>0</v>
      </c>
      <c r="J55" s="257" t="str">
        <f t="shared" si="45"/>
        <v>Special Programs</v>
      </c>
      <c r="K55" s="258">
        <f t="shared" si="46"/>
        <v>0</v>
      </c>
      <c r="L55" s="259">
        <f t="shared" si="46"/>
        <v>0</v>
      </c>
      <c r="M55" s="259">
        <f t="shared" si="46"/>
        <v>0</v>
      </c>
    </row>
    <row r="56" spans="1:14">
      <c r="A56" s="196"/>
      <c r="B56" s="217">
        <v>10</v>
      </c>
      <c r="C56" s="260"/>
      <c r="D56" s="261" t="str">
        <f t="shared" si="44"/>
        <v>Special Programs</v>
      </c>
      <c r="E56" s="262">
        <f t="shared" si="44"/>
        <v>0</v>
      </c>
      <c r="F56" s="262">
        <f t="shared" si="44"/>
        <v>0</v>
      </c>
      <c r="G56" s="262">
        <f t="shared" si="44"/>
        <v>0</v>
      </c>
      <c r="H56" s="217">
        <v>10</v>
      </c>
      <c r="I56" s="260"/>
      <c r="J56" s="261" t="str">
        <f t="shared" si="45"/>
        <v>Special Programs</v>
      </c>
      <c r="K56" s="262">
        <f t="shared" si="46"/>
        <v>0</v>
      </c>
      <c r="L56" s="262">
        <f t="shared" si="46"/>
        <v>0</v>
      </c>
      <c r="M56" s="262">
        <f t="shared" si="46"/>
        <v>0</v>
      </c>
    </row>
    <row r="57" spans="1:14">
      <c r="A57" s="196"/>
      <c r="I57" s="197"/>
      <c r="J57" s="197"/>
      <c r="M57" s="181"/>
      <c r="N57" s="181"/>
    </row>
    <row r="58" spans="1:14">
      <c r="A58" s="196"/>
      <c r="B58" s="197" t="s">
        <v>440</v>
      </c>
      <c r="C58" s="181" t="s">
        <v>441</v>
      </c>
      <c r="I58" s="181" t="s">
        <v>441</v>
      </c>
      <c r="J58" s="197"/>
      <c r="M58" s="181"/>
      <c r="N58" s="181"/>
    </row>
    <row r="59" spans="1:14">
      <c r="A59" s="196"/>
      <c r="B59" s="197">
        <v>1</v>
      </c>
      <c r="C59" s="263">
        <f t="shared" ref="C59:D62" si="47">C52</f>
        <v>10</v>
      </c>
      <c r="D59" s="265" t="str">
        <f t="shared" si="47"/>
        <v>Referral Volume</v>
      </c>
      <c r="E59" s="264">
        <f t="shared" ref="E59:G62" si="48">IF($E65&gt;0,(E52-$C65)/$E65-0.5,0)</f>
        <v>0</v>
      </c>
      <c r="F59" s="264">
        <f t="shared" si="48"/>
        <v>-0.5</v>
      </c>
      <c r="G59" s="264">
        <f t="shared" si="48"/>
        <v>0.5</v>
      </c>
      <c r="I59" s="263">
        <f t="shared" ref="I59:J62" si="49">I52</f>
        <v>10</v>
      </c>
      <c r="J59" s="265" t="str">
        <f t="shared" si="49"/>
        <v>Referral Volume</v>
      </c>
      <c r="K59" s="264">
        <f t="shared" ref="K59:M62" si="50">IF($E65&gt;0,(K52-$C65)/$E65-0.5,0)</f>
        <v>-0.28867790142789163</v>
      </c>
      <c r="L59" s="264">
        <f t="shared" si="50"/>
        <v>-0.28867790142789163</v>
      </c>
      <c r="M59" s="264">
        <f t="shared" si="50"/>
        <v>0.57735580285578325</v>
      </c>
      <c r="N59" s="181"/>
    </row>
    <row r="60" spans="1:14">
      <c r="A60" s="196"/>
      <c r="B60" s="197">
        <v>2</v>
      </c>
      <c r="C60" s="263">
        <f t="shared" si="47"/>
        <v>9</v>
      </c>
      <c r="D60" s="265" t="str">
        <f t="shared" si="47"/>
        <v>Referral Satisfaction</v>
      </c>
      <c r="E60" s="264">
        <f t="shared" si="48"/>
        <v>-0.5</v>
      </c>
      <c r="F60" s="264">
        <f t="shared" si="48"/>
        <v>0.5</v>
      </c>
      <c r="G60" s="264">
        <f t="shared" si="48"/>
        <v>0.43916067645907353</v>
      </c>
      <c r="I60" s="263">
        <f t="shared" si="49"/>
        <v>9</v>
      </c>
      <c r="J60" s="265" t="str">
        <f t="shared" si="49"/>
        <v>Referral Satisfaction</v>
      </c>
      <c r="K60" s="264">
        <f t="shared" si="50"/>
        <v>-0.50004201833249728</v>
      </c>
      <c r="L60" s="264">
        <f t="shared" si="50"/>
        <v>0.50134012921995641</v>
      </c>
      <c r="M60" s="264">
        <f t="shared" si="50"/>
        <v>0.43786256557161385</v>
      </c>
      <c r="N60" s="181"/>
    </row>
    <row r="61" spans="1:14">
      <c r="A61" s="196"/>
      <c r="B61" s="197">
        <v>3</v>
      </c>
      <c r="C61" s="263">
        <f t="shared" si="47"/>
        <v>6</v>
      </c>
      <c r="D61" s="265" t="str">
        <f t="shared" si="47"/>
        <v>Clinical Quality</v>
      </c>
      <c r="E61" s="264">
        <f t="shared" si="48"/>
        <v>-0.5</v>
      </c>
      <c r="F61" s="264">
        <f t="shared" si="48"/>
        <v>0.5</v>
      </c>
      <c r="G61" s="264">
        <f t="shared" si="48"/>
        <v>0.49729737515906991</v>
      </c>
      <c r="I61" s="263">
        <f t="shared" si="49"/>
        <v>6</v>
      </c>
      <c r="J61" s="265" t="str">
        <f t="shared" si="49"/>
        <v>Clinical Quality</v>
      </c>
      <c r="K61" s="264">
        <f t="shared" si="50"/>
        <v>-0.48314867650864796</v>
      </c>
      <c r="L61" s="264">
        <f t="shared" si="50"/>
        <v>0.61912184628112699</v>
      </c>
      <c r="M61" s="264">
        <f t="shared" si="50"/>
        <v>0.36132420538659282</v>
      </c>
      <c r="N61" s="181"/>
    </row>
    <row r="62" spans="1:14">
      <c r="A62" s="196"/>
      <c r="B62" s="197">
        <v>4</v>
      </c>
      <c r="C62" s="263">
        <f t="shared" si="47"/>
        <v>0</v>
      </c>
      <c r="D62" s="265" t="str">
        <f t="shared" si="47"/>
        <v>Special Programs</v>
      </c>
      <c r="E62" s="264">
        <f t="shared" si="48"/>
        <v>0</v>
      </c>
      <c r="F62" s="264">
        <f t="shared" si="48"/>
        <v>0</v>
      </c>
      <c r="G62" s="264">
        <f t="shared" si="48"/>
        <v>0</v>
      </c>
      <c r="I62" s="263">
        <f t="shared" si="49"/>
        <v>0</v>
      </c>
      <c r="J62" s="265" t="str">
        <f t="shared" si="49"/>
        <v>Special Programs</v>
      </c>
      <c r="K62" s="264">
        <f t="shared" si="50"/>
        <v>0</v>
      </c>
      <c r="L62" s="264">
        <f t="shared" si="50"/>
        <v>0</v>
      </c>
      <c r="M62" s="264">
        <f t="shared" si="50"/>
        <v>0</v>
      </c>
      <c r="N62" s="181"/>
    </row>
    <row r="63" spans="1:14">
      <c r="A63" s="196"/>
      <c r="I63" s="197"/>
      <c r="J63" s="197"/>
      <c r="M63" s="181"/>
      <c r="N63" s="181"/>
    </row>
    <row r="64" spans="1:14" ht="10.5">
      <c r="A64" s="196"/>
      <c r="C64" s="253" t="s">
        <v>437</v>
      </c>
      <c r="D64" s="253" t="s">
        <v>438</v>
      </c>
      <c r="E64" s="253" t="s">
        <v>439</v>
      </c>
      <c r="I64" s="253" t="s">
        <v>437</v>
      </c>
      <c r="J64" s="253" t="s">
        <v>438</v>
      </c>
      <c r="K64" s="253" t="s">
        <v>439</v>
      </c>
      <c r="M64" s="181"/>
      <c r="N64" s="181"/>
    </row>
    <row r="65" spans="1:14">
      <c r="A65" s="196"/>
      <c r="C65" s="256">
        <f>MIN(E52:G52)</f>
        <v>-2.1560272861033548E-2</v>
      </c>
      <c r="D65" s="256">
        <f>MAX(E52:G52)</f>
        <v>2.1560272861033548E-2</v>
      </c>
      <c r="E65" s="256">
        <f t="shared" ref="E65:E69" si="51">D65-C65</f>
        <v>4.3120545722067097E-2</v>
      </c>
      <c r="I65" s="256">
        <f>MIN(K52:M52)</f>
        <v>-1.2447948647471778E-2</v>
      </c>
      <c r="J65" s="256">
        <f>MAX(K52:M52)</f>
        <v>2.4895897294943556E-2</v>
      </c>
      <c r="K65" s="256">
        <f t="shared" ref="K65:K69" si="52">J65-I65</f>
        <v>3.7343845942415334E-2</v>
      </c>
      <c r="M65" s="181"/>
      <c r="N65" s="181"/>
    </row>
    <row r="66" spans="1:14">
      <c r="A66" s="196"/>
      <c r="C66" s="256">
        <f>MIN(E53:G53)</f>
        <v>-2.2373292182958311E-2</v>
      </c>
      <c r="D66" s="256">
        <f>MAX(E53:G53)</f>
        <v>1.2239557264585406E-2</v>
      </c>
      <c r="E66" s="256">
        <f t="shared" si="51"/>
        <v>3.4612849447543718E-2</v>
      </c>
      <c r="I66" s="256">
        <f>MIN(K53:M53)</f>
        <v>-2.2374746557175078E-2</v>
      </c>
      <c r="J66" s="256">
        <f>MAX(K53:M53)</f>
        <v>1.2285942955516011E-2</v>
      </c>
      <c r="K66" s="256">
        <f t="shared" si="52"/>
        <v>3.4660689512691092E-2</v>
      </c>
      <c r="M66" s="181"/>
      <c r="N66" s="181"/>
    </row>
    <row r="67" spans="1:14">
      <c r="A67" s="196"/>
      <c r="C67" s="256">
        <f>MIN(E54:G54)</f>
        <v>-1.4937497344323215E-2</v>
      </c>
      <c r="D67" s="256">
        <f>MAX(E54:G54)</f>
        <v>7.4990674808824657E-3</v>
      </c>
      <c r="E67" s="256">
        <f t="shared" si="51"/>
        <v>2.2436564825205681E-2</v>
      </c>
      <c r="I67" s="256">
        <f>MIN(K54:M54)</f>
        <v>-1.4559411532418983E-2</v>
      </c>
      <c r="J67" s="256">
        <f>MAX(K54:M54)</f>
        <v>1.0171752507067162E-2</v>
      </c>
      <c r="K67" s="256">
        <f t="shared" si="52"/>
        <v>2.4731164039486143E-2</v>
      </c>
      <c r="M67" s="181"/>
      <c r="N67" s="181"/>
    </row>
    <row r="68" spans="1:14">
      <c r="A68" s="196"/>
      <c r="C68" s="256">
        <f>MIN(E55:G55)</f>
        <v>0</v>
      </c>
      <c r="D68" s="256">
        <f>MAX(E55:G55)</f>
        <v>0</v>
      </c>
      <c r="E68" s="256">
        <f t="shared" si="51"/>
        <v>0</v>
      </c>
      <c r="I68" s="256">
        <f>MIN(K55:M55)</f>
        <v>0</v>
      </c>
      <c r="J68" s="256">
        <f>MAX(K55:M55)</f>
        <v>0</v>
      </c>
      <c r="K68" s="256">
        <f t="shared" si="52"/>
        <v>0</v>
      </c>
      <c r="M68" s="181"/>
      <c r="N68" s="181"/>
    </row>
    <row r="69" spans="1:14">
      <c r="A69" s="196"/>
      <c r="C69" s="256">
        <f>MIN(E56:G56)</f>
        <v>0</v>
      </c>
      <c r="D69" s="256">
        <f>MAX(E56:G56)</f>
        <v>0</v>
      </c>
      <c r="E69" s="256">
        <f t="shared" si="51"/>
        <v>0</v>
      </c>
      <c r="I69" s="256">
        <f>MIN(K56:M56)</f>
        <v>0</v>
      </c>
      <c r="J69" s="256">
        <f>MAX(K56:M56)</f>
        <v>0</v>
      </c>
      <c r="K69" s="256">
        <f t="shared" si="52"/>
        <v>0</v>
      </c>
      <c r="M69" s="181"/>
      <c r="N69" s="181"/>
    </row>
    <row r="70" spans="1:14">
      <c r="A70" s="196"/>
    </row>
    <row r="71" spans="1:14">
      <c r="A71" s="196"/>
    </row>
    <row r="72" spans="1:14">
      <c r="A72" s="196"/>
    </row>
    <row r="73" spans="1:14">
      <c r="A73" s="196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R52"/>
  <sheetViews>
    <sheetView zoomScaleNormal="100" workbookViewId="0">
      <selection activeCell="Q1" sqref="Q1"/>
    </sheetView>
  </sheetViews>
  <sheetFormatPr defaultColWidth="9" defaultRowHeight="13.5"/>
  <cols>
    <col min="1" max="2" width="15.33203125" style="39" customWidth="1"/>
    <col min="3" max="3" width="4.77734375" style="39" customWidth="1"/>
    <col min="4" max="4" width="12.77734375" style="39" customWidth="1"/>
    <col min="5" max="14" width="14.77734375" style="40" customWidth="1"/>
    <col min="15" max="16384" width="9" style="39"/>
  </cols>
  <sheetData>
    <row r="1" spans="1:18" s="59" customFormat="1">
      <c r="A1" s="59" t="s">
        <v>333</v>
      </c>
      <c r="E1" s="44" t="s">
        <v>162</v>
      </c>
      <c r="F1" s="44" t="s">
        <v>161</v>
      </c>
      <c r="G1" s="44" t="s">
        <v>160</v>
      </c>
      <c r="H1" s="44" t="s">
        <v>159</v>
      </c>
      <c r="I1" s="44" t="s">
        <v>158</v>
      </c>
      <c r="J1" s="44" t="s">
        <v>310</v>
      </c>
      <c r="K1" s="44" t="s">
        <v>309</v>
      </c>
      <c r="L1" s="44" t="s">
        <v>308</v>
      </c>
      <c r="M1" s="44" t="s">
        <v>307</v>
      </c>
      <c r="N1" s="44" t="s">
        <v>306</v>
      </c>
      <c r="O1" s="59" t="s">
        <v>332</v>
      </c>
      <c r="Q1" s="60">
        <f>COUNTIF(A3:A100,"Graph Type")</f>
        <v>2</v>
      </c>
      <c r="R1" s="43" t="s">
        <v>305</v>
      </c>
    </row>
    <row r="2" spans="1:18" s="12" customFormat="1">
      <c r="D2" s="10"/>
      <c r="F2" s="10"/>
      <c r="G2" s="10"/>
      <c r="H2" s="10"/>
      <c r="I2" s="10"/>
      <c r="J2" s="10"/>
      <c r="K2" s="10"/>
    </row>
    <row r="3" spans="1:18" s="1" customFormat="1">
      <c r="A3" s="3"/>
      <c r="B3" s="1" t="s">
        <v>304</v>
      </c>
      <c r="G3" s="2"/>
      <c r="H3" s="2"/>
      <c r="I3" s="2"/>
      <c r="J3" s="2"/>
      <c r="K3" s="2"/>
      <c r="L3" s="2"/>
      <c r="M3" s="2"/>
      <c r="N3" s="2"/>
      <c r="O3" s="2"/>
      <c r="P3" s="2"/>
    </row>
    <row r="4" spans="1:18" s="12" customFormat="1">
      <c r="D4" s="10"/>
      <c r="F4" s="10"/>
      <c r="G4" s="10"/>
      <c r="H4" s="10"/>
      <c r="I4" s="10"/>
      <c r="J4" s="10"/>
      <c r="K4" s="10"/>
    </row>
    <row r="5" spans="1:18" s="12" customFormat="1" ht="14">
      <c r="B5" s="4"/>
      <c r="C5" s="13" t="s">
        <v>303</v>
      </c>
      <c r="D5" s="42"/>
      <c r="F5" s="42"/>
      <c r="G5" s="42"/>
      <c r="H5" s="5"/>
      <c r="I5" s="13" t="s">
        <v>111</v>
      </c>
      <c r="J5" s="42"/>
      <c r="K5" s="42"/>
      <c r="R5" s="12" t="s">
        <v>314</v>
      </c>
    </row>
    <row r="6" spans="1:18" s="12" customFormat="1" ht="14">
      <c r="B6" s="6"/>
      <c r="C6" s="13" t="s">
        <v>111</v>
      </c>
      <c r="D6" s="42"/>
      <c r="F6" s="42"/>
      <c r="G6" s="42"/>
      <c r="H6" s="42"/>
      <c r="I6" s="42"/>
      <c r="J6" s="42"/>
      <c r="K6" s="42"/>
      <c r="R6" s="12" t="s">
        <v>329</v>
      </c>
    </row>
    <row r="7" spans="1:18" s="12" customFormat="1" ht="14">
      <c r="B7" s="7"/>
      <c r="C7" s="13" t="s">
        <v>301</v>
      </c>
      <c r="D7" s="42"/>
      <c r="F7" s="42"/>
      <c r="G7" s="42"/>
      <c r="H7" s="42"/>
      <c r="I7" s="42"/>
      <c r="J7" s="42"/>
      <c r="K7" s="42"/>
    </row>
    <row r="8" spans="1:18" s="12" customFormat="1">
      <c r="D8" s="10"/>
      <c r="F8" s="10"/>
      <c r="G8" s="10"/>
      <c r="H8" s="10"/>
      <c r="I8" s="10"/>
      <c r="J8" s="10"/>
      <c r="K8" s="10"/>
    </row>
    <row r="9" spans="1:18" s="1" customFormat="1">
      <c r="A9" s="3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8" s="12" customFormat="1">
      <c r="D10" s="10"/>
      <c r="F10" s="10"/>
      <c r="G10" s="10"/>
      <c r="H10" s="10"/>
      <c r="I10" s="10"/>
      <c r="J10" s="10"/>
      <c r="K10" s="10"/>
    </row>
    <row r="11" spans="1:18">
      <c r="D11" s="41" t="s">
        <v>231</v>
      </c>
      <c r="E11" s="36" t="s">
        <v>331</v>
      </c>
      <c r="F11" s="36" t="s">
        <v>331</v>
      </c>
      <c r="G11" s="36" t="s">
        <v>331</v>
      </c>
      <c r="H11" s="36" t="s">
        <v>331</v>
      </c>
      <c r="I11" s="36" t="s">
        <v>331</v>
      </c>
      <c r="J11" s="36" t="s">
        <v>331</v>
      </c>
      <c r="K11" s="36" t="s">
        <v>331</v>
      </c>
      <c r="L11" s="36" t="s">
        <v>331</v>
      </c>
      <c r="M11" s="36" t="s">
        <v>331</v>
      </c>
      <c r="N11" s="36" t="s">
        <v>331</v>
      </c>
    </row>
    <row r="12" spans="1:18">
      <c r="E12" s="40" t="str">
        <f>E11&amp; " (1)"</f>
        <v>decteamname (1)</v>
      </c>
      <c r="F12" s="40" t="str">
        <f>F11&amp; " (2)"</f>
        <v>decteamname (2)</v>
      </c>
      <c r="G12" s="40" t="str">
        <f>G11&amp; " (3)"</f>
        <v>decteamname (3)</v>
      </c>
      <c r="H12" s="40" t="str">
        <f>H11&amp; " (4)"</f>
        <v>decteamname (4)</v>
      </c>
      <c r="I12" s="40" t="str">
        <f>I11&amp; " (5)"</f>
        <v>decteamname (5)</v>
      </c>
      <c r="J12" s="40" t="str">
        <f>J11&amp; " (6)"</f>
        <v>decteamname (6)</v>
      </c>
      <c r="K12" s="40" t="str">
        <f>K11&amp; " (7)"</f>
        <v>decteamname (7)</v>
      </c>
      <c r="L12" s="40" t="str">
        <f>L11&amp; " (8)"</f>
        <v>decteamname (8)</v>
      </c>
      <c r="M12" s="40" t="str">
        <f>M11&amp; " (9)"</f>
        <v>decteamname (9)</v>
      </c>
      <c r="N12" s="40" t="str">
        <f>N11&amp; " (10)"</f>
        <v>decteamname (10)</v>
      </c>
    </row>
    <row r="14" spans="1:18" ht="14" thickBot="1">
      <c r="D14" s="53" t="s">
        <v>233</v>
      </c>
      <c r="E14" s="36" t="s">
        <v>316</v>
      </c>
      <c r="F14" s="36" t="s">
        <v>316</v>
      </c>
      <c r="G14" s="36" t="s">
        <v>316</v>
      </c>
      <c r="H14" s="36" t="s">
        <v>316</v>
      </c>
      <c r="I14" s="36" t="s">
        <v>316</v>
      </c>
      <c r="J14" s="36" t="s">
        <v>316</v>
      </c>
      <c r="K14" s="36" t="s">
        <v>316</v>
      </c>
      <c r="L14" s="36" t="s">
        <v>316</v>
      </c>
      <c r="M14" s="36" t="s">
        <v>316</v>
      </c>
      <c r="N14" s="36" t="s">
        <v>316</v>
      </c>
      <c r="O14" s="52" t="s">
        <v>330</v>
      </c>
    </row>
    <row r="15" spans="1:18">
      <c r="A15" s="51" t="s">
        <v>291</v>
      </c>
      <c r="B15" s="38" t="s">
        <v>329</v>
      </c>
      <c r="D15" s="46"/>
      <c r="E15" s="58" t="str">
        <f t="shared" ref="E15:N15" si="0">E$12</f>
        <v>decteamname (1)</v>
      </c>
      <c r="F15" s="58" t="str">
        <f t="shared" si="0"/>
        <v>decteamname (2)</v>
      </c>
      <c r="G15" s="58" t="str">
        <f t="shared" si="0"/>
        <v>decteamname (3)</v>
      </c>
      <c r="H15" s="58" t="str">
        <f t="shared" si="0"/>
        <v>decteamname (4)</v>
      </c>
      <c r="I15" s="58" t="str">
        <f t="shared" si="0"/>
        <v>decteamname (5)</v>
      </c>
      <c r="J15" s="58" t="str">
        <f t="shared" si="0"/>
        <v>decteamname (6)</v>
      </c>
      <c r="K15" s="58" t="str">
        <f t="shared" si="0"/>
        <v>decteamname (7)</v>
      </c>
      <c r="L15" s="58" t="str">
        <f t="shared" si="0"/>
        <v>decteamname (8)</v>
      </c>
      <c r="M15" s="58" t="str">
        <f t="shared" si="0"/>
        <v>decteamname (9)</v>
      </c>
      <c r="N15" s="58" t="str">
        <f t="shared" si="0"/>
        <v>decteamname (10)</v>
      </c>
    </row>
    <row r="16" spans="1:18">
      <c r="A16" s="49" t="s">
        <v>17</v>
      </c>
      <c r="B16" s="37" t="s">
        <v>328</v>
      </c>
      <c r="D16" s="46">
        <v>0</v>
      </c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1:15">
      <c r="A17" s="49" t="s">
        <v>290</v>
      </c>
      <c r="B17" s="37" t="s">
        <v>233</v>
      </c>
      <c r="D17" s="46">
        <v>1</v>
      </c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1:15">
      <c r="A18" s="49" t="s">
        <v>289</v>
      </c>
      <c r="B18" s="37" t="s">
        <v>323</v>
      </c>
      <c r="D18" s="46">
        <v>2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1:15" ht="14" thickBot="1">
      <c r="A19" s="49" t="s">
        <v>288</v>
      </c>
      <c r="B19" s="35" t="s">
        <v>327</v>
      </c>
      <c r="D19" s="46">
        <v>3</v>
      </c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1:15">
      <c r="A20" s="49" t="s">
        <v>326</v>
      </c>
      <c r="B20" s="37">
        <v>24</v>
      </c>
      <c r="D20" s="46">
        <v>4</v>
      </c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1:15">
      <c r="A21" s="49" t="s">
        <v>325</v>
      </c>
      <c r="B21" s="37">
        <v>32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</row>
    <row r="22" spans="1:15" ht="14" thickBot="1">
      <c r="A22" s="48" t="s">
        <v>324</v>
      </c>
      <c r="B22" s="37">
        <v>40</v>
      </c>
      <c r="D22" s="53" t="s">
        <v>323</v>
      </c>
      <c r="E22" s="36" t="s">
        <v>316</v>
      </c>
      <c r="F22" s="36" t="s">
        <v>316</v>
      </c>
      <c r="G22" s="36" t="s">
        <v>316</v>
      </c>
      <c r="H22" s="36" t="s">
        <v>316</v>
      </c>
      <c r="I22" s="36" t="s">
        <v>316</v>
      </c>
      <c r="J22" s="36" t="s">
        <v>316</v>
      </c>
      <c r="K22" s="36" t="s">
        <v>316</v>
      </c>
      <c r="L22" s="36" t="s">
        <v>316</v>
      </c>
      <c r="M22" s="36" t="s">
        <v>316</v>
      </c>
      <c r="N22" s="36" t="s">
        <v>316</v>
      </c>
      <c r="O22" s="52" t="s">
        <v>322</v>
      </c>
    </row>
    <row r="23" spans="1:15" ht="14" thickBot="1">
      <c r="A23" s="56" t="s">
        <v>321</v>
      </c>
      <c r="B23" s="55"/>
      <c r="D23" s="46"/>
      <c r="E23" s="50" t="str">
        <f t="shared" ref="E23:N23" si="1">E$12</f>
        <v>decteamname (1)</v>
      </c>
      <c r="F23" s="50" t="str">
        <f t="shared" si="1"/>
        <v>decteamname (2)</v>
      </c>
      <c r="G23" s="50" t="str">
        <f t="shared" si="1"/>
        <v>decteamname (3)</v>
      </c>
      <c r="H23" s="50" t="str">
        <f t="shared" si="1"/>
        <v>decteamname (4)</v>
      </c>
      <c r="I23" s="50" t="str">
        <f t="shared" si="1"/>
        <v>decteamname (5)</v>
      </c>
      <c r="J23" s="50" t="str">
        <f t="shared" si="1"/>
        <v>decteamname (6)</v>
      </c>
      <c r="K23" s="50" t="str">
        <f t="shared" si="1"/>
        <v>decteamname (7)</v>
      </c>
      <c r="L23" s="50" t="str">
        <f t="shared" si="1"/>
        <v>decteamname (8)</v>
      </c>
      <c r="M23" s="50" t="str">
        <f t="shared" si="1"/>
        <v>decteamname (9)</v>
      </c>
      <c r="N23" s="50" t="str">
        <f t="shared" si="1"/>
        <v>decteamname (10)</v>
      </c>
    </row>
    <row r="24" spans="1:15">
      <c r="D24" s="46">
        <v>0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</row>
    <row r="25" spans="1:15">
      <c r="D25" s="46">
        <v>1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</row>
    <row r="26" spans="1:15">
      <c r="D26" s="46">
        <v>2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</row>
    <row r="27" spans="1:15">
      <c r="D27" s="46">
        <v>3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</row>
    <row r="28" spans="1:15">
      <c r="D28" s="46">
        <v>4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</row>
    <row r="29" spans="1:15"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</row>
    <row r="30" spans="1:15">
      <c r="D30" s="53" t="s">
        <v>320</v>
      </c>
      <c r="E30" s="36" t="s">
        <v>316</v>
      </c>
      <c r="F30" s="36" t="s">
        <v>316</v>
      </c>
      <c r="G30" s="36" t="s">
        <v>316</v>
      </c>
      <c r="H30" s="36" t="s">
        <v>316</v>
      </c>
      <c r="I30" s="36" t="s">
        <v>316</v>
      </c>
      <c r="J30" s="36" t="s">
        <v>316</v>
      </c>
      <c r="K30" s="36" t="s">
        <v>316</v>
      </c>
      <c r="L30" s="36" t="s">
        <v>316</v>
      </c>
      <c r="M30" s="36" t="s">
        <v>316</v>
      </c>
      <c r="N30" s="36" t="s">
        <v>316</v>
      </c>
      <c r="O30" s="52" t="s">
        <v>319</v>
      </c>
    </row>
    <row r="31" spans="1:15">
      <c r="D31" s="46"/>
      <c r="E31" s="50" t="str">
        <f t="shared" ref="E31:N31" si="2">E$12</f>
        <v>decteamname (1)</v>
      </c>
      <c r="F31" s="50" t="str">
        <f t="shared" si="2"/>
        <v>decteamname (2)</v>
      </c>
      <c r="G31" s="50" t="str">
        <f t="shared" si="2"/>
        <v>decteamname (3)</v>
      </c>
      <c r="H31" s="50" t="str">
        <f t="shared" si="2"/>
        <v>decteamname (4)</v>
      </c>
      <c r="I31" s="50" t="str">
        <f t="shared" si="2"/>
        <v>decteamname (5)</v>
      </c>
      <c r="J31" s="50" t="str">
        <f t="shared" si="2"/>
        <v>decteamname (6)</v>
      </c>
      <c r="K31" s="50" t="str">
        <f t="shared" si="2"/>
        <v>decteamname (7)</v>
      </c>
      <c r="L31" s="50" t="str">
        <f t="shared" si="2"/>
        <v>decteamname (8)</v>
      </c>
      <c r="M31" s="50" t="str">
        <f t="shared" si="2"/>
        <v>decteamname (9)</v>
      </c>
      <c r="N31" s="50" t="str">
        <f t="shared" si="2"/>
        <v>decteamname (10)</v>
      </c>
    </row>
    <row r="32" spans="1:15">
      <c r="D32" s="46">
        <v>0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</row>
    <row r="33" spans="1:15">
      <c r="D33" s="46">
        <v>1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</row>
    <row r="34" spans="1:15">
      <c r="D34" s="46">
        <v>2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</row>
    <row r="35" spans="1:15">
      <c r="D35" s="46">
        <v>3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</row>
    <row r="36" spans="1:15">
      <c r="D36" s="46">
        <v>4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</row>
    <row r="37" spans="1:15">
      <c r="D37" s="46"/>
      <c r="E37" s="54"/>
      <c r="F37" s="54"/>
      <c r="G37" s="54"/>
      <c r="H37" s="54"/>
      <c r="I37" s="54"/>
      <c r="J37" s="54"/>
      <c r="K37" s="54"/>
      <c r="L37" s="54"/>
      <c r="M37" s="54"/>
      <c r="N37" s="54"/>
    </row>
    <row r="38" spans="1:15">
      <c r="D38" s="53" t="s">
        <v>318</v>
      </c>
      <c r="E38" s="36" t="s">
        <v>316</v>
      </c>
      <c r="F38" s="36" t="s">
        <v>316</v>
      </c>
      <c r="G38" s="36" t="s">
        <v>316</v>
      </c>
      <c r="H38" s="36" t="s">
        <v>316</v>
      </c>
      <c r="I38" s="36" t="s">
        <v>316</v>
      </c>
      <c r="J38" s="36" t="s">
        <v>316</v>
      </c>
      <c r="K38" s="36" t="s">
        <v>316</v>
      </c>
      <c r="L38" s="36" t="s">
        <v>316</v>
      </c>
      <c r="M38" s="36" t="s">
        <v>316</v>
      </c>
      <c r="N38" s="36" t="s">
        <v>316</v>
      </c>
      <c r="O38" s="52" t="s">
        <v>317</v>
      </c>
    </row>
    <row r="39" spans="1:15">
      <c r="D39" s="46"/>
      <c r="E39" s="50" t="str">
        <f t="shared" ref="E39:N39" si="3">E$12</f>
        <v>decteamname (1)</v>
      </c>
      <c r="F39" s="50" t="str">
        <f t="shared" si="3"/>
        <v>decteamname (2)</v>
      </c>
      <c r="G39" s="50" t="str">
        <f t="shared" si="3"/>
        <v>decteamname (3)</v>
      </c>
      <c r="H39" s="50" t="str">
        <f t="shared" si="3"/>
        <v>decteamname (4)</v>
      </c>
      <c r="I39" s="50" t="str">
        <f t="shared" si="3"/>
        <v>decteamname (5)</v>
      </c>
      <c r="J39" s="50" t="str">
        <f t="shared" si="3"/>
        <v>decteamname (6)</v>
      </c>
      <c r="K39" s="50" t="str">
        <f t="shared" si="3"/>
        <v>decteamname (7)</v>
      </c>
      <c r="L39" s="50" t="str">
        <f t="shared" si="3"/>
        <v>decteamname (8)</v>
      </c>
      <c r="M39" s="50" t="str">
        <f t="shared" si="3"/>
        <v>decteamname (9)</v>
      </c>
      <c r="N39" s="50" t="str">
        <f t="shared" si="3"/>
        <v>decteamname (10)</v>
      </c>
    </row>
    <row r="40" spans="1:15">
      <c r="D40" s="46">
        <v>0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</row>
    <row r="41" spans="1:15">
      <c r="D41" s="46">
        <v>1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</row>
    <row r="42" spans="1:15">
      <c r="D42" s="46">
        <v>2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</row>
    <row r="43" spans="1:15">
      <c r="D43" s="46">
        <v>3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</row>
    <row r="44" spans="1:15">
      <c r="D44" s="46">
        <v>4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</row>
    <row r="46" spans="1:15" ht="14" thickBot="1">
      <c r="D46" s="47"/>
      <c r="E46" s="36" t="s">
        <v>316</v>
      </c>
      <c r="F46" s="36" t="s">
        <v>316</v>
      </c>
      <c r="G46" s="36" t="s">
        <v>316</v>
      </c>
      <c r="H46" s="36" t="s">
        <v>316</v>
      </c>
      <c r="I46" s="36" t="s">
        <v>316</v>
      </c>
      <c r="J46" s="36" t="s">
        <v>316</v>
      </c>
      <c r="K46" s="36" t="s">
        <v>316</v>
      </c>
      <c r="L46" s="36" t="s">
        <v>316</v>
      </c>
      <c r="M46" s="36" t="s">
        <v>316</v>
      </c>
      <c r="N46" s="36" t="s">
        <v>316</v>
      </c>
      <c r="O46" s="52" t="s">
        <v>315</v>
      </c>
    </row>
    <row r="47" spans="1:15">
      <c r="A47" s="51" t="s">
        <v>291</v>
      </c>
      <c r="B47" s="38" t="s">
        <v>314</v>
      </c>
      <c r="D47" s="47"/>
      <c r="E47" s="50" t="str">
        <f t="shared" ref="E47:N47" si="4">E$12</f>
        <v>decteamname (1)</v>
      </c>
      <c r="F47" s="50" t="str">
        <f t="shared" si="4"/>
        <v>decteamname (2)</v>
      </c>
      <c r="G47" s="50" t="str">
        <f t="shared" si="4"/>
        <v>decteamname (3)</v>
      </c>
      <c r="H47" s="50" t="str">
        <f t="shared" si="4"/>
        <v>decteamname (4)</v>
      </c>
      <c r="I47" s="50" t="str">
        <f t="shared" si="4"/>
        <v>decteamname (5)</v>
      </c>
      <c r="J47" s="50" t="str">
        <f t="shared" si="4"/>
        <v>decteamname (6)</v>
      </c>
      <c r="K47" s="50" t="str">
        <f t="shared" si="4"/>
        <v>decteamname (7)</v>
      </c>
      <c r="L47" s="50" t="str">
        <f t="shared" si="4"/>
        <v>decteamname (8)</v>
      </c>
      <c r="M47" s="50" t="str">
        <f t="shared" si="4"/>
        <v>decteamname (9)</v>
      </c>
      <c r="N47" s="50" t="str">
        <f t="shared" si="4"/>
        <v>decteamname (10)</v>
      </c>
      <c r="O47" s="47"/>
    </row>
    <row r="48" spans="1:15">
      <c r="A48" s="49" t="s">
        <v>17</v>
      </c>
      <c r="B48" s="37" t="s">
        <v>313</v>
      </c>
      <c r="D48" s="46">
        <v>0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7"/>
    </row>
    <row r="49" spans="1:15">
      <c r="A49" s="49" t="s">
        <v>290</v>
      </c>
      <c r="B49" s="37"/>
      <c r="D49" s="46">
        <v>1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7"/>
    </row>
    <row r="50" spans="1:15">
      <c r="A50" s="49" t="s">
        <v>289</v>
      </c>
      <c r="B50" s="37" t="s">
        <v>312</v>
      </c>
      <c r="D50" s="46">
        <v>2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7"/>
    </row>
    <row r="51" spans="1:15" ht="14" thickBot="1">
      <c r="A51" s="48" t="s">
        <v>288</v>
      </c>
      <c r="B51" s="35" t="s">
        <v>311</v>
      </c>
      <c r="D51" s="46">
        <v>3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7"/>
    </row>
    <row r="52" spans="1:15">
      <c r="D52" s="46">
        <v>4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</row>
  </sheetData>
  <conditionalFormatting sqref="N6:N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list" allowBlank="1" showInputMessage="1" showErrorMessage="1" sqref="B47">
      <formula1>listFBTypes</formula1>
    </dataValidation>
    <dataValidation type="list" allowBlank="1" showInputMessage="1" showErrorMessage="1" sqref="B15">
      <formula1>$R$5:$R$6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7285</vt:i4>
      </vt:variant>
    </vt:vector>
  </HeadingPairs>
  <TitlesOfParts>
    <vt:vector size="7317" baseType="lpstr">
      <vt:lpstr>Developer_READ_ME</vt:lpstr>
      <vt:lpstr>Facilitator_Instructions</vt:lpstr>
      <vt:lpstr>PopUp</vt:lpstr>
      <vt:lpstr>Controls</vt:lpstr>
      <vt:lpstr>Glossary</vt:lpstr>
      <vt:lpstr>tlIntro</vt:lpstr>
      <vt:lpstr>tlProd1DOO</vt:lpstr>
      <vt:lpstr>tlProd1Fcst</vt:lpstr>
      <vt:lpstr>tlProd1Staff</vt:lpstr>
      <vt:lpstr>tlProd2DOO</vt:lpstr>
      <vt:lpstr>tlProd2Fcst</vt:lpstr>
      <vt:lpstr>tlProd2Staff</vt:lpstr>
      <vt:lpstr>tlPnL</vt:lpstr>
      <vt:lpstr>CasePnL</vt:lpstr>
      <vt:lpstr>tlEvents</vt:lpstr>
      <vt:lpstr>obal</vt:lpstr>
      <vt:lpstr>cbal</vt:lpstr>
      <vt:lpstr>dec</vt:lpstr>
      <vt:lpstr>fin</vt:lpstr>
      <vt:lpstr>calc</vt:lpstr>
      <vt:lpstr>adj</vt:lpstr>
      <vt:lpstr>param</vt:lpstr>
      <vt:lpstr>data</vt:lpstr>
      <vt:lpstr>AutoCompetitors</vt:lpstr>
      <vt:lpstr>Draft Model</vt:lpstr>
      <vt:lpstr>Feedback</vt:lpstr>
      <vt:lpstr>CSV File</vt:lpstr>
      <vt:lpstr>Analysis</vt:lpstr>
      <vt:lpstr>decBA1</vt:lpstr>
      <vt:lpstr>mmLOB1</vt:lpstr>
      <vt:lpstr>mmLOB2</vt:lpstr>
      <vt:lpstr>FeedbackTS</vt:lpstr>
      <vt:lpstr>adj_CostCode</vt:lpstr>
      <vt:lpstr>adj_FTECode</vt:lpstr>
      <vt:lpstr>adj_IndexTeam</vt:lpstr>
      <vt:lpstr>caclLOB1Emp1Utilization</vt:lpstr>
      <vt:lpstr>caclLOB1Emp2Utilization</vt:lpstr>
      <vt:lpstr>caclLOB1Emp3Utilization</vt:lpstr>
      <vt:lpstr>caclLOB2Emp1Utilization</vt:lpstr>
      <vt:lpstr>caclLOB2Emp2Utilization</vt:lpstr>
      <vt:lpstr>caclLOB2Emp3Utilization</vt:lpstr>
      <vt:lpstr>calcLOB1AvgUtilization</vt:lpstr>
      <vt:lpstr>calcLOB1BDEngage</vt:lpstr>
      <vt:lpstr>calcLOB1Budget</vt:lpstr>
      <vt:lpstr>calcLOB1BudgetMM</vt:lpstr>
      <vt:lpstr>calcLOB1Clinician10AllocatedProd</vt:lpstr>
      <vt:lpstr>calcLOB1Clinician10AvgMissPerc</vt:lpstr>
      <vt:lpstr>calcLOB1Clinician10BaseProd</vt:lpstr>
      <vt:lpstr>calcLOB1Clinician10Disc1AvgMissPerc</vt:lpstr>
      <vt:lpstr>calcLOB1Clinician10Disc1BaseMissPerc</vt:lpstr>
      <vt:lpstr>calcLOB1Clinician10Disc1Emp1AllocatedProd</vt:lpstr>
      <vt:lpstr>calcLOB1Clinician10Disc1Emp1AllowPerc</vt:lpstr>
      <vt:lpstr>calcLOB1Clinician10Disc1Emp1BaseProd</vt:lpstr>
      <vt:lpstr>calcLOB1Clinician10Disc1Emp1GrossProd</vt:lpstr>
      <vt:lpstr>calcLOB1Clinician10Disc1Emp1MissVisits</vt:lpstr>
      <vt:lpstr>calcLOB1Clinician10Disc1Emp1ModifiedProd</vt:lpstr>
      <vt:lpstr>calcLOB1Clinician10Disc1Emp1NetProd</vt:lpstr>
      <vt:lpstr>calcLOB1Clinician10Disc1Emp1OverTIme</vt:lpstr>
      <vt:lpstr>calcLOB1Clinician10Disc2AvgMissPerc</vt:lpstr>
      <vt:lpstr>calcLOB1Clinician10Disc2BaseMissPerc</vt:lpstr>
      <vt:lpstr>calcLOB1Clinician10Disc2Emp1AllocatedProd</vt:lpstr>
      <vt:lpstr>calcLOB1Clinician10Disc2Emp1AllowPerc</vt:lpstr>
      <vt:lpstr>calcLOB1Clinician10Disc2Emp1BaseProd</vt:lpstr>
      <vt:lpstr>calcLOB1Clinician10Disc2Emp1GrossProd</vt:lpstr>
      <vt:lpstr>calcLOB1Clinician10Disc2Emp1MissVisits</vt:lpstr>
      <vt:lpstr>calcLOB1Clinician10Disc2Emp1ModifiedProd</vt:lpstr>
      <vt:lpstr>calcLOB1Clinician10Disc2Emp1NetProd</vt:lpstr>
      <vt:lpstr>calcLOB1Clinician10Disc2Emp1OverTIme</vt:lpstr>
      <vt:lpstr>calcLOB1Clinician10Emp2AllocatedProd</vt:lpstr>
      <vt:lpstr>calcLOB1Clinician10Emp2AllowPerc</vt:lpstr>
      <vt:lpstr>calcLOB1Clinician10Emp2AvgMissPerc</vt:lpstr>
      <vt:lpstr>calcLOB1Clinician10Emp2BaseMissPerc</vt:lpstr>
      <vt:lpstr>calcLOB1Clinician10Emp2BaseProd</vt:lpstr>
      <vt:lpstr>calcLOB1Clinician10Emp2GrossProd</vt:lpstr>
      <vt:lpstr>calcLOB1Clinician10Emp2MissVisits</vt:lpstr>
      <vt:lpstr>calcLOB1Clinician10Emp2ModifiedProd</vt:lpstr>
      <vt:lpstr>calcLOB1Clinician10Emp2NetProd</vt:lpstr>
      <vt:lpstr>calcLOB1Clinician10Emp2OverTIme</vt:lpstr>
      <vt:lpstr>calcLOB1Clinician10Emp3AllocatedProd</vt:lpstr>
      <vt:lpstr>calcLOB1Clinician10Emp3AllowPerc</vt:lpstr>
      <vt:lpstr>calcLOB1Clinician10Emp3AvgMissPerc</vt:lpstr>
      <vt:lpstr>calcLOB1Clinician10Emp3BaseMissPerc</vt:lpstr>
      <vt:lpstr>calcLOB1Clinician10Emp3BaseProd</vt:lpstr>
      <vt:lpstr>calcLOB1Clinician10Emp3GrossProd</vt:lpstr>
      <vt:lpstr>calcLOB1Clinician10Emp3MissVisits</vt:lpstr>
      <vt:lpstr>calcLOB1Clinician10Emp3ModifiedProd</vt:lpstr>
      <vt:lpstr>calcLOB1Clinician10Emp3NetProd</vt:lpstr>
      <vt:lpstr>calcLOB1Clinician10Emp3OverTIme</vt:lpstr>
      <vt:lpstr>calcLOB1Clinician10GrossProd</vt:lpstr>
      <vt:lpstr>calcLOB1Clinician10MissVisits</vt:lpstr>
      <vt:lpstr>calcLOB1Clinician10NetVisits</vt:lpstr>
      <vt:lpstr>calcLOB1Clinician10OverTime</vt:lpstr>
      <vt:lpstr>calcLOB1Clinician11AllocatedProd</vt:lpstr>
      <vt:lpstr>calcLOB1Clinician11AvgMissPerc</vt:lpstr>
      <vt:lpstr>calcLOB1Clinician11BaseProd</vt:lpstr>
      <vt:lpstr>calcLOB1Clinician11Disc1AvgMissPerc</vt:lpstr>
      <vt:lpstr>calcLOB1Clinician11Disc1BaseMissPerc</vt:lpstr>
      <vt:lpstr>calcLOB1Clinician11Disc1Emp1AllocatedProd</vt:lpstr>
      <vt:lpstr>calcLOB1Clinician11Disc1Emp1AllowPerc</vt:lpstr>
      <vt:lpstr>calcLOB1Clinician11Disc1Emp1BaseProd</vt:lpstr>
      <vt:lpstr>calcLOB1Clinician11Disc1Emp1GrossProd</vt:lpstr>
      <vt:lpstr>calcLOB1Clinician11Disc1Emp1MissVisits</vt:lpstr>
      <vt:lpstr>calcLOB1Clinician11Disc1Emp1ModifiedProd</vt:lpstr>
      <vt:lpstr>calcLOB1Clinician11Disc1Emp1NetProd</vt:lpstr>
      <vt:lpstr>calcLOB1Clinician11Disc1Emp1OverTIme</vt:lpstr>
      <vt:lpstr>calcLOB1Clinician11Disc2AvgMissPerc</vt:lpstr>
      <vt:lpstr>calcLOB1Clinician11Disc2BaseMissPerc</vt:lpstr>
      <vt:lpstr>calcLOB1Clinician11Disc2Emp1AllocatedProd</vt:lpstr>
      <vt:lpstr>calcLOB1Clinician11Disc2Emp1AllowPerc</vt:lpstr>
      <vt:lpstr>calcLOB1Clinician11Disc2Emp1BaseProd</vt:lpstr>
      <vt:lpstr>calcLOB1Clinician11Disc2Emp1GrossProd</vt:lpstr>
      <vt:lpstr>calcLOB1Clinician11Disc2Emp1MissVisits</vt:lpstr>
      <vt:lpstr>calcLOB1Clinician11Disc2Emp1ModifiedProd</vt:lpstr>
      <vt:lpstr>calcLOB1Clinician11Disc2Emp1NetProd</vt:lpstr>
      <vt:lpstr>calcLOB1Clinician11Disc2Emp1OverTIme</vt:lpstr>
      <vt:lpstr>calcLOB1Clinician11Emp2AllocatedProd</vt:lpstr>
      <vt:lpstr>calcLOB1Clinician11Emp2AllowPerc</vt:lpstr>
      <vt:lpstr>calcLOB1Clinician11Emp2AvgMissPerc</vt:lpstr>
      <vt:lpstr>calcLOB1Clinician11Emp2BaseMissPerc</vt:lpstr>
      <vt:lpstr>calcLOB1Clinician11Emp2BaseProd</vt:lpstr>
      <vt:lpstr>calcLOB1Clinician11Emp2GrossProd</vt:lpstr>
      <vt:lpstr>calcLOB1Clinician11Emp2MissVisits</vt:lpstr>
      <vt:lpstr>calcLOB1Clinician11Emp2ModifiedProd</vt:lpstr>
      <vt:lpstr>calcLOB1Clinician11Emp2NetProd</vt:lpstr>
      <vt:lpstr>calcLOB1Clinician11Emp2OverTIme</vt:lpstr>
      <vt:lpstr>calcLOB1Clinician11Emp3AllocatedProd</vt:lpstr>
      <vt:lpstr>calcLOB1Clinician11Emp3AllowPerc</vt:lpstr>
      <vt:lpstr>calcLOB1Clinician11Emp3AvgMissPerc</vt:lpstr>
      <vt:lpstr>calcLOB1Clinician11Emp3BaseMissPerc</vt:lpstr>
      <vt:lpstr>calcLOB1Clinician11Emp3BaseProd</vt:lpstr>
      <vt:lpstr>calcLOB1Clinician11Emp3GrossProd</vt:lpstr>
      <vt:lpstr>calcLOB1Clinician11Emp3MissVisits</vt:lpstr>
      <vt:lpstr>calcLOB1Clinician11Emp3ModifiedProd</vt:lpstr>
      <vt:lpstr>calcLOB1Clinician11Emp3NetProd</vt:lpstr>
      <vt:lpstr>calcLOB1Clinician11Emp3OverTIme</vt:lpstr>
      <vt:lpstr>calcLOB1Clinician11GrossProd</vt:lpstr>
      <vt:lpstr>calcLOB1Clinician11LookupValue</vt:lpstr>
      <vt:lpstr>calcLOB1Clinician11MissVisits</vt:lpstr>
      <vt:lpstr>calcLOB1Clinician11NetVisits</vt:lpstr>
      <vt:lpstr>calcLOB1Clinician11OverTime</vt:lpstr>
      <vt:lpstr>calcLOB1Clinician12AllocatedProd</vt:lpstr>
      <vt:lpstr>calcLOB1Clinician12AvgMissPerc</vt:lpstr>
      <vt:lpstr>calcLOB1Clinician12BaseProd</vt:lpstr>
      <vt:lpstr>calcLOB1Clinician12Disc1AvgMissPerc</vt:lpstr>
      <vt:lpstr>calcLOB1Clinician12Disc1BaseMissPerc</vt:lpstr>
      <vt:lpstr>calcLOB1Clinician12Disc1Emp1AllocatedProd</vt:lpstr>
      <vt:lpstr>calcLOB1Clinician12Disc1Emp1AllowPerc</vt:lpstr>
      <vt:lpstr>calcLOB1Clinician12Disc1Emp1BaseProd</vt:lpstr>
      <vt:lpstr>calcLOB1Clinician12Disc1Emp1GrossProd</vt:lpstr>
      <vt:lpstr>calcLOB1Clinician12Disc1Emp1MissVisits</vt:lpstr>
      <vt:lpstr>calcLOB1Clinician12Disc1Emp1ModifiedProd</vt:lpstr>
      <vt:lpstr>calcLOB1Clinician12Disc1Emp1NetProd</vt:lpstr>
      <vt:lpstr>calcLOB1Clinician12Disc1Emp1OverTIme</vt:lpstr>
      <vt:lpstr>calcLOB1Clinician12Disc2AvgMissPerc</vt:lpstr>
      <vt:lpstr>calcLOB1Clinician12Disc2BaseMissPerc</vt:lpstr>
      <vt:lpstr>calcLOB1Clinician12Disc2Emp1AllocatedProd</vt:lpstr>
      <vt:lpstr>calcLOB1Clinician12Disc2Emp1AllowPerc</vt:lpstr>
      <vt:lpstr>calcLOB1Clinician12Disc2Emp1BaseProd</vt:lpstr>
      <vt:lpstr>calcLOB1Clinician12Disc2Emp1GrossProd</vt:lpstr>
      <vt:lpstr>calcLOB1Clinician12Disc2Emp1MissVisits</vt:lpstr>
      <vt:lpstr>calcLOB1Clinician12Disc2Emp1ModifiedProd</vt:lpstr>
      <vt:lpstr>calcLOB1Clinician12Disc2Emp1NetProd</vt:lpstr>
      <vt:lpstr>calcLOB1Clinician12Disc2Emp1OverTIme</vt:lpstr>
      <vt:lpstr>calcLOB1Clinician12Emp2AllocatedProd</vt:lpstr>
      <vt:lpstr>calcLOB1Clinician12Emp2AllowPerc</vt:lpstr>
      <vt:lpstr>calcLOB1Clinician12Emp2AvgMissPerc</vt:lpstr>
      <vt:lpstr>calcLOB1Clinician12Emp2BaseMissPerc</vt:lpstr>
      <vt:lpstr>calcLOB1Clinician12Emp2BaseProd</vt:lpstr>
      <vt:lpstr>calcLOB1Clinician12Emp2GrossProd</vt:lpstr>
      <vt:lpstr>calcLOB1Clinician12Emp2MissVisits</vt:lpstr>
      <vt:lpstr>calcLOB1Clinician12Emp2ModifiedProd</vt:lpstr>
      <vt:lpstr>calcLOB1Clinician12Emp2NetProd</vt:lpstr>
      <vt:lpstr>calcLOB1Clinician12Emp2OverTIme</vt:lpstr>
      <vt:lpstr>calcLOB1Clinician12Emp3AllocatedProd</vt:lpstr>
      <vt:lpstr>calcLOB1Clinician12Emp3AllowPerc</vt:lpstr>
      <vt:lpstr>calcLOB1Clinician12Emp3AvgMissPerc</vt:lpstr>
      <vt:lpstr>calcLOB1Clinician12Emp3BaseMissPerc</vt:lpstr>
      <vt:lpstr>calcLOB1Clinician12Emp3BaseProd</vt:lpstr>
      <vt:lpstr>calcLOB1Clinician12Emp3GrossProd</vt:lpstr>
      <vt:lpstr>calcLOB1Clinician12Emp3MissVisits</vt:lpstr>
      <vt:lpstr>calcLOB1Clinician12Emp3ModifiedProd</vt:lpstr>
      <vt:lpstr>calcLOB1Clinician12Emp3NetProd</vt:lpstr>
      <vt:lpstr>calcLOB1Clinician12Emp3OverTIme</vt:lpstr>
      <vt:lpstr>calcLOB1Clinician12GrossProd</vt:lpstr>
      <vt:lpstr>calcLOB1Clinician12LookupValue</vt:lpstr>
      <vt:lpstr>calcLOB1Clinician12MissVisits</vt:lpstr>
      <vt:lpstr>calcLOB1Clinician12NetVisits</vt:lpstr>
      <vt:lpstr>calcLOB1Clinician12OverTime</vt:lpstr>
      <vt:lpstr>calcLOB1Clinician13Disc1AvgMissPerc</vt:lpstr>
      <vt:lpstr>calcLOB1Clinician13Disc1BaseMissPerc</vt:lpstr>
      <vt:lpstr>calcLOB1Clinician13Disc1Emp1AllocatedProd</vt:lpstr>
      <vt:lpstr>calcLOB1Clinician13Disc1Emp1AllowPerc</vt:lpstr>
      <vt:lpstr>calcLOB1Clinician13Disc1Emp1BaseProd</vt:lpstr>
      <vt:lpstr>calcLOB1Clinician13Disc1Emp1GrossProd</vt:lpstr>
      <vt:lpstr>calcLOB1Clinician13Disc1Emp1MissVisits</vt:lpstr>
      <vt:lpstr>calcLOB1Clinician13Disc1Emp1NetProd</vt:lpstr>
      <vt:lpstr>calcLOB1Clinician14Disc2AvgMissPerc</vt:lpstr>
      <vt:lpstr>calcLOB1Clinician14Disc2BaseMissPerc</vt:lpstr>
      <vt:lpstr>calcLOB1Clinician14Disc2Emp1AllocatedProd</vt:lpstr>
      <vt:lpstr>calcLOB1Clinician14Disc2Emp1AllowPerc</vt:lpstr>
      <vt:lpstr>calcLOB1Clinician14Disc2Emp1BaseProd</vt:lpstr>
      <vt:lpstr>calcLOB1Clinician14Disc2Emp1GrossProd</vt:lpstr>
      <vt:lpstr>calcLOB1Clinician14Disc2Emp1MissVisits</vt:lpstr>
      <vt:lpstr>calcLOB1Clinician14Disc2Emp1NetProd</vt:lpstr>
      <vt:lpstr>calcLOB1Clinician15Emp3AllocatedProd</vt:lpstr>
      <vt:lpstr>calcLOB1Clinician15Emp3AllowPerc</vt:lpstr>
      <vt:lpstr>calcLOB1Clinician15Emp3AvgMissPerc</vt:lpstr>
      <vt:lpstr>calcLOB1Clinician15Emp3BaseProd</vt:lpstr>
      <vt:lpstr>calcLOB1Clinician15Emp3GrossProd</vt:lpstr>
      <vt:lpstr>calcLOB1Clinician15Emp3MissVisits</vt:lpstr>
      <vt:lpstr>calcLOB1Clinician15Emp3NetProd</vt:lpstr>
      <vt:lpstr>calcLOB1Clinician16Emp2AllocatedProd</vt:lpstr>
      <vt:lpstr>calcLOB1Clinician16Emp2AllowPerc</vt:lpstr>
      <vt:lpstr>calcLOB1Clinician16Emp2AvgMissPerc</vt:lpstr>
      <vt:lpstr>calcLOB1Clinician16Emp2BaseMissPerc</vt:lpstr>
      <vt:lpstr>calcLOB1Clinician16Emp2BaseProd</vt:lpstr>
      <vt:lpstr>calcLOB1Clinician16Emp2GrossProd</vt:lpstr>
      <vt:lpstr>calcLOB1Clinician16Emp2MissVisits</vt:lpstr>
      <vt:lpstr>calcLOB1Clinician16Emp3BaseMissPerc</vt:lpstr>
      <vt:lpstr>calcLOB1Clinician1AllocatedProd</vt:lpstr>
      <vt:lpstr>calcLOB1Clinician1AvgMissPerc</vt:lpstr>
      <vt:lpstr>calcLOB1Clinician1BaseProd</vt:lpstr>
      <vt:lpstr>calcLOB1Clinician1Disc1AvgMissPerc</vt:lpstr>
      <vt:lpstr>calcLOB1Clinician1Disc1BaseMissPerc</vt:lpstr>
      <vt:lpstr>calcLOB1Clinician1Disc1Emp1AllocatedProd</vt:lpstr>
      <vt:lpstr>calcLOB1Clinician1Disc1Emp1AllowPerc</vt:lpstr>
      <vt:lpstr>calcLOB1Clinician1Disc1Emp1BaseProd</vt:lpstr>
      <vt:lpstr>calcLOB1Clinician1Disc1Emp1GrossProd</vt:lpstr>
      <vt:lpstr>calcLOB1Clinician1Disc1Emp1MissVisits</vt:lpstr>
      <vt:lpstr>calcLOB1Clinician1Disc1Emp1ModifiedProd</vt:lpstr>
      <vt:lpstr>calcLOB1Clinician1Disc1Emp1NetProd</vt:lpstr>
      <vt:lpstr>calcLOB1Clinician1Disc1Emp1OverTIme</vt:lpstr>
      <vt:lpstr>calcLOB1Clinician1Disc2AvgMissPerc</vt:lpstr>
      <vt:lpstr>calcLOB1Clinician1Disc2BaseMissPerc</vt:lpstr>
      <vt:lpstr>calcLOB1Clinician1Disc2Emp1AllocatedProd</vt:lpstr>
      <vt:lpstr>calcLOB1Clinician1Disc2Emp1AllowPerc</vt:lpstr>
      <vt:lpstr>calcLOB1Clinician1Disc2Emp1BaseProd</vt:lpstr>
      <vt:lpstr>calcLOB1Clinician1Disc2Emp1GrossProd</vt:lpstr>
      <vt:lpstr>calcLOB1Clinician1Disc2Emp1MissVisits</vt:lpstr>
      <vt:lpstr>calcLOB1Clinician1Disc2Emp1ModifiedProd</vt:lpstr>
      <vt:lpstr>calcLOB1Clinician1Disc2Emp1NetProd</vt:lpstr>
      <vt:lpstr>calcLOB1Clinician1Disc2Emp1OverTIme</vt:lpstr>
      <vt:lpstr>calcLOB1Clinician1Emp2AllocatedProd</vt:lpstr>
      <vt:lpstr>calcLOB1Clinician1Emp2AllowPerc</vt:lpstr>
      <vt:lpstr>calcLOB1Clinician1Emp2AvgMissPerc</vt:lpstr>
      <vt:lpstr>calcLOB1Clinician1Emp2BaseMissPerc</vt:lpstr>
      <vt:lpstr>calcLOB1Clinician1Emp2BaseProd</vt:lpstr>
      <vt:lpstr>calcLOB1Clinician1Emp2GrossProd</vt:lpstr>
      <vt:lpstr>calcLOB1Clinician1Emp2MissVisits</vt:lpstr>
      <vt:lpstr>calcLOB1Clinician1Emp2ModifiedProd</vt:lpstr>
      <vt:lpstr>calcLOB1Clinician1Emp2NetProd</vt:lpstr>
      <vt:lpstr>calcLOB1Clinician1Emp2OverTIme</vt:lpstr>
      <vt:lpstr>calcLOB1Clinician1Emp3AllocatedProd</vt:lpstr>
      <vt:lpstr>calcLOB1Clinician1Emp3AllowPerc</vt:lpstr>
      <vt:lpstr>calcLOB1Clinician1Emp3AvgMissPerc</vt:lpstr>
      <vt:lpstr>calcLOB1Clinician1Emp3BaseMissPerc</vt:lpstr>
      <vt:lpstr>calcLOB1Clinician1Emp3BaseProd</vt:lpstr>
      <vt:lpstr>calcLOB1Clinician1Emp3GrossProd</vt:lpstr>
      <vt:lpstr>calcLOB1Clinician1Emp3MissVisits</vt:lpstr>
      <vt:lpstr>calcLOB1Clinician1Emp3ModifiedProd</vt:lpstr>
      <vt:lpstr>calcLOB1Clinician1Emp3NetProd</vt:lpstr>
      <vt:lpstr>calcLOB1Clinician1Emp3OverTIme</vt:lpstr>
      <vt:lpstr>calcLOB1Clinician1GrossProd</vt:lpstr>
      <vt:lpstr>calcLOB1Clinician1MissVisits</vt:lpstr>
      <vt:lpstr>calcLOB1Clinician1NetVisits</vt:lpstr>
      <vt:lpstr>calcLOB1Clinician1OverTime</vt:lpstr>
      <vt:lpstr>calcLOB1Clinician2AllocatedProd</vt:lpstr>
      <vt:lpstr>calcLOB1Clinician2AvgMissPerc</vt:lpstr>
      <vt:lpstr>calcLOB1Clinician2BaseProd</vt:lpstr>
      <vt:lpstr>calcLOB1Clinician2Disc1AvgMissPerc</vt:lpstr>
      <vt:lpstr>calcLOB1Clinician2Disc1BaseMissPerc</vt:lpstr>
      <vt:lpstr>calcLOB1Clinician2Disc1Emp1AllocatedProd</vt:lpstr>
      <vt:lpstr>calcLOB1Clinician2Disc1Emp1AllowPerc</vt:lpstr>
      <vt:lpstr>calcLOB1Clinician2Disc1Emp1BaseProd</vt:lpstr>
      <vt:lpstr>calcLOB1Clinician2Disc1Emp1GrossProd</vt:lpstr>
      <vt:lpstr>calcLOB1Clinician2Disc1Emp1MissVisits</vt:lpstr>
      <vt:lpstr>calcLOB1Clinician2Disc1Emp1ModifiedProd</vt:lpstr>
      <vt:lpstr>calcLOB1Clinician2Disc1Emp1NetProd</vt:lpstr>
      <vt:lpstr>calcLOB1Clinician2Disc1Emp1OverTIme</vt:lpstr>
      <vt:lpstr>calcLOB1Clinician2Disc2AvgMissPerc</vt:lpstr>
      <vt:lpstr>calcLOB1Clinician2Disc2BaseMissPerc</vt:lpstr>
      <vt:lpstr>calcLOB1Clinician2Disc2Emp1AllocatedProd</vt:lpstr>
      <vt:lpstr>calcLOB1Clinician2Disc2Emp1AllowPerc</vt:lpstr>
      <vt:lpstr>calcLOB1Clinician2Disc2Emp1BaseProd</vt:lpstr>
      <vt:lpstr>calcLOB1Clinician2Disc2Emp1GrossProd</vt:lpstr>
      <vt:lpstr>calcLOB1Clinician2Disc2Emp1MissVisits</vt:lpstr>
      <vt:lpstr>calcLOB1Clinician2Disc2Emp1ModifiedProd</vt:lpstr>
      <vt:lpstr>calcLOB1Clinician2Disc2Emp1NetProd</vt:lpstr>
      <vt:lpstr>calcLOB1Clinician2Disc2Emp1OverTIme</vt:lpstr>
      <vt:lpstr>calcLOB1Clinician2Emp2AllocatedProd</vt:lpstr>
      <vt:lpstr>calcLOB1Clinician2Emp2AllowPerc</vt:lpstr>
      <vt:lpstr>calcLOB1Clinician2Emp2AvgMissPerc</vt:lpstr>
      <vt:lpstr>calcLOB1Clinician2Emp2BaseMissPerc</vt:lpstr>
      <vt:lpstr>calcLOB1Clinician2Emp2BaseProd</vt:lpstr>
      <vt:lpstr>calcLOB1Clinician2Emp2GrossProd</vt:lpstr>
      <vt:lpstr>calcLOB1Clinician2Emp2MissVisits</vt:lpstr>
      <vt:lpstr>calcLOB1Clinician2Emp2ModifiedProd</vt:lpstr>
      <vt:lpstr>calcLOB1Clinician2Emp2NetProd</vt:lpstr>
      <vt:lpstr>calcLOB1Clinician2Emp2OverTIme</vt:lpstr>
      <vt:lpstr>calcLOB1Clinician2Emp3AllocatedProd</vt:lpstr>
      <vt:lpstr>calcLOB1Clinician2Emp3AllowPerc</vt:lpstr>
      <vt:lpstr>calcLOB1Clinician2Emp3AvgMissPerc</vt:lpstr>
      <vt:lpstr>calcLOB1Clinician2Emp3BaseMissPerc</vt:lpstr>
      <vt:lpstr>calcLOB1Clinician2Emp3BaseProd</vt:lpstr>
      <vt:lpstr>calcLOB1Clinician2Emp3GrossProd</vt:lpstr>
      <vt:lpstr>calcLOB1Clinician2Emp3MissVisits</vt:lpstr>
      <vt:lpstr>calcLOB1Clinician2Emp3ModifiedProd</vt:lpstr>
      <vt:lpstr>calcLOB1Clinician2Emp3NetProd</vt:lpstr>
      <vt:lpstr>calcLOB1Clinician2Emp3OverTIme</vt:lpstr>
      <vt:lpstr>calcLOB1Clinician2GrossProd</vt:lpstr>
      <vt:lpstr>calcLOB1Clinician2MissVisits</vt:lpstr>
      <vt:lpstr>calcLOB1Clinician2NetVisits</vt:lpstr>
      <vt:lpstr>calcLOB1Clinician2OverTime</vt:lpstr>
      <vt:lpstr>calcLOB1Clinician3AllocatedProd</vt:lpstr>
      <vt:lpstr>calcLOB1Clinician3AvgMissPerc</vt:lpstr>
      <vt:lpstr>calcLOB1Clinician3BaseProd</vt:lpstr>
      <vt:lpstr>calcLOB1Clinician3Disc1AvgMissPerc</vt:lpstr>
      <vt:lpstr>calcLOB1Clinician3Disc1BaseMissPerc</vt:lpstr>
      <vt:lpstr>calcLOB1Clinician3Disc1Emp1AllocatedProd</vt:lpstr>
      <vt:lpstr>calcLOB1Clinician3Disc1Emp1AllowPerc</vt:lpstr>
      <vt:lpstr>calcLOB1Clinician3Disc1Emp1BaseProd</vt:lpstr>
      <vt:lpstr>calcLOB1Clinician3Disc1Emp1GrossProd</vt:lpstr>
      <vt:lpstr>calcLOB1Clinician3Disc1Emp1MissVisits</vt:lpstr>
      <vt:lpstr>calcLOB1Clinician3Disc1Emp1ModifiedProd</vt:lpstr>
      <vt:lpstr>calcLOB1Clinician3Disc1Emp1NetProd</vt:lpstr>
      <vt:lpstr>calcLOB1Clinician3Disc1Emp1OverTIme</vt:lpstr>
      <vt:lpstr>calcLOB1Clinician3Disc2AvgMissPerc</vt:lpstr>
      <vt:lpstr>calcLOB1Clinician3Disc2BaseMissPerc</vt:lpstr>
      <vt:lpstr>calcLOB1Clinician3Disc2Emp1AllocatedProd</vt:lpstr>
      <vt:lpstr>calcLOB1Clinician3Disc2Emp1AllowPerc</vt:lpstr>
      <vt:lpstr>calcLOB1Clinician3Disc2Emp1BaseProd</vt:lpstr>
      <vt:lpstr>calcLOB1Clinician3Disc2Emp1GrossProd</vt:lpstr>
      <vt:lpstr>calcLOB1Clinician3Disc2Emp1MissVisits</vt:lpstr>
      <vt:lpstr>calcLOB1Clinician3Disc2Emp1ModifiedProd</vt:lpstr>
      <vt:lpstr>calcLOB1Clinician3Disc2Emp1NetProd</vt:lpstr>
      <vt:lpstr>calcLOB1Clinician3Disc2Emp1OverTIme</vt:lpstr>
      <vt:lpstr>calcLOB1Clinician3Emp2AllocatedProd</vt:lpstr>
      <vt:lpstr>calcLOB1Clinician3Emp2AllowPerc</vt:lpstr>
      <vt:lpstr>calcLOB1Clinician3Emp2AvgMissPerc</vt:lpstr>
      <vt:lpstr>calcLOB1Clinician3Emp2BaseMissPerc</vt:lpstr>
      <vt:lpstr>calcLOB1Clinician3Emp2BaseProd</vt:lpstr>
      <vt:lpstr>calcLOB1Clinician3Emp2GrossProd</vt:lpstr>
      <vt:lpstr>calcLOB1Clinician3Emp2MissVisits</vt:lpstr>
      <vt:lpstr>calcLOB1Clinician3Emp2ModifiedProd</vt:lpstr>
      <vt:lpstr>calcLOB1Clinician3Emp2NetProd</vt:lpstr>
      <vt:lpstr>calcLOB1Clinician3Emp2OverTIme</vt:lpstr>
      <vt:lpstr>calcLOB1Clinician3Emp3AllocatedProd</vt:lpstr>
      <vt:lpstr>calcLOB1Clinician3Emp3AllowPerc</vt:lpstr>
      <vt:lpstr>calcLOB1Clinician3Emp3AvgMissPerc</vt:lpstr>
      <vt:lpstr>calcLOB1Clinician3Emp3BaseMissPerc</vt:lpstr>
      <vt:lpstr>calcLOB1Clinician3Emp3BaseProd</vt:lpstr>
      <vt:lpstr>calcLOB1Clinician3Emp3GrossProd</vt:lpstr>
      <vt:lpstr>calcLOB1Clinician3Emp3MissVisits</vt:lpstr>
      <vt:lpstr>calcLOB1Clinician3Emp3ModifiedProd</vt:lpstr>
      <vt:lpstr>calcLOB1Clinician3Emp3NetProd</vt:lpstr>
      <vt:lpstr>calcLOB1Clinician3Emp3OverTIme</vt:lpstr>
      <vt:lpstr>calcLOB1Clinician3GrossProd</vt:lpstr>
      <vt:lpstr>calcLOB1Clinician3MissVisits</vt:lpstr>
      <vt:lpstr>calcLOB1Clinician3NetVisits</vt:lpstr>
      <vt:lpstr>calcLOB1Clinician3OverTime</vt:lpstr>
      <vt:lpstr>calcLOB1Clinician4AllocatedProd</vt:lpstr>
      <vt:lpstr>calcLOB1Clinician4AvgMissPerc</vt:lpstr>
      <vt:lpstr>calcLOB1Clinician4BaseProd</vt:lpstr>
      <vt:lpstr>calcLOB1Clinician4Disc1AvgMissPerc</vt:lpstr>
      <vt:lpstr>calcLOB1Clinician4Disc1BaseMissPerc</vt:lpstr>
      <vt:lpstr>calcLOB1Clinician4Disc1Emp1AllocatedProd</vt:lpstr>
      <vt:lpstr>calcLOB1Clinician4Disc1Emp1AllowPerc</vt:lpstr>
      <vt:lpstr>calcLOB1Clinician4Disc1Emp1BaseProd</vt:lpstr>
      <vt:lpstr>calcLOB1Clinician4Disc1Emp1GrossProd</vt:lpstr>
      <vt:lpstr>calcLOB1Clinician4Disc1Emp1MissVisits</vt:lpstr>
      <vt:lpstr>calcLOB1Clinician4Disc1Emp1ModifiedProd</vt:lpstr>
      <vt:lpstr>calcLOB1Clinician4Disc1Emp1NetProd</vt:lpstr>
      <vt:lpstr>calcLOB1Clinician4Disc1Emp1OverTIme</vt:lpstr>
      <vt:lpstr>calcLOB1Clinician4Disc2AvgMissPerc</vt:lpstr>
      <vt:lpstr>calcLOB1Clinician4Disc2BaseMissPerc</vt:lpstr>
      <vt:lpstr>calcLOB1Clinician4Disc2Emp1AllocatedProd</vt:lpstr>
      <vt:lpstr>calcLOB1Clinician4Disc2Emp1AllowPerc</vt:lpstr>
      <vt:lpstr>calcLOB1Clinician4Disc2Emp1BaseProd</vt:lpstr>
      <vt:lpstr>calcLOB1Clinician4Disc2Emp1GrossProd</vt:lpstr>
      <vt:lpstr>calcLOB1Clinician4Disc2Emp1MissVisits</vt:lpstr>
      <vt:lpstr>calcLOB1Clinician4Disc2Emp1ModifiedProd</vt:lpstr>
      <vt:lpstr>calcLOB1Clinician4Disc2Emp1NetProd</vt:lpstr>
      <vt:lpstr>calcLOB1Clinician4Disc2Emp1OverTIme</vt:lpstr>
      <vt:lpstr>calcLOB1Clinician4Emp2AllocatedProd</vt:lpstr>
      <vt:lpstr>calcLOB1Clinician4Emp2AllowPerc</vt:lpstr>
      <vt:lpstr>calcLOB1Clinician4Emp2AvgMissPerc</vt:lpstr>
      <vt:lpstr>calcLOB1Clinician4Emp2BaseMissPerc</vt:lpstr>
      <vt:lpstr>calcLOB1Clinician4Emp2BaseProd</vt:lpstr>
      <vt:lpstr>calcLOB1Clinician4Emp2GrossProd</vt:lpstr>
      <vt:lpstr>calcLOB1Clinician4Emp2MissVisits</vt:lpstr>
      <vt:lpstr>calcLOB1Clinician4Emp2ModifiedProd</vt:lpstr>
      <vt:lpstr>calcLOB1Clinician4Emp2NetProd</vt:lpstr>
      <vt:lpstr>calcLOB1Clinician4Emp2OverTIme</vt:lpstr>
      <vt:lpstr>calcLOB1Clinician4Emp3AllocatedProd</vt:lpstr>
      <vt:lpstr>calcLOB1Clinician4Emp3AllowPerc</vt:lpstr>
      <vt:lpstr>calcLOB1Clinician4Emp3AvgMissPerc</vt:lpstr>
      <vt:lpstr>calcLOB1Clinician4Emp3BaseMissPerc</vt:lpstr>
      <vt:lpstr>calcLOB1Clinician4Emp3BaseProd</vt:lpstr>
      <vt:lpstr>calcLOB1Clinician4Emp3GrossProd</vt:lpstr>
      <vt:lpstr>calcLOB1Clinician4Emp3MissVisits</vt:lpstr>
      <vt:lpstr>calcLOB1Clinician4Emp3ModifiedProd</vt:lpstr>
      <vt:lpstr>calcLOB1Clinician4Emp3NetProd</vt:lpstr>
      <vt:lpstr>calcLOB1Clinician4Emp3OverTIme</vt:lpstr>
      <vt:lpstr>calcLOB1Clinician4GrossProd</vt:lpstr>
      <vt:lpstr>calcLOB1Clinician4MissVisits</vt:lpstr>
      <vt:lpstr>calcLOB1Clinician4NetVisits</vt:lpstr>
      <vt:lpstr>calcLOB1Clinician4OverTime</vt:lpstr>
      <vt:lpstr>calcLOB1Clinician5AllocatedProd</vt:lpstr>
      <vt:lpstr>calcLOB1Clinician5AvgMissPerc</vt:lpstr>
      <vt:lpstr>calcLOB1Clinician5BaseProd</vt:lpstr>
      <vt:lpstr>calcLOB1Clinician5Disc1AvgMissPerc</vt:lpstr>
      <vt:lpstr>calcLOB1Clinician5Disc1BaseMissPerc</vt:lpstr>
      <vt:lpstr>calcLOB1Clinician5Disc1Emp1AllocatedProd</vt:lpstr>
      <vt:lpstr>calcLOB1Clinician5Disc1Emp1AllowPerc</vt:lpstr>
      <vt:lpstr>calcLOB1Clinician5Disc1Emp1BaseProd</vt:lpstr>
      <vt:lpstr>calcLOB1Clinician5Disc1Emp1GrossProd</vt:lpstr>
      <vt:lpstr>calcLOB1Clinician5Disc1Emp1MissVisits</vt:lpstr>
      <vt:lpstr>calcLOB1Clinician5Disc1Emp1ModifiedProd</vt:lpstr>
      <vt:lpstr>calcLOB1Clinician5Disc1Emp1NetProd</vt:lpstr>
      <vt:lpstr>calcLOB1Clinician5Disc1Emp1OverTIme</vt:lpstr>
      <vt:lpstr>calcLOB1Clinician5Disc2AvgMissPerc</vt:lpstr>
      <vt:lpstr>calcLOB1Clinician5Disc2BaseMissPerc</vt:lpstr>
      <vt:lpstr>calcLOB1Clinician5Disc2Emp1AllocatedProd</vt:lpstr>
      <vt:lpstr>calcLOB1Clinician5Disc2Emp1AllowPerc</vt:lpstr>
      <vt:lpstr>calcLOB1Clinician5Disc2Emp1BaseProd</vt:lpstr>
      <vt:lpstr>calcLOB1Clinician5Disc2Emp1GrossProd</vt:lpstr>
      <vt:lpstr>calcLOB1Clinician5Disc2Emp1MissVisits</vt:lpstr>
      <vt:lpstr>calcLOB1Clinician5Disc2Emp1ModifiedProd</vt:lpstr>
      <vt:lpstr>calcLOB1Clinician5Disc2Emp1NetProd</vt:lpstr>
      <vt:lpstr>calcLOB1Clinician5Disc2Emp1OverTIme</vt:lpstr>
      <vt:lpstr>calcLOB1Clinician5Emp2AllocatedProd</vt:lpstr>
      <vt:lpstr>calcLOB1Clinician5Emp2AllowPerc</vt:lpstr>
      <vt:lpstr>calcLOB1Clinician5Emp2AvgMissPerc</vt:lpstr>
      <vt:lpstr>calcLOB1Clinician5Emp2BaseMissPerc</vt:lpstr>
      <vt:lpstr>calcLOB1Clinician5Emp2BaseProd</vt:lpstr>
      <vt:lpstr>calcLOB1Clinician5Emp2GrossProd</vt:lpstr>
      <vt:lpstr>calcLOB1Clinician5Emp2MissVisits</vt:lpstr>
      <vt:lpstr>calcLOB1Clinician5Emp2ModifiedProd</vt:lpstr>
      <vt:lpstr>calcLOB1Clinician5Emp2NetProd</vt:lpstr>
      <vt:lpstr>calcLOB1Clinician5Emp2OverTIme</vt:lpstr>
      <vt:lpstr>calcLOB1Clinician5Emp3AllocatedProd</vt:lpstr>
      <vt:lpstr>calcLOB1Clinician5Emp3AllowPerc</vt:lpstr>
      <vt:lpstr>calcLOB1Clinician5Emp3AvgMissPerc</vt:lpstr>
      <vt:lpstr>calcLOB1Clinician5Emp3BaseMissPerc</vt:lpstr>
      <vt:lpstr>calcLOB1Clinician5Emp3BaseProd</vt:lpstr>
      <vt:lpstr>calcLOB1Clinician5Emp3GrossProd</vt:lpstr>
      <vt:lpstr>calcLOB1Clinician5Emp3MissVisits</vt:lpstr>
      <vt:lpstr>calcLOB1Clinician5Emp3ModifiedProd</vt:lpstr>
      <vt:lpstr>calcLOB1Clinician5Emp3NetProd</vt:lpstr>
      <vt:lpstr>calcLOB1Clinician5Emp3OverTIme</vt:lpstr>
      <vt:lpstr>calcLOB1Clinician5GrossProd</vt:lpstr>
      <vt:lpstr>calcLOB1Clinician5MissVisits</vt:lpstr>
      <vt:lpstr>calcLOB1Clinician5NetVisits</vt:lpstr>
      <vt:lpstr>calcLOB1Clinician5OverTime</vt:lpstr>
      <vt:lpstr>calcLOB1Clinician6AllocatedProd</vt:lpstr>
      <vt:lpstr>calcLOB1Clinician6AvgMissPerc</vt:lpstr>
      <vt:lpstr>calcLOB1Clinician6BaseProd</vt:lpstr>
      <vt:lpstr>calcLOB1Clinician6Disc1AvgMissPerc</vt:lpstr>
      <vt:lpstr>calcLOB1Clinician6Disc1BaseMissPerc</vt:lpstr>
      <vt:lpstr>calcLOB1Clinician6Disc1Emp1AllocatedProd</vt:lpstr>
      <vt:lpstr>calcLOB1Clinician6Disc1Emp1AllowPerc</vt:lpstr>
      <vt:lpstr>calcLOB1Clinician6Disc1Emp1BaseProd</vt:lpstr>
      <vt:lpstr>calcLOB1Clinician6Disc1Emp1GrossProd</vt:lpstr>
      <vt:lpstr>calcLOB1Clinician6Disc1Emp1MissVisits</vt:lpstr>
      <vt:lpstr>calcLOB1Clinician6Disc1Emp1ModifiedProd</vt:lpstr>
      <vt:lpstr>calcLOB1Clinician6Disc1Emp1NetProd</vt:lpstr>
      <vt:lpstr>calcLOB1Clinician6Disc1Emp1OverTIme</vt:lpstr>
      <vt:lpstr>calcLOB1Clinician6Disc2AvgMissPerc</vt:lpstr>
      <vt:lpstr>calcLOB1Clinician6Disc2BaseMissPerc</vt:lpstr>
      <vt:lpstr>calcLOB1Clinician6Disc2Emp1AllocatedProd</vt:lpstr>
      <vt:lpstr>calcLOB1Clinician6Disc2Emp1AllowPerc</vt:lpstr>
      <vt:lpstr>calcLOB1Clinician6Disc2Emp1BaseProd</vt:lpstr>
      <vt:lpstr>calcLOB1Clinician6Disc2Emp1GrossProd</vt:lpstr>
      <vt:lpstr>calcLOB1Clinician6Disc2Emp1MissVisits</vt:lpstr>
      <vt:lpstr>calcLOB1Clinician6Disc2Emp1ModifiedProd</vt:lpstr>
      <vt:lpstr>calcLOB1Clinician6Disc2Emp1NetProd</vt:lpstr>
      <vt:lpstr>calcLOB1Clinician6Disc2Emp1OverTIme</vt:lpstr>
      <vt:lpstr>calcLOB1Clinician6Emp2AllocatedProd</vt:lpstr>
      <vt:lpstr>calcLOB1Clinician6Emp2AllowPerc</vt:lpstr>
      <vt:lpstr>calcLOB1Clinician6Emp2AvgMissPerc</vt:lpstr>
      <vt:lpstr>calcLOB1Clinician6Emp2BaseMissPerc</vt:lpstr>
      <vt:lpstr>calcLOB1Clinician6Emp2BaseProd</vt:lpstr>
      <vt:lpstr>calcLOB1Clinician6Emp2GrossProd</vt:lpstr>
      <vt:lpstr>calcLOB1Clinician6Emp2MissVisits</vt:lpstr>
      <vt:lpstr>calcLOB1Clinician6Emp2ModifiedProd</vt:lpstr>
      <vt:lpstr>calcLOB1Clinician6Emp2NetProd</vt:lpstr>
      <vt:lpstr>calcLOB1Clinician6Emp2OverTIme</vt:lpstr>
      <vt:lpstr>calcLOB1Clinician6Emp3AllocatedProd</vt:lpstr>
      <vt:lpstr>calcLOB1Clinician6Emp3AllowPerc</vt:lpstr>
      <vt:lpstr>calcLOB1Clinician6Emp3AvgMissPerc</vt:lpstr>
      <vt:lpstr>calcLOB1Clinician6Emp3BaseMissPerc</vt:lpstr>
      <vt:lpstr>calcLOB1Clinician6Emp3BaseProd</vt:lpstr>
      <vt:lpstr>calcLOB1Clinician6Emp3GrossProd</vt:lpstr>
      <vt:lpstr>calcLOB1Clinician6Emp3MissVisits</vt:lpstr>
      <vt:lpstr>calcLOB1Clinician6Emp3ModifiedProd</vt:lpstr>
      <vt:lpstr>calcLOB1Clinician6Emp3NetProd</vt:lpstr>
      <vt:lpstr>calcLOB1Clinician6Emp3OverTIme</vt:lpstr>
      <vt:lpstr>calcLOB1Clinician6GrossProd</vt:lpstr>
      <vt:lpstr>calcLOB1Clinician6MissVisits</vt:lpstr>
      <vt:lpstr>calcLOB1Clinician6NetVisits</vt:lpstr>
      <vt:lpstr>calcLOB1Clinician6OverTime</vt:lpstr>
      <vt:lpstr>calcLOB1Clinician7AllocatedProd</vt:lpstr>
      <vt:lpstr>calcLOB1Clinician7AvgMissPerc</vt:lpstr>
      <vt:lpstr>calcLOB1Clinician7BaseProd</vt:lpstr>
      <vt:lpstr>calcLOB1Clinician7Disc1AvgMissPerc</vt:lpstr>
      <vt:lpstr>calcLOB1Clinician7Disc1BaseMissPerc</vt:lpstr>
      <vt:lpstr>calcLOB1Clinician7Disc1Emp1AllocatedProd</vt:lpstr>
      <vt:lpstr>calcLOB1Clinician7Disc1Emp1AllowPerc</vt:lpstr>
      <vt:lpstr>calcLOB1Clinician7Disc1Emp1BaseProd</vt:lpstr>
      <vt:lpstr>calcLOB1Clinician7Disc1Emp1GrossProd</vt:lpstr>
      <vt:lpstr>calcLOB1Clinician7Disc1Emp1MissVisits</vt:lpstr>
      <vt:lpstr>calcLOB1Clinician7Disc1Emp1ModifiedProd</vt:lpstr>
      <vt:lpstr>calcLOB1Clinician7Disc1Emp1NetProd</vt:lpstr>
      <vt:lpstr>calcLOB1Clinician7Disc1Emp1OverTIme</vt:lpstr>
      <vt:lpstr>calcLOB1Clinician7Disc2AvgMissPerc</vt:lpstr>
      <vt:lpstr>calcLOB1Clinician7Disc2BaseMissPerc</vt:lpstr>
      <vt:lpstr>calcLOB1Clinician7Disc2Emp1AllocatedProd</vt:lpstr>
      <vt:lpstr>calcLOB1Clinician7Disc2Emp1AllowPerc</vt:lpstr>
      <vt:lpstr>calcLOB1Clinician7Disc2Emp1BaseProd</vt:lpstr>
      <vt:lpstr>calcLOB1Clinician7Disc2Emp1GrossProd</vt:lpstr>
      <vt:lpstr>calcLOB1Clinician7Disc2Emp1MissVisits</vt:lpstr>
      <vt:lpstr>calcLOB1Clinician7Disc2Emp1ModifiedProd</vt:lpstr>
      <vt:lpstr>calcLOB1Clinician7Disc2Emp1NetProd</vt:lpstr>
      <vt:lpstr>calcLOB1Clinician7Disc2Emp1OverTIme</vt:lpstr>
      <vt:lpstr>calcLOB1Clinician7Emp2AllocatedProd</vt:lpstr>
      <vt:lpstr>calcLOB1Clinician7Emp2AllowPerc</vt:lpstr>
      <vt:lpstr>calcLOB1Clinician7Emp2AvgMissPerc</vt:lpstr>
      <vt:lpstr>calcLOB1Clinician7Emp2BaseMissPerc</vt:lpstr>
      <vt:lpstr>calcLOB1Clinician7Emp2BaseProd</vt:lpstr>
      <vt:lpstr>calcLOB1Clinician7Emp2GrossProd</vt:lpstr>
      <vt:lpstr>calcLOB1Clinician7Emp2MissVisits</vt:lpstr>
      <vt:lpstr>calcLOB1Clinician7Emp2ModifiedProd</vt:lpstr>
      <vt:lpstr>calcLOB1Clinician7Emp2NetProd</vt:lpstr>
      <vt:lpstr>calcLOB1Clinician7Emp2OverTIme</vt:lpstr>
      <vt:lpstr>calcLOB1Clinician7Emp3AllocatedProd</vt:lpstr>
      <vt:lpstr>calcLOB1Clinician7Emp3AllowPerc</vt:lpstr>
      <vt:lpstr>calcLOB1Clinician7Emp3AvgMissPerc</vt:lpstr>
      <vt:lpstr>calcLOB1Clinician7Emp3BaseMissPerc</vt:lpstr>
      <vt:lpstr>calcLOB1Clinician7Emp3BaseProd</vt:lpstr>
      <vt:lpstr>calcLOB1Clinician7Emp3GrossProd</vt:lpstr>
      <vt:lpstr>calcLOB1Clinician7Emp3MissVisits</vt:lpstr>
      <vt:lpstr>calcLOB1Clinician7Emp3ModifiedProd</vt:lpstr>
      <vt:lpstr>calcLOB1Clinician7Emp3NetProd</vt:lpstr>
      <vt:lpstr>calcLOB1Clinician7Emp3OverTIme</vt:lpstr>
      <vt:lpstr>calcLOB1Clinician7GrossProd</vt:lpstr>
      <vt:lpstr>calcLOB1Clinician7MissVisits</vt:lpstr>
      <vt:lpstr>calcLOB1Clinician7NetVisits</vt:lpstr>
      <vt:lpstr>calcLOB1Clinician7OverTime</vt:lpstr>
      <vt:lpstr>calcLOB1Clinician8AllocatedProd</vt:lpstr>
      <vt:lpstr>calcLOB1Clinician8AvgMissPerc</vt:lpstr>
      <vt:lpstr>calcLOB1Clinician8BaseProd</vt:lpstr>
      <vt:lpstr>calcLOB1Clinician8Disc1AvgMissPerc</vt:lpstr>
      <vt:lpstr>calcLOB1Clinician8Disc1BaseMissPerc</vt:lpstr>
      <vt:lpstr>calcLOB1Clinician8Disc1Emp1AllocatedProd</vt:lpstr>
      <vt:lpstr>calcLOB1Clinician8Disc1Emp1AllowPerc</vt:lpstr>
      <vt:lpstr>calcLOB1Clinician8Disc1Emp1BaseProd</vt:lpstr>
      <vt:lpstr>calcLOB1Clinician8Disc1Emp1GrossProd</vt:lpstr>
      <vt:lpstr>calcLOB1Clinician8Disc1Emp1MissVisits</vt:lpstr>
      <vt:lpstr>calcLOB1Clinician8Disc1Emp1ModifiedProd</vt:lpstr>
      <vt:lpstr>calcLOB1Clinician8Disc1Emp1NetProd</vt:lpstr>
      <vt:lpstr>calcLOB1Clinician8Disc1Emp1OverTIme</vt:lpstr>
      <vt:lpstr>calcLOB1Clinician8Disc2AvgMissPerc</vt:lpstr>
      <vt:lpstr>calcLOB1Clinician8Disc2BaseMissPerc</vt:lpstr>
      <vt:lpstr>calcLOB1Clinician8Disc2Emp1AllocatedProd</vt:lpstr>
      <vt:lpstr>calcLOB1Clinician8Disc2Emp1AllowPerc</vt:lpstr>
      <vt:lpstr>calcLOB1Clinician8Disc2Emp1BaseProd</vt:lpstr>
      <vt:lpstr>calcLOB1Clinician8Disc2Emp1GrossProd</vt:lpstr>
      <vt:lpstr>calcLOB1Clinician8Disc2Emp1MissVisits</vt:lpstr>
      <vt:lpstr>calcLOB1Clinician8Disc2Emp1ModifiedProd</vt:lpstr>
      <vt:lpstr>calcLOB1Clinician8Disc2Emp1NetProd</vt:lpstr>
      <vt:lpstr>calcLOB1Clinician8Disc2Emp1OverTIme</vt:lpstr>
      <vt:lpstr>calcLOB1Clinician8Emp2AllocatedProd</vt:lpstr>
      <vt:lpstr>calcLOB1Clinician8Emp2AllowPerc</vt:lpstr>
      <vt:lpstr>calcLOB1Clinician8Emp2AvgMissPerc</vt:lpstr>
      <vt:lpstr>calcLOB1Clinician8Emp2BaseMissPerc</vt:lpstr>
      <vt:lpstr>calcLOB1Clinician8Emp2BaseProd</vt:lpstr>
      <vt:lpstr>calcLOB1Clinician8Emp2GrossProd</vt:lpstr>
      <vt:lpstr>calcLOB1Clinician8Emp2MissVisits</vt:lpstr>
      <vt:lpstr>calcLOB1Clinician8Emp2ModifiedProd</vt:lpstr>
      <vt:lpstr>calcLOB1Clinician8Emp2NetProd</vt:lpstr>
      <vt:lpstr>calcLOB1Clinician8Emp2OverTIme</vt:lpstr>
      <vt:lpstr>calcLOB1Clinician8Emp3AllocatedProd</vt:lpstr>
      <vt:lpstr>calcLOB1Clinician8Emp3AllowPerc</vt:lpstr>
      <vt:lpstr>calcLOB1Clinician8Emp3AvgMissPerc</vt:lpstr>
      <vt:lpstr>calcLOB1Clinician8Emp3BaseMissPerc</vt:lpstr>
      <vt:lpstr>calcLOB1Clinician8Emp3BaseProd</vt:lpstr>
      <vt:lpstr>calcLOB1Clinician8Emp3GrossProd</vt:lpstr>
      <vt:lpstr>calcLOB1Clinician8Emp3MissVisits</vt:lpstr>
      <vt:lpstr>calcLOB1Clinician8Emp3ModifiedProd</vt:lpstr>
      <vt:lpstr>calcLOB1Clinician8Emp3NetProd</vt:lpstr>
      <vt:lpstr>calcLOB1Clinician8Emp3OverTIme</vt:lpstr>
      <vt:lpstr>calcLOB1Clinician8GrossProd</vt:lpstr>
      <vt:lpstr>calcLOB1Clinician8MissVisits</vt:lpstr>
      <vt:lpstr>calcLOB1Clinician8NetVisits</vt:lpstr>
      <vt:lpstr>calcLOB1Clinician8OverTime</vt:lpstr>
      <vt:lpstr>calcLOB1Clinician9AllocatedProd</vt:lpstr>
      <vt:lpstr>calcLOB1Clinician9AvgMissPerc</vt:lpstr>
      <vt:lpstr>calcLOB1Clinician9BaseProd</vt:lpstr>
      <vt:lpstr>calcLOB1Clinician9Disc1AvgMissPerc</vt:lpstr>
      <vt:lpstr>calcLOB1Clinician9Disc1BaseMissPerc</vt:lpstr>
      <vt:lpstr>calcLOB1Clinician9Disc1Emp1AllocatedProd</vt:lpstr>
      <vt:lpstr>calcLOB1Clinician9Disc1Emp1AllowPerc</vt:lpstr>
      <vt:lpstr>calcLOB1Clinician9Disc1Emp1BaseProd</vt:lpstr>
      <vt:lpstr>calcLOB1Clinician9Disc1Emp1GrossProd</vt:lpstr>
      <vt:lpstr>calcLOB1Clinician9Disc1Emp1MissVisits</vt:lpstr>
      <vt:lpstr>calcLOB1Clinician9Disc1Emp1ModifiedProd</vt:lpstr>
      <vt:lpstr>calcLOB1Clinician9Disc1Emp1NetProd</vt:lpstr>
      <vt:lpstr>calcLOB1Clinician9Disc1Emp1OverTIme</vt:lpstr>
      <vt:lpstr>calcLOB1Clinician9Disc2AvgMissPerc</vt:lpstr>
      <vt:lpstr>calcLOB1Clinician9Disc2BaseMissPerc</vt:lpstr>
      <vt:lpstr>calcLOB1Clinician9Disc2Emp1AllocatedProd</vt:lpstr>
      <vt:lpstr>calcLOB1Clinician9Disc2Emp1AllowPerc</vt:lpstr>
      <vt:lpstr>calcLOB1Clinician9Disc2Emp1BaseProd</vt:lpstr>
      <vt:lpstr>calcLOB1Clinician9Disc2Emp1GrossProd</vt:lpstr>
      <vt:lpstr>calcLOB1Clinician9Disc2Emp1MissVisits</vt:lpstr>
      <vt:lpstr>calcLOB1Clinician9Disc2Emp1ModifiedProd</vt:lpstr>
      <vt:lpstr>calcLOB1Clinician9Disc2Emp1NetProd</vt:lpstr>
      <vt:lpstr>calcLOB1Clinician9Disc2Emp1OverTIme</vt:lpstr>
      <vt:lpstr>calcLOB1Clinician9Emp2AllocatedProd</vt:lpstr>
      <vt:lpstr>calcLOB1Clinician9Emp2AllowPerc</vt:lpstr>
      <vt:lpstr>calcLOB1Clinician9Emp2AvgMissPerc</vt:lpstr>
      <vt:lpstr>calcLOB1Clinician9Emp2BaseMissPerc</vt:lpstr>
      <vt:lpstr>calcLOB1Clinician9Emp2BaseProd</vt:lpstr>
      <vt:lpstr>calcLOB1Clinician9Emp2GrossProd</vt:lpstr>
      <vt:lpstr>calcLOB1Clinician9Emp2MissVisits</vt:lpstr>
      <vt:lpstr>calcLOB1Clinician9Emp2ModifiedProd</vt:lpstr>
      <vt:lpstr>calcLOB1Clinician9Emp2NetProd</vt:lpstr>
      <vt:lpstr>calcLOB1Clinician9Emp2OverTIme</vt:lpstr>
      <vt:lpstr>calcLOB1Clinician9Emp3AllocatedProd</vt:lpstr>
      <vt:lpstr>calcLOB1Clinician9Emp3AllowPerc</vt:lpstr>
      <vt:lpstr>calcLOB1Clinician9Emp3AvgMissPerc</vt:lpstr>
      <vt:lpstr>calcLOB1Clinician9Emp3BaseMissPerc</vt:lpstr>
      <vt:lpstr>calcLOB1Clinician9Emp3BaseProd</vt:lpstr>
      <vt:lpstr>calcLOB1Clinician9Emp3GrossProd</vt:lpstr>
      <vt:lpstr>calcLOB1Clinician9Emp3MissVisits</vt:lpstr>
      <vt:lpstr>calcLOB1Clinician9Emp3ModifiedProd</vt:lpstr>
      <vt:lpstr>calcLOB1Clinician9Emp3NetProd</vt:lpstr>
      <vt:lpstr>calcLOB1Clinician9Emp3OverTIme</vt:lpstr>
      <vt:lpstr>calcLOB1Clinician9GrossProd</vt:lpstr>
      <vt:lpstr>calcLOB1Clinician9MissVisits</vt:lpstr>
      <vt:lpstr>calcLOB1Clinician9NetVisits</vt:lpstr>
      <vt:lpstr>calcLOB1Clinician9OverTime</vt:lpstr>
      <vt:lpstr>calcLOB1ClinicianAllocatedVisits</vt:lpstr>
      <vt:lpstr>calcLOB1ClinicianAvgMissPerc</vt:lpstr>
      <vt:lpstr>calcLOB1ClinicianGrossProd</vt:lpstr>
      <vt:lpstr>calcLOB1ClinicianMissVisits</vt:lpstr>
      <vt:lpstr>calcLOB1ClinicianMissVisitsPerc</vt:lpstr>
      <vt:lpstr>calcLOB1ClinicianNetVisits</vt:lpstr>
      <vt:lpstr>calcLOB1ClinicianOverTime</vt:lpstr>
      <vt:lpstr>calcLOB1ClinicianOverTimePerc</vt:lpstr>
      <vt:lpstr>calcLOB1ClinicianTotalMissPerc</vt:lpstr>
      <vt:lpstr>calcLOB1CSAT</vt:lpstr>
      <vt:lpstr>calcLOB1Disc1EmpCount</vt:lpstr>
      <vt:lpstr>calcLOB1Disc1Retention</vt:lpstr>
      <vt:lpstr>calcLOB1Disc1TotalVisits</vt:lpstr>
      <vt:lpstr>calcLOB1Disc1TotalVisitsPerc</vt:lpstr>
      <vt:lpstr>calcLOB1Disc2BelowLicsenceVisits</vt:lpstr>
      <vt:lpstr>calcLOB1Disc2EmpCount</vt:lpstr>
      <vt:lpstr>calcLOB1Disc2Retention</vt:lpstr>
      <vt:lpstr>calcLOB1Disc2TotalVisits</vt:lpstr>
      <vt:lpstr>calcLOB1Disc2TotalVisitsPerc</vt:lpstr>
      <vt:lpstr>calcLOB1Disc3EmpCount</vt:lpstr>
      <vt:lpstr>calcLOB1Disc3Retention</vt:lpstr>
      <vt:lpstr>calcLOB1Disc4EmpCount</vt:lpstr>
      <vt:lpstr>calcLOB1Disc4Retention</vt:lpstr>
      <vt:lpstr>calcLOB1DOOActionTime1</vt:lpstr>
      <vt:lpstr>calcLOB1DOOActionTime2</vt:lpstr>
      <vt:lpstr>calcLOB1DOOActionTime3</vt:lpstr>
      <vt:lpstr>calcLOB1DOOActionTime4</vt:lpstr>
      <vt:lpstr>calcLOB1DOOActionTime5</vt:lpstr>
      <vt:lpstr>calcLOB1DOOActionTime6</vt:lpstr>
      <vt:lpstr>calcLOB1DOOBaseTime1</vt:lpstr>
      <vt:lpstr>calcLOB1DOOBaseTime2</vt:lpstr>
      <vt:lpstr>calcLOB1DOOBaseTime3</vt:lpstr>
      <vt:lpstr>calcLOB1DOOBaseTime4</vt:lpstr>
      <vt:lpstr>calcLOB1DOOBaseTime5</vt:lpstr>
      <vt:lpstr>calcLOB1DOOBaseTime6</vt:lpstr>
      <vt:lpstr>calcLOB1DOOPlanTime1</vt:lpstr>
      <vt:lpstr>calcLOB1DOOPlanTime2</vt:lpstr>
      <vt:lpstr>calcLOB1DOOPlanTime3</vt:lpstr>
      <vt:lpstr>calcLOB1DOOPlanTime4</vt:lpstr>
      <vt:lpstr>calcLOB1DOOPlanTime5</vt:lpstr>
      <vt:lpstr>calcLOB1DOOPlanTime6</vt:lpstr>
      <vt:lpstr>calcLOB1DOOStaffModImpact</vt:lpstr>
      <vt:lpstr>calcLOB1DOOTotalActionTime</vt:lpstr>
      <vt:lpstr>calcLOB1DOOTotalBaseTime</vt:lpstr>
      <vt:lpstr>calcLOB1DOOTotalPlanTime</vt:lpstr>
      <vt:lpstr>calcLOB1Emp1ActualVisits</vt:lpstr>
      <vt:lpstr>calcLOB1Emp1AllocatedProd</vt:lpstr>
      <vt:lpstr>calcLOB1Emp1BaseProdCapacity</vt:lpstr>
      <vt:lpstr>calcLOB1Emp1Capacity</vt:lpstr>
      <vt:lpstr>calcLOB1Emp1Count</vt:lpstr>
      <vt:lpstr>calcLOB1Emp1GrossProdCapacity</vt:lpstr>
      <vt:lpstr>calcLOB1Emp1NetProduction</vt:lpstr>
      <vt:lpstr>calcLOB1Emp1PercNonSalaried</vt:lpstr>
      <vt:lpstr>calcLOB1Emp1Visits</vt:lpstr>
      <vt:lpstr>calcLOB1Emp1Work</vt:lpstr>
      <vt:lpstr>calcLOB1Emp2ActualVisits</vt:lpstr>
      <vt:lpstr>calcLOB1Emp2AllocatedProd</vt:lpstr>
      <vt:lpstr>calcLOB1Emp2BaseProdCapacity</vt:lpstr>
      <vt:lpstr>calcLOB1Emp2Capacity</vt:lpstr>
      <vt:lpstr>calcLOB1Emp2GrossProdCapacity</vt:lpstr>
      <vt:lpstr>calcLOB1Emp2NetProduction</vt:lpstr>
      <vt:lpstr>calcLOB1Emp2Visits</vt:lpstr>
      <vt:lpstr>calcLOB1Emp2Work</vt:lpstr>
      <vt:lpstr>calcLOB1Emp3ActualVisits</vt:lpstr>
      <vt:lpstr>calcLOB1Emp3AllocatedProd</vt:lpstr>
      <vt:lpstr>calcLOB1Emp3BaseProdCapacity</vt:lpstr>
      <vt:lpstr>calcLOB1Emp3Capacity</vt:lpstr>
      <vt:lpstr>calcLOB1Emp3GrossProdCapacity</vt:lpstr>
      <vt:lpstr>calcLOB1Emp3NetProduction</vt:lpstr>
      <vt:lpstr>calcLOB1Emp3Visits</vt:lpstr>
      <vt:lpstr>calcLOB1Emp3Work</vt:lpstr>
      <vt:lpstr>calcLOB1ESAT</vt:lpstr>
      <vt:lpstr>calcLOB1MeetingCount</vt:lpstr>
      <vt:lpstr>calcLOB1Patients</vt:lpstr>
      <vt:lpstr>calcLOB1Prod1Seg1Budget</vt:lpstr>
      <vt:lpstr>calcLOB1Prod1Seg1BudgetMM</vt:lpstr>
      <vt:lpstr>calcLOB1Prod1Seg1Emp1ActualVisits</vt:lpstr>
      <vt:lpstr>calcLOB1Prod1Seg1Emp1Visits</vt:lpstr>
      <vt:lpstr>calcLOB1Prod1Seg1Emp2ActualVisits</vt:lpstr>
      <vt:lpstr>calcLOB1Prod1Seg1Emp2Visits</vt:lpstr>
      <vt:lpstr>calcLOB1Prod1Seg1Emp3ActualVisits</vt:lpstr>
      <vt:lpstr>calcLOB1Prod1Seg1Emp3Visits</vt:lpstr>
      <vt:lpstr>calcLOB1Prod1Seg1Patients</vt:lpstr>
      <vt:lpstr>calcLOB1Prod1Seg1RunRate</vt:lpstr>
      <vt:lpstr>calcLOB1Prod1Seg1RunRateM1</vt:lpstr>
      <vt:lpstr>calcLOB1Prod1Seg1RunRateM2</vt:lpstr>
      <vt:lpstr>calcLOB1Prod1Seg1RunRateM3</vt:lpstr>
      <vt:lpstr>calcLOB1Prod1Seg1RunRateMM</vt:lpstr>
      <vt:lpstr>calcLOB1Prod1Seg2Budget</vt:lpstr>
      <vt:lpstr>calcLOB1Prod1Seg2BudgetMM</vt:lpstr>
      <vt:lpstr>calcLOB1Prod1Seg2Emp1ActualVisits</vt:lpstr>
      <vt:lpstr>calcLOB1Prod1Seg2Emp1Visits</vt:lpstr>
      <vt:lpstr>calcLOB1Prod1Seg2Emp2ActualVisits</vt:lpstr>
      <vt:lpstr>calcLOB1Prod1Seg2Emp2Visits</vt:lpstr>
      <vt:lpstr>calcLOB1Prod1Seg2Emp3ActualVisits</vt:lpstr>
      <vt:lpstr>calcLOB1Prod1Seg2Emp3Visits</vt:lpstr>
      <vt:lpstr>calcLOB1Prod1Seg2Patients</vt:lpstr>
      <vt:lpstr>calcLOB1Prod1Seg2RunRate</vt:lpstr>
      <vt:lpstr>calcLOB1Prod1Seg2RunRateM1</vt:lpstr>
      <vt:lpstr>calcLOB1Prod1Seg2RunRateM2</vt:lpstr>
      <vt:lpstr>calcLOB1Prod1Seg2RunRateM3</vt:lpstr>
      <vt:lpstr>calcLOB1Prod1Seg2RunRateMM</vt:lpstr>
      <vt:lpstr>calcLOB1Prod1Seg3Budget</vt:lpstr>
      <vt:lpstr>calcLOB1Prod1Seg3BudgetMM</vt:lpstr>
      <vt:lpstr>calcLOB1Prod1Seg3Emp1ActualVisits</vt:lpstr>
      <vt:lpstr>calcLOB1Prod1Seg3Emp1Visits</vt:lpstr>
      <vt:lpstr>calcLOB1Prod1Seg3Emp2ActualVisits</vt:lpstr>
      <vt:lpstr>calcLOB1Prod1Seg3Emp2Visits</vt:lpstr>
      <vt:lpstr>calcLOB1Prod1Seg3Emp3ActualVisits</vt:lpstr>
      <vt:lpstr>calcLOB1Prod1Seg3Emp3Visits</vt:lpstr>
      <vt:lpstr>calcLOB1Prod1Seg3Patients</vt:lpstr>
      <vt:lpstr>calcLOB1Prod1Seg3RunRate</vt:lpstr>
      <vt:lpstr>calcLOB1Prod1Seg3RunRateM1</vt:lpstr>
      <vt:lpstr>calcLOB1Prod1Seg3RunRateM2</vt:lpstr>
      <vt:lpstr>calcLOB1Prod1Seg3RunRateM3</vt:lpstr>
      <vt:lpstr>calcLOB1Prod1Seg3RunRateMM</vt:lpstr>
      <vt:lpstr>calcLOB1Prod2Seg1Budget</vt:lpstr>
      <vt:lpstr>calcLOB1Prod2Seg1BudgetMM</vt:lpstr>
      <vt:lpstr>calcLOB1Prod2Seg1Emp1ActualVisits</vt:lpstr>
      <vt:lpstr>calcLOB1Prod2Seg1Emp1Visits</vt:lpstr>
      <vt:lpstr>calcLOB1Prod2Seg1Emp2ActualVisits</vt:lpstr>
      <vt:lpstr>calcLOB1Prod2Seg1Emp2Visits</vt:lpstr>
      <vt:lpstr>calcLOB1Prod2Seg1Emp3ActualVisits</vt:lpstr>
      <vt:lpstr>calcLOB1Prod2Seg1Emp3Visits</vt:lpstr>
      <vt:lpstr>calcLOB1Prod2Seg1Patients</vt:lpstr>
      <vt:lpstr>calcLOB1Prod2Seg1RunRate</vt:lpstr>
      <vt:lpstr>calcLOB1Prod2Seg1RunRateM1</vt:lpstr>
      <vt:lpstr>calcLOB1Prod2Seg1RunRateM2</vt:lpstr>
      <vt:lpstr>calcLOB1Prod2Seg1RunRateM3</vt:lpstr>
      <vt:lpstr>calcLOB1Prod2Seg1RunRateMM</vt:lpstr>
      <vt:lpstr>calcLOB1Prod2Seg2Budget</vt:lpstr>
      <vt:lpstr>calcLOB1Prod2Seg2BudgetMM</vt:lpstr>
      <vt:lpstr>calcLOB1Prod2Seg2Emp1ActualVisits</vt:lpstr>
      <vt:lpstr>calcLOB1Prod2Seg2Emp1Visits</vt:lpstr>
      <vt:lpstr>calcLOB1Prod2Seg2Emp2ActualVisits</vt:lpstr>
      <vt:lpstr>calcLOB1Prod2Seg2Emp2Visits</vt:lpstr>
      <vt:lpstr>calcLOB1Prod2Seg2Emp3ActualVisits</vt:lpstr>
      <vt:lpstr>calcLOB1Prod2Seg2Emp3Visits</vt:lpstr>
      <vt:lpstr>calcLOB1Prod2Seg2Patients</vt:lpstr>
      <vt:lpstr>calcLOB1Prod2Seg2RunRate</vt:lpstr>
      <vt:lpstr>calcLOB1Prod2Seg2RunRateM1</vt:lpstr>
      <vt:lpstr>calcLOB1Prod2Seg2RunRateM2</vt:lpstr>
      <vt:lpstr>calcLOB1Prod2Seg2RunRateM3</vt:lpstr>
      <vt:lpstr>calcLOB1Prod2Seg2RunRateMM</vt:lpstr>
      <vt:lpstr>calcLOB1Prod2Seg3Budget</vt:lpstr>
      <vt:lpstr>calcLOB1Prod2Seg3BudgetMM</vt:lpstr>
      <vt:lpstr>calcLOB1Prod2Seg3Emp1ActualVisits</vt:lpstr>
      <vt:lpstr>calcLOB1Prod2Seg3Emp1Visits</vt:lpstr>
      <vt:lpstr>calcLOB1Prod2Seg3Emp2ActualVisits</vt:lpstr>
      <vt:lpstr>calcLOB1Prod2Seg3Emp2Visits</vt:lpstr>
      <vt:lpstr>calcLOB1Prod2Seg3Emp3ActualVisits</vt:lpstr>
      <vt:lpstr>calcLOB1Prod2Seg3Emp3Visits</vt:lpstr>
      <vt:lpstr>calcLOB1Prod2Seg3Patients</vt:lpstr>
      <vt:lpstr>calcLOB1Prod2Seg3RunRate</vt:lpstr>
      <vt:lpstr>calcLOB1Prod2Seg3RunRateM1</vt:lpstr>
      <vt:lpstr>calcLOB1Prod2Seg3RunRateM2</vt:lpstr>
      <vt:lpstr>calcLOB1Prod2Seg3RunRateM3</vt:lpstr>
      <vt:lpstr>calcLOB1Prod2Seg3RunRateMM</vt:lpstr>
      <vt:lpstr>calcLOB1RunRate</vt:lpstr>
      <vt:lpstr>calcLOB1RunRateM1</vt:lpstr>
      <vt:lpstr>calcLOB1RunRateM2</vt:lpstr>
      <vt:lpstr>calcLOB1RunRateM3</vt:lpstr>
      <vt:lpstr>calcLOB1RunRateMM</vt:lpstr>
      <vt:lpstr>calcLOB1Stars</vt:lpstr>
      <vt:lpstr>calcLOB2AvgUtilization</vt:lpstr>
      <vt:lpstr>calcLOB2BDEngage</vt:lpstr>
      <vt:lpstr>calcLOB2Budget</vt:lpstr>
      <vt:lpstr>calcLOB2BudgetMM</vt:lpstr>
      <vt:lpstr>calcLOB2Clinician10AllocatedProd</vt:lpstr>
      <vt:lpstr>calcLOB2Clinician10AvgMissPerc</vt:lpstr>
      <vt:lpstr>calcLOB2Clinician10BaseNetProd</vt:lpstr>
      <vt:lpstr>calcLOB2Clinician10BaseProd</vt:lpstr>
      <vt:lpstr>calcLOB2Clinician10Disc1AvgMissPerc</vt:lpstr>
      <vt:lpstr>calcLOB2Clinician10Disc1BaseMissPerc</vt:lpstr>
      <vt:lpstr>calcLOB2Clinician10Disc1Emp1AllocatedProd</vt:lpstr>
      <vt:lpstr>calcLOB2Clinician10Disc1Emp1AllowPerc</vt:lpstr>
      <vt:lpstr>calcLOB2Clinician10Disc1Emp1BaseProd</vt:lpstr>
      <vt:lpstr>calcLOB2Clinician10Disc1Emp1GrossProd</vt:lpstr>
      <vt:lpstr>calcLOB2Clinician10Disc1Emp1MissVisits</vt:lpstr>
      <vt:lpstr>calcLOB2Clinician10Disc1Emp1ModifiedProd</vt:lpstr>
      <vt:lpstr>calcLOB2Clinician10Disc1Emp1NetProd</vt:lpstr>
      <vt:lpstr>calcLOB2Clinician10Disc1Emp1OverTIme</vt:lpstr>
      <vt:lpstr>calcLOB2Clinician10Disc2AvgMissPerc</vt:lpstr>
      <vt:lpstr>calcLOB2Clinician10Disc2BaseMissPerc</vt:lpstr>
      <vt:lpstr>calcLOB2Clinician10Disc2Emp1AllocatedProd</vt:lpstr>
      <vt:lpstr>calcLOB2Clinician10Disc2Emp1AllowPerc</vt:lpstr>
      <vt:lpstr>calcLOB2Clinician10Disc2Emp1BaseProd</vt:lpstr>
      <vt:lpstr>calcLOB2Clinician10Disc2Emp1GrossProd</vt:lpstr>
      <vt:lpstr>calcLOB2Clinician10Disc2Emp1MissVisits</vt:lpstr>
      <vt:lpstr>calcLOB2Clinician10Disc2Emp1ModifiedProd</vt:lpstr>
      <vt:lpstr>calcLOB2Clinician10Disc2Emp1NetProd</vt:lpstr>
      <vt:lpstr>calcLOB2Clinician10Disc2Emp1OverTIme</vt:lpstr>
      <vt:lpstr>calcLOB2Clinician10Emp2AllocatedProd</vt:lpstr>
      <vt:lpstr>calcLOB2Clinician10Emp2AllowPerc</vt:lpstr>
      <vt:lpstr>calcLOB2Clinician10Emp2AvgMissPerc</vt:lpstr>
      <vt:lpstr>calcLOB2Clinician10Emp2BaseMissPerc</vt:lpstr>
      <vt:lpstr>calcLOB2Clinician10Emp2BaseProd</vt:lpstr>
      <vt:lpstr>calcLOB2Clinician10Emp2GrossProd</vt:lpstr>
      <vt:lpstr>calcLOB2Clinician10Emp2MissVisits</vt:lpstr>
      <vt:lpstr>calcLOB2Clinician10Emp2ModifiedProd</vt:lpstr>
      <vt:lpstr>calcLOB2Clinician10Emp2NetProd</vt:lpstr>
      <vt:lpstr>calcLOB2Clinician10Emp2OverTIme</vt:lpstr>
      <vt:lpstr>calcLOB2Clinician10Emp3AllocatedProd</vt:lpstr>
      <vt:lpstr>calcLOB2Clinician10Emp3AllowPerc</vt:lpstr>
      <vt:lpstr>calcLOB2Clinician10Emp3AvgMissPerc</vt:lpstr>
      <vt:lpstr>calcLOB2Clinician10Emp3BaseMissPerc</vt:lpstr>
      <vt:lpstr>calcLOB2Clinician10Emp3BaseProd</vt:lpstr>
      <vt:lpstr>calcLOB2Clinician10Emp3GrossProd</vt:lpstr>
      <vt:lpstr>calcLOB2Clinician10Emp3MissVisits</vt:lpstr>
      <vt:lpstr>calcLOB2Clinician10Emp3ModifiedProd</vt:lpstr>
      <vt:lpstr>calcLOB2Clinician10Emp3NetProd</vt:lpstr>
      <vt:lpstr>calcLOB2Clinician10Emp3OverTIme</vt:lpstr>
      <vt:lpstr>calcLOB2Clinician10GrossProd</vt:lpstr>
      <vt:lpstr>calcLOB2Clinician10MissVisits</vt:lpstr>
      <vt:lpstr>calcLOB2Clinician10NetVisits</vt:lpstr>
      <vt:lpstr>calcLOB2Clinician10OverTime</vt:lpstr>
      <vt:lpstr>calcLOB2Clinician11AllocatedProd</vt:lpstr>
      <vt:lpstr>calcLOB2Clinician11AvgMissPerc</vt:lpstr>
      <vt:lpstr>calcLOB2Clinician11BaseNetProd</vt:lpstr>
      <vt:lpstr>calcLOB2Clinician11BaseProd</vt:lpstr>
      <vt:lpstr>calcLOB2Clinician11Disc1AvgMissPerc</vt:lpstr>
      <vt:lpstr>calcLOB2Clinician11Disc1BaseMissPerc</vt:lpstr>
      <vt:lpstr>calcLOB2Clinician11Disc1Emp1AllocatedProd</vt:lpstr>
      <vt:lpstr>calcLOB2Clinician11Disc1Emp1AllowPerc</vt:lpstr>
      <vt:lpstr>calcLOB2Clinician11Disc1Emp1BaseProd</vt:lpstr>
      <vt:lpstr>calcLOB2Clinician11Disc1Emp1GrossProd</vt:lpstr>
      <vt:lpstr>calcLOB2Clinician11Disc1Emp1MissVisits</vt:lpstr>
      <vt:lpstr>calcLOB2Clinician11Disc1Emp1ModifiedProd</vt:lpstr>
      <vt:lpstr>calcLOB2Clinician11Disc1Emp1NetProd</vt:lpstr>
      <vt:lpstr>calcLOB2Clinician11Disc1Emp1OverTIme</vt:lpstr>
      <vt:lpstr>calcLOB2Clinician11Disc2AvgMissPerc</vt:lpstr>
      <vt:lpstr>calcLOB2Clinician11Disc2BaseMissPerc</vt:lpstr>
      <vt:lpstr>calcLOB2Clinician11Disc2Emp1AllocatedProd</vt:lpstr>
      <vt:lpstr>calcLOB2Clinician11Disc2Emp1AllowPerc</vt:lpstr>
      <vt:lpstr>calcLOB2Clinician11Disc2Emp1BaseProd</vt:lpstr>
      <vt:lpstr>calcLOB2Clinician11Disc2Emp1GrossProd</vt:lpstr>
      <vt:lpstr>calcLOB2Clinician11Disc2Emp1MissVisits</vt:lpstr>
      <vt:lpstr>calcLOB2Clinician11Disc2Emp1ModifiedProd</vt:lpstr>
      <vt:lpstr>calcLOB2Clinician11Disc2Emp1NetProd</vt:lpstr>
      <vt:lpstr>calcLOB2Clinician11Disc2Emp1OverTIme</vt:lpstr>
      <vt:lpstr>calcLOB2Clinician11Emp2AllocatedProd</vt:lpstr>
      <vt:lpstr>calcLOB2Clinician11Emp2AllowPerc</vt:lpstr>
      <vt:lpstr>calcLOB2Clinician11Emp2AvgMissPerc</vt:lpstr>
      <vt:lpstr>calcLOB2Clinician11Emp2BaseMissPerc</vt:lpstr>
      <vt:lpstr>calcLOB2Clinician11Emp2BaseProd</vt:lpstr>
      <vt:lpstr>calcLOB2Clinician11Emp2GrossProd</vt:lpstr>
      <vt:lpstr>calcLOB2Clinician11Emp2MissVisits</vt:lpstr>
      <vt:lpstr>calcLOB2Clinician11Emp2ModifiedProd</vt:lpstr>
      <vt:lpstr>calcLOB2Clinician11Emp2NetProd</vt:lpstr>
      <vt:lpstr>calcLOB2Clinician11Emp2OverTIme</vt:lpstr>
      <vt:lpstr>calcLOB2Clinician11Emp3AllocatedProd</vt:lpstr>
      <vt:lpstr>calcLOB2Clinician11Emp3AllowPerc</vt:lpstr>
      <vt:lpstr>calcLOB2Clinician11Emp3AvgMissPerc</vt:lpstr>
      <vt:lpstr>calcLOB2Clinician11Emp3BaseMissPerc</vt:lpstr>
      <vt:lpstr>calcLOB2Clinician11Emp3BaseProd</vt:lpstr>
      <vt:lpstr>calcLOB2Clinician11Emp3GrossProd</vt:lpstr>
      <vt:lpstr>calcLOB2Clinician11Emp3MissVisits</vt:lpstr>
      <vt:lpstr>calcLOB2Clinician11Emp3ModifiedProd</vt:lpstr>
      <vt:lpstr>calcLOB2Clinician11Emp3NetProd</vt:lpstr>
      <vt:lpstr>calcLOB2Clinician11Emp3OverTIme</vt:lpstr>
      <vt:lpstr>calcLOB2Clinician11GrossProd</vt:lpstr>
      <vt:lpstr>calcLOB2Clinician11LookupValue</vt:lpstr>
      <vt:lpstr>calcLOB2Clinician11MissVisits</vt:lpstr>
      <vt:lpstr>calcLOB2Clinician11NetVisits</vt:lpstr>
      <vt:lpstr>calcLOB2Clinician11OverTime</vt:lpstr>
      <vt:lpstr>calcLOB2Clinician12AllocatedProd</vt:lpstr>
      <vt:lpstr>calcLOB2Clinician12AvgMissPerc</vt:lpstr>
      <vt:lpstr>calcLOB2Clinician12BaseNetProd</vt:lpstr>
      <vt:lpstr>calcLOB2Clinician12BaseProd</vt:lpstr>
      <vt:lpstr>calcLOB2Clinician12Disc1AvgMissPerc</vt:lpstr>
      <vt:lpstr>calcLOB2Clinician12Disc1BaseMissPerc</vt:lpstr>
      <vt:lpstr>calcLOB2Clinician12Disc1Emp1AllocatedProd</vt:lpstr>
      <vt:lpstr>calcLOB2Clinician12Disc1Emp1AllowPerc</vt:lpstr>
      <vt:lpstr>calcLOB2Clinician12Disc1Emp1BaseProd</vt:lpstr>
      <vt:lpstr>calcLOB2Clinician12Disc1Emp1GrossProd</vt:lpstr>
      <vt:lpstr>calcLOB2Clinician12Disc1Emp1MissVisits</vt:lpstr>
      <vt:lpstr>calcLOB2Clinician12Disc1Emp1ModifiedProd</vt:lpstr>
      <vt:lpstr>calcLOB2Clinician12Disc1Emp1NetProd</vt:lpstr>
      <vt:lpstr>calcLOB2Clinician12Disc1Emp1OverTIme</vt:lpstr>
      <vt:lpstr>calcLOB2Clinician12Disc2AvgMissPerc</vt:lpstr>
      <vt:lpstr>calcLOB2Clinician12Disc2BaseMissPerc</vt:lpstr>
      <vt:lpstr>calcLOB2Clinician12Disc2Emp1AllocatedProd</vt:lpstr>
      <vt:lpstr>calcLOB2Clinician12Disc2Emp1AllowPerc</vt:lpstr>
      <vt:lpstr>calcLOB2Clinician12Disc2Emp1BaseProd</vt:lpstr>
      <vt:lpstr>calcLOB2Clinician12Disc2Emp1GrossProd</vt:lpstr>
      <vt:lpstr>calcLOB2Clinician12Disc2Emp1MissVisits</vt:lpstr>
      <vt:lpstr>calcLOB2Clinician12Disc2Emp1ModifiedProd</vt:lpstr>
      <vt:lpstr>calcLOB2Clinician12Disc2Emp1NetProd</vt:lpstr>
      <vt:lpstr>calcLOB2Clinician12Disc2Emp1OverTIme</vt:lpstr>
      <vt:lpstr>calcLOB2Clinician12Emp2AllocatedProd</vt:lpstr>
      <vt:lpstr>calcLOB2Clinician12Emp2AllowPerc</vt:lpstr>
      <vt:lpstr>calcLOB2Clinician12Emp2AvgMissPerc</vt:lpstr>
      <vt:lpstr>calcLOB2Clinician12Emp2BaseMissPerc</vt:lpstr>
      <vt:lpstr>calcLOB2Clinician12Emp2BaseProd</vt:lpstr>
      <vt:lpstr>calcLOB2Clinician12Emp2GrossProd</vt:lpstr>
      <vt:lpstr>calcLOB2Clinician12Emp2MissVisits</vt:lpstr>
      <vt:lpstr>calcLOB2Clinician12Emp2ModifiedProd</vt:lpstr>
      <vt:lpstr>calcLOB2Clinician12Emp2NetProd</vt:lpstr>
      <vt:lpstr>calcLOB2Clinician12Emp2OverTIme</vt:lpstr>
      <vt:lpstr>calcLOB2Clinician12Emp3AllocatedProd</vt:lpstr>
      <vt:lpstr>calcLOB2Clinician12Emp3AllowPerc</vt:lpstr>
      <vt:lpstr>calcLOB2Clinician12Emp3AvgMissPerc</vt:lpstr>
      <vt:lpstr>calcLOB2Clinician12Emp3BaseMissPerc</vt:lpstr>
      <vt:lpstr>calcLOB2Clinician12Emp3BaseProd</vt:lpstr>
      <vt:lpstr>calcLOB2Clinician12Emp3GrossProd</vt:lpstr>
      <vt:lpstr>calcLOB2Clinician12Emp3MissVisits</vt:lpstr>
      <vt:lpstr>calcLOB2Clinician12Emp3ModifiedProd</vt:lpstr>
      <vt:lpstr>calcLOB2Clinician12Emp3NetProd</vt:lpstr>
      <vt:lpstr>calcLOB2Clinician12Emp3OverTIme</vt:lpstr>
      <vt:lpstr>calcLOB2Clinician12GrossProd</vt:lpstr>
      <vt:lpstr>calcLOB2Clinician12LookupValue</vt:lpstr>
      <vt:lpstr>calcLOB2Clinician12MissVisits</vt:lpstr>
      <vt:lpstr>calcLOB2Clinician12NetVisits</vt:lpstr>
      <vt:lpstr>calcLOB2Clinician12OverTime</vt:lpstr>
      <vt:lpstr>calcLOB2Clinician13Disc1AvgMissPerc</vt:lpstr>
      <vt:lpstr>calcLOB2Clinician13Disc1BaseMissPerc</vt:lpstr>
      <vt:lpstr>calcLOB2Clinician13Disc1Emp1AllocatedProd</vt:lpstr>
      <vt:lpstr>calcLOB2Clinician13Disc1Emp1AllowPerc</vt:lpstr>
      <vt:lpstr>calcLOB2Clinician13Disc1Emp1BaseProd</vt:lpstr>
      <vt:lpstr>calcLOB2Clinician13Disc1Emp1GrossProd</vt:lpstr>
      <vt:lpstr>calcLOB2Clinician13Disc1Emp1MissVisits</vt:lpstr>
      <vt:lpstr>calcLOB2Clinician13Disc1Emp1NetProd</vt:lpstr>
      <vt:lpstr>calcLOB2Clinician14Disc2AvgMissPerc</vt:lpstr>
      <vt:lpstr>calcLOB2Clinician14Disc2BaseMissPerc</vt:lpstr>
      <vt:lpstr>calcLOB2Clinician14Disc2Emp1AllocatedProd</vt:lpstr>
      <vt:lpstr>calcLOB2Clinician14Disc2Emp1AllowPerc</vt:lpstr>
      <vt:lpstr>calcLOB2Clinician14Disc2Emp1BaseProd</vt:lpstr>
      <vt:lpstr>calcLOB2Clinician14Disc2Emp1GrossProd</vt:lpstr>
      <vt:lpstr>calcLOB2Clinician14Disc2Emp1MissVisits</vt:lpstr>
      <vt:lpstr>calcLOB2Clinician14Disc2Emp1NetProd</vt:lpstr>
      <vt:lpstr>calcLOB2Clinician15Emp3AllocatedProd</vt:lpstr>
      <vt:lpstr>calcLOB2Clinician15Emp3AllowPerc</vt:lpstr>
      <vt:lpstr>calcLOB2Clinician15Emp3AvgMissPerc</vt:lpstr>
      <vt:lpstr>calcLOB2Clinician15Emp3BaseProd</vt:lpstr>
      <vt:lpstr>calcLOB2Clinician15Emp3GrossProd</vt:lpstr>
      <vt:lpstr>calcLOB2Clinician15Emp3MissVisits</vt:lpstr>
      <vt:lpstr>calcLOB2Clinician15Emp3NetProd</vt:lpstr>
      <vt:lpstr>calcLOB2Clinician16Emp2AllocatedProd</vt:lpstr>
      <vt:lpstr>calcLOB2Clinician16Emp2AllowPerc</vt:lpstr>
      <vt:lpstr>calcLOB2Clinician16Emp2AvgMissPerc</vt:lpstr>
      <vt:lpstr>calcLOB2Clinician16Emp2BaseMissPerc</vt:lpstr>
      <vt:lpstr>calcLOB2Clinician16Emp2BaseProd</vt:lpstr>
      <vt:lpstr>calcLOB2Clinician16Emp2GrossProd</vt:lpstr>
      <vt:lpstr>calcLOB2Clinician16Emp2MissVisits</vt:lpstr>
      <vt:lpstr>calcLOB2Clinician16Emp2NetProd</vt:lpstr>
      <vt:lpstr>calcLOB2Clinician16Emp3BaseMissPerc</vt:lpstr>
      <vt:lpstr>calcLOB2Clinician1AllocatedProd</vt:lpstr>
      <vt:lpstr>calcLOB2Clinician1AvgMissPerc</vt:lpstr>
      <vt:lpstr>calcLOB2Clinician1BaseNetProd</vt:lpstr>
      <vt:lpstr>calcLOB2Clinician1BaseProd</vt:lpstr>
      <vt:lpstr>calcLOB2Clinician1Disc1AvgMissPerc</vt:lpstr>
      <vt:lpstr>calcLOB2Clinician1Disc1BaseMissPerc</vt:lpstr>
      <vt:lpstr>calcLOB2Clinician1Disc1Emp1AllocatedProd</vt:lpstr>
      <vt:lpstr>calcLOB2Clinician1Disc1Emp1AllowPerc</vt:lpstr>
      <vt:lpstr>calcLOB2Clinician1Disc1Emp1BaseProd</vt:lpstr>
      <vt:lpstr>calcLOB2Clinician1Disc1Emp1GrossProd</vt:lpstr>
      <vt:lpstr>calcLOB2Clinician1Disc1Emp1MissVisits</vt:lpstr>
      <vt:lpstr>calcLOB2Clinician1Disc1Emp1ModifiedProd</vt:lpstr>
      <vt:lpstr>calcLOB2Clinician1Disc1Emp1NetProd</vt:lpstr>
      <vt:lpstr>calcLOB2Clinician1Disc1Emp1OverTIme</vt:lpstr>
      <vt:lpstr>calcLOB2Clinician1Disc2AvgMissPerc</vt:lpstr>
      <vt:lpstr>calcLOB2Clinician1Disc2BaseMissPerc</vt:lpstr>
      <vt:lpstr>calcLOB2Clinician1Disc2Emp1AllocatedProd</vt:lpstr>
      <vt:lpstr>calcLOB2Clinician1Disc2Emp1AllowPerc</vt:lpstr>
      <vt:lpstr>calcLOB2Clinician1Disc2Emp1BaseProd</vt:lpstr>
      <vt:lpstr>calcLOB2Clinician1Disc2Emp1GrossProd</vt:lpstr>
      <vt:lpstr>calcLOB2Clinician1Disc2Emp1MissVisits</vt:lpstr>
      <vt:lpstr>calcLOB2Clinician1Disc2Emp1ModifiedProd</vt:lpstr>
      <vt:lpstr>calcLOB2Clinician1Disc2Emp1NetProd</vt:lpstr>
      <vt:lpstr>calcLOB2Clinician1Disc2Emp1OverTIme</vt:lpstr>
      <vt:lpstr>calcLOB2Clinician1Emp2AllocatedProd</vt:lpstr>
      <vt:lpstr>calcLOB2Clinician1Emp2AllowPerc</vt:lpstr>
      <vt:lpstr>calcLOB2Clinician1Emp2AvgMissPerc</vt:lpstr>
      <vt:lpstr>calcLOB2Clinician1Emp2BaseMissPerc</vt:lpstr>
      <vt:lpstr>calcLOB2Clinician1Emp2BaseProd</vt:lpstr>
      <vt:lpstr>calcLOB2Clinician1Emp2GrossProd</vt:lpstr>
      <vt:lpstr>calcLOB2Clinician1Emp2MissVisits</vt:lpstr>
      <vt:lpstr>calcLOB2Clinician1Emp2ModifiedProd</vt:lpstr>
      <vt:lpstr>calcLOB2Clinician1Emp2NetProd</vt:lpstr>
      <vt:lpstr>calcLOB2Clinician1Emp2OverTIme</vt:lpstr>
      <vt:lpstr>calcLOB2Clinician1Emp3AllocatedProd</vt:lpstr>
      <vt:lpstr>calcLOB2Clinician1Emp3AllowPerc</vt:lpstr>
      <vt:lpstr>calcLOB2Clinician1Emp3AvgMissPerc</vt:lpstr>
      <vt:lpstr>calcLOB2Clinician1Emp3BaseMissPerc</vt:lpstr>
      <vt:lpstr>calcLOB2Clinician1Emp3BaseProd</vt:lpstr>
      <vt:lpstr>calcLOB2Clinician1Emp3GrossProd</vt:lpstr>
      <vt:lpstr>calcLOB2Clinician1Emp3MissVisits</vt:lpstr>
      <vt:lpstr>calcLOB2Clinician1Emp3ModifiedProd</vt:lpstr>
      <vt:lpstr>calcLOB2Clinician1Emp3NetProd</vt:lpstr>
      <vt:lpstr>calcLOB2Clinician1Emp3OverTIme</vt:lpstr>
      <vt:lpstr>calcLOB2Clinician1GrossProd</vt:lpstr>
      <vt:lpstr>calcLOB2Clinician1MissVisits</vt:lpstr>
      <vt:lpstr>calcLOB2Clinician1NetVisits</vt:lpstr>
      <vt:lpstr>calcLOB2Clinician1OverTime</vt:lpstr>
      <vt:lpstr>calcLOB2Clinician2AllocatedProd</vt:lpstr>
      <vt:lpstr>calcLOB2Clinician2AvgMissPerc</vt:lpstr>
      <vt:lpstr>calcLOB2Clinician2BaseNetProd</vt:lpstr>
      <vt:lpstr>calcLOB2Clinician2BaseProd</vt:lpstr>
      <vt:lpstr>calcLOB2Clinician2Disc1AvgMissPerc</vt:lpstr>
      <vt:lpstr>calcLOB2Clinician2Disc1BaseMissPerc</vt:lpstr>
      <vt:lpstr>calcLOB2Clinician2Disc1Emp1AllocatedProd</vt:lpstr>
      <vt:lpstr>calcLOB2Clinician2Disc1Emp1AllowPerc</vt:lpstr>
      <vt:lpstr>calcLOB2Clinician2Disc1Emp1BaseProd</vt:lpstr>
      <vt:lpstr>calcLOB2Clinician2Disc1Emp1GrossProd</vt:lpstr>
      <vt:lpstr>calcLOB2Clinician2Disc1Emp1MissVisits</vt:lpstr>
      <vt:lpstr>calcLOB2Clinician2Disc1Emp1ModifiedProd</vt:lpstr>
      <vt:lpstr>calcLOB2Clinician2Disc1Emp1NetProd</vt:lpstr>
      <vt:lpstr>calcLOB2Clinician2Disc1Emp1OverTIme</vt:lpstr>
      <vt:lpstr>calcLOB2Clinician2Disc2AvgMissPerc</vt:lpstr>
      <vt:lpstr>calcLOB2Clinician2Disc2BaseMissPerc</vt:lpstr>
      <vt:lpstr>calcLOB2Clinician2Disc2Emp1AllocatedProd</vt:lpstr>
      <vt:lpstr>calcLOB2Clinician2Disc2Emp1AllowPerc</vt:lpstr>
      <vt:lpstr>calcLOB2Clinician2Disc2Emp1BaseProd</vt:lpstr>
      <vt:lpstr>calcLOB2Clinician2Disc2Emp1GrossProd</vt:lpstr>
      <vt:lpstr>calcLOB2Clinician2Disc2Emp1MissVisits</vt:lpstr>
      <vt:lpstr>calcLOB2Clinician2Disc2Emp1ModifiedProd</vt:lpstr>
      <vt:lpstr>calcLOB2Clinician2Disc2Emp1NetProd</vt:lpstr>
      <vt:lpstr>calcLOB2Clinician2Disc2Emp1OverTIme</vt:lpstr>
      <vt:lpstr>calcLOB2Clinician2Emp2AllocatedProd</vt:lpstr>
      <vt:lpstr>calcLOB2Clinician2Emp2AllowPerc</vt:lpstr>
      <vt:lpstr>calcLOB2Clinician2Emp2AvgMissPerc</vt:lpstr>
      <vt:lpstr>calcLOB2Clinician2Emp2BaseMissPerc</vt:lpstr>
      <vt:lpstr>calcLOB2Clinician2Emp2BaseProd</vt:lpstr>
      <vt:lpstr>calcLOB2Clinician2Emp2GrossProd</vt:lpstr>
      <vt:lpstr>calcLOB2Clinician2Emp2MissVisits</vt:lpstr>
      <vt:lpstr>calcLOB2Clinician2Emp2ModifiedProd</vt:lpstr>
      <vt:lpstr>calcLOB2Clinician2Emp2NetProd</vt:lpstr>
      <vt:lpstr>calcLOB2Clinician2Emp2OverTIme</vt:lpstr>
      <vt:lpstr>calcLOB2Clinician2Emp3AllocatedProd</vt:lpstr>
      <vt:lpstr>calcLOB2Clinician2Emp3AllowPerc</vt:lpstr>
      <vt:lpstr>calcLOB2Clinician2Emp3AvgMissPerc</vt:lpstr>
      <vt:lpstr>calcLOB2Clinician2Emp3BaseMissPerc</vt:lpstr>
      <vt:lpstr>calcLOB2Clinician2Emp3BaseProd</vt:lpstr>
      <vt:lpstr>calcLOB2Clinician2Emp3GrossProd</vt:lpstr>
      <vt:lpstr>calcLOB2Clinician2Emp3MissVisits</vt:lpstr>
      <vt:lpstr>calcLOB2Clinician2Emp3ModifiedProd</vt:lpstr>
      <vt:lpstr>calcLOB2Clinician2Emp3NetProd</vt:lpstr>
      <vt:lpstr>calcLOB2Clinician2Emp3OverTIme</vt:lpstr>
      <vt:lpstr>calcLOB2Clinician2GrossProd</vt:lpstr>
      <vt:lpstr>calcLOB2Clinician2MissVisits</vt:lpstr>
      <vt:lpstr>calcLOB2Clinician2NetVisits</vt:lpstr>
      <vt:lpstr>calcLOB2Clinician2OverTime</vt:lpstr>
      <vt:lpstr>calcLOB2Clinician3AllocatedProd</vt:lpstr>
      <vt:lpstr>calcLOB2Clinician3AvgMissPerc</vt:lpstr>
      <vt:lpstr>calcLOB2Clinician3BaseNetProd</vt:lpstr>
      <vt:lpstr>calcLOB2Clinician3BaseProd</vt:lpstr>
      <vt:lpstr>calcLOB2Clinician3Disc1AvgMissPerc</vt:lpstr>
      <vt:lpstr>calcLOB2Clinician3Disc1BaseMissPerc</vt:lpstr>
      <vt:lpstr>calcLOB2Clinician3Disc1Emp1AllocatedProd</vt:lpstr>
      <vt:lpstr>calcLOB2Clinician3Disc1Emp1AllowPerc</vt:lpstr>
      <vt:lpstr>calcLOB2Clinician3Disc1Emp1BaseProd</vt:lpstr>
      <vt:lpstr>calcLOB2Clinician3Disc1Emp1GrossProd</vt:lpstr>
      <vt:lpstr>calcLOB2Clinician3Disc1Emp1MissVisits</vt:lpstr>
      <vt:lpstr>calcLOB2Clinician3Disc1Emp1ModifiedProd</vt:lpstr>
      <vt:lpstr>calcLOB2Clinician3Disc1Emp1NetProd</vt:lpstr>
      <vt:lpstr>calcLOB2Clinician3Disc1Emp1OverTIme</vt:lpstr>
      <vt:lpstr>calcLOB2Clinician3Disc2AvgMissPerc</vt:lpstr>
      <vt:lpstr>calcLOB2Clinician3Disc2BaseMissPerc</vt:lpstr>
      <vt:lpstr>calcLOB2Clinician3Disc2Emp1AllocatedProd</vt:lpstr>
      <vt:lpstr>calcLOB2Clinician3Disc2Emp1AllowPerc</vt:lpstr>
      <vt:lpstr>calcLOB2Clinician3Disc2Emp1BaseProd</vt:lpstr>
      <vt:lpstr>calcLOB2Clinician3Disc2Emp1GrossProd</vt:lpstr>
      <vt:lpstr>calcLOB2Clinician3Disc2Emp1MissVisits</vt:lpstr>
      <vt:lpstr>calcLOB2Clinician3Disc2Emp1ModifiedProd</vt:lpstr>
      <vt:lpstr>calcLOB2Clinician3Disc2Emp1NetProd</vt:lpstr>
      <vt:lpstr>calcLOB2Clinician3Disc2Emp1OverTIme</vt:lpstr>
      <vt:lpstr>calcLOB2Clinician3Emp2AllocatedProd</vt:lpstr>
      <vt:lpstr>calcLOB2Clinician3Emp2AllowPerc</vt:lpstr>
      <vt:lpstr>calcLOB2Clinician3Emp2AvgMissPerc</vt:lpstr>
      <vt:lpstr>calcLOB2Clinician3Emp2BaseMissPerc</vt:lpstr>
      <vt:lpstr>calcLOB2Clinician3Emp2BaseProd</vt:lpstr>
      <vt:lpstr>calcLOB2Clinician3Emp2GrossProd</vt:lpstr>
      <vt:lpstr>calcLOB2Clinician3Emp2MissVisits</vt:lpstr>
      <vt:lpstr>calcLOB2Clinician3Emp2ModifiedProd</vt:lpstr>
      <vt:lpstr>calcLOB2Clinician3Emp2NetProd</vt:lpstr>
      <vt:lpstr>calcLOB2Clinician3Emp2OverTIme</vt:lpstr>
      <vt:lpstr>calcLOB2Clinician3Emp3AllocatedProd</vt:lpstr>
      <vt:lpstr>calcLOB2Clinician3Emp3AllowPerc</vt:lpstr>
      <vt:lpstr>calcLOB2Clinician3Emp3AvgMissPerc</vt:lpstr>
      <vt:lpstr>calcLOB2Clinician3Emp3BaseMissPerc</vt:lpstr>
      <vt:lpstr>calcLOB2Clinician3Emp3BaseProd</vt:lpstr>
      <vt:lpstr>calcLOB2Clinician3Emp3GrossProd</vt:lpstr>
      <vt:lpstr>calcLOB2Clinician3Emp3MissVisits</vt:lpstr>
      <vt:lpstr>calcLOB2Clinician3Emp3ModifiedProd</vt:lpstr>
      <vt:lpstr>calcLOB2Clinician3Emp3NetProd</vt:lpstr>
      <vt:lpstr>calcLOB2Clinician3Emp3OverTIme</vt:lpstr>
      <vt:lpstr>calcLOB2Clinician3GrossProd</vt:lpstr>
      <vt:lpstr>calcLOB2Clinician3MissVisits</vt:lpstr>
      <vt:lpstr>calcLOB2Clinician3NetVisits</vt:lpstr>
      <vt:lpstr>calcLOB2Clinician3OverTime</vt:lpstr>
      <vt:lpstr>calcLOB2Clinician4AllocatedProd</vt:lpstr>
      <vt:lpstr>calcLOB2Clinician4AvgMissPerc</vt:lpstr>
      <vt:lpstr>calcLOB2Clinician4BaseNetProd</vt:lpstr>
      <vt:lpstr>calcLOB2Clinician4BaseProd</vt:lpstr>
      <vt:lpstr>calcLOB2Clinician4Disc1AvgMissPerc</vt:lpstr>
      <vt:lpstr>calcLOB2Clinician4Disc1BaseMissPerc</vt:lpstr>
      <vt:lpstr>calcLOB2Clinician4Disc1Emp1AllocatedProd</vt:lpstr>
      <vt:lpstr>calcLOB2Clinician4Disc1Emp1AllowPerc</vt:lpstr>
      <vt:lpstr>calcLOB2Clinician4Disc1Emp1BaseProd</vt:lpstr>
      <vt:lpstr>calcLOB2Clinician4Disc1Emp1GrossProd</vt:lpstr>
      <vt:lpstr>calcLOB2Clinician4Disc1Emp1MissVisits</vt:lpstr>
      <vt:lpstr>calcLOB2Clinician4Disc1Emp1ModifiedProd</vt:lpstr>
      <vt:lpstr>calcLOB2Clinician4Disc1Emp1NetProd</vt:lpstr>
      <vt:lpstr>calcLOB2Clinician4Disc1Emp1OverTIme</vt:lpstr>
      <vt:lpstr>calcLOB2Clinician4Disc2AvgMissPerc</vt:lpstr>
      <vt:lpstr>calcLOB2Clinician4Disc2BaseMissPerc</vt:lpstr>
      <vt:lpstr>calcLOB2Clinician4Disc2Emp1AllocatedProd</vt:lpstr>
      <vt:lpstr>calcLOB2Clinician4Disc2Emp1AllowPerc</vt:lpstr>
      <vt:lpstr>calcLOB2Clinician4Disc2Emp1BaseProd</vt:lpstr>
      <vt:lpstr>calcLOB2Clinician4Disc2Emp1GrossProd</vt:lpstr>
      <vt:lpstr>calcLOB2Clinician4Disc2Emp1MissVisits</vt:lpstr>
      <vt:lpstr>calcLOB2Clinician4Disc2Emp1ModifiedProd</vt:lpstr>
      <vt:lpstr>calcLOB2Clinician4Disc2Emp1NetProd</vt:lpstr>
      <vt:lpstr>calcLOB2Clinician4Disc2Emp1OverTIme</vt:lpstr>
      <vt:lpstr>calcLOB2Clinician4Emp2AllocatedProd</vt:lpstr>
      <vt:lpstr>calcLOB2Clinician4Emp2AllowPerc</vt:lpstr>
      <vt:lpstr>calcLOB2Clinician4Emp2AvgMissPerc</vt:lpstr>
      <vt:lpstr>calcLOB2Clinician4Emp2BaseMissPerc</vt:lpstr>
      <vt:lpstr>calcLOB2Clinician4Emp2BaseProd</vt:lpstr>
      <vt:lpstr>calcLOB2Clinician4Emp2GrossProd</vt:lpstr>
      <vt:lpstr>calcLOB2Clinician4Emp2MissVisits</vt:lpstr>
      <vt:lpstr>calcLOB2Clinician4Emp2ModifiedProd</vt:lpstr>
      <vt:lpstr>calcLOB2Clinician4Emp2NetProd</vt:lpstr>
      <vt:lpstr>calcLOB2Clinician4Emp2OverTIme</vt:lpstr>
      <vt:lpstr>calcLOB2Clinician4Emp3AllocatedProd</vt:lpstr>
      <vt:lpstr>calcLOB2Clinician4Emp3AllowPerc</vt:lpstr>
      <vt:lpstr>calcLOB2Clinician4Emp3AvgMissPerc</vt:lpstr>
      <vt:lpstr>calcLOB2Clinician4Emp3BaseMissPerc</vt:lpstr>
      <vt:lpstr>calcLOB2Clinician4Emp3BaseProd</vt:lpstr>
      <vt:lpstr>calcLOB2Clinician4Emp3GrossProd</vt:lpstr>
      <vt:lpstr>calcLOB2Clinician4Emp3MissVisits</vt:lpstr>
      <vt:lpstr>calcLOB2Clinician4Emp3ModifiedProd</vt:lpstr>
      <vt:lpstr>calcLOB2Clinician4Emp3NetProd</vt:lpstr>
      <vt:lpstr>calcLOB2Clinician4Emp3OverTIme</vt:lpstr>
      <vt:lpstr>calcLOB2Clinician4GrossProd</vt:lpstr>
      <vt:lpstr>calcLOB2Clinician4MissVisits</vt:lpstr>
      <vt:lpstr>calcLOB2Clinician4NetVisits</vt:lpstr>
      <vt:lpstr>calcLOB2Clinician4OverTime</vt:lpstr>
      <vt:lpstr>calcLOB2Clinician5AllocatedProd</vt:lpstr>
      <vt:lpstr>calcLOB2Clinician5AvgMissPerc</vt:lpstr>
      <vt:lpstr>calcLOB2Clinician5BaseNetProd</vt:lpstr>
      <vt:lpstr>calcLOB2Clinician5BaseProd</vt:lpstr>
      <vt:lpstr>calcLOB2Clinician5Disc1AvgMissPerc</vt:lpstr>
      <vt:lpstr>calcLOB2Clinician5Disc1BaseMissPerc</vt:lpstr>
      <vt:lpstr>calcLOB2Clinician5Disc1Emp1AllocatedProd</vt:lpstr>
      <vt:lpstr>calcLOB2Clinician5Disc1Emp1AllowPerc</vt:lpstr>
      <vt:lpstr>calcLOB2Clinician5Disc1Emp1BaseProd</vt:lpstr>
      <vt:lpstr>calcLOB2Clinician5Disc1Emp1GrossProd</vt:lpstr>
      <vt:lpstr>calcLOB2Clinician5Disc1Emp1MissVisits</vt:lpstr>
      <vt:lpstr>calcLOB2Clinician5Disc1Emp1ModifiedProd</vt:lpstr>
      <vt:lpstr>calcLOB2Clinician5Disc1Emp1NetProd</vt:lpstr>
      <vt:lpstr>calcLOB2Clinician5Disc1Emp1OverTIme</vt:lpstr>
      <vt:lpstr>calcLOB2Clinician5Disc2AvgMissPerc</vt:lpstr>
      <vt:lpstr>calcLOB2Clinician5Disc2BaseMissPerc</vt:lpstr>
      <vt:lpstr>calcLOB2Clinician5Disc2Emp1AllocatedProd</vt:lpstr>
      <vt:lpstr>calcLOB2Clinician5Disc2Emp1AllowPerc</vt:lpstr>
      <vt:lpstr>calcLOB2Clinician5Disc2Emp1BaseProd</vt:lpstr>
      <vt:lpstr>calcLOB2Clinician5Disc2Emp1GrossProd</vt:lpstr>
      <vt:lpstr>calcLOB2Clinician5Disc2Emp1MissVisits</vt:lpstr>
      <vt:lpstr>calcLOB2Clinician5Disc2Emp1ModifiedProd</vt:lpstr>
      <vt:lpstr>calcLOB2Clinician5Disc2Emp1NetProd</vt:lpstr>
      <vt:lpstr>calcLOB2Clinician5Disc2Emp1OverTIme</vt:lpstr>
      <vt:lpstr>calcLOB2Clinician5Emp2AllocatedProd</vt:lpstr>
      <vt:lpstr>calcLOB2Clinician5Emp2AllowPerc</vt:lpstr>
      <vt:lpstr>calcLOB2Clinician5Emp2AvgMissPerc</vt:lpstr>
      <vt:lpstr>calcLOB2Clinician5Emp2BaseMissPerc</vt:lpstr>
      <vt:lpstr>calcLOB2Clinician5Emp2BaseProd</vt:lpstr>
      <vt:lpstr>calcLOB2Clinician5Emp2GrossProd</vt:lpstr>
      <vt:lpstr>calcLOB2Clinician5Emp2MissVisits</vt:lpstr>
      <vt:lpstr>calcLOB2Clinician5Emp2ModifiedProd</vt:lpstr>
      <vt:lpstr>calcLOB2Clinician5Emp2NetProd</vt:lpstr>
      <vt:lpstr>calcLOB2Clinician5Emp2OverTIme</vt:lpstr>
      <vt:lpstr>calcLOB2Clinician5Emp3AllocatedProd</vt:lpstr>
      <vt:lpstr>calcLOB2Clinician5Emp3AllowPerc</vt:lpstr>
      <vt:lpstr>calcLOB2Clinician5Emp3AvgMissPerc</vt:lpstr>
      <vt:lpstr>calcLOB2Clinician5Emp3BaseMissPerc</vt:lpstr>
      <vt:lpstr>calcLOB2Clinician5Emp3BaseProd</vt:lpstr>
      <vt:lpstr>calcLOB2Clinician5Emp3GrossProd</vt:lpstr>
      <vt:lpstr>calcLOB2Clinician5Emp3MissVisits</vt:lpstr>
      <vt:lpstr>calcLOB2Clinician5Emp3ModifiedProd</vt:lpstr>
      <vt:lpstr>calcLOB2Clinician5Emp3NetProd</vt:lpstr>
      <vt:lpstr>calcLOB2Clinician5Emp3OverTIme</vt:lpstr>
      <vt:lpstr>calcLOB2Clinician5GrossProd</vt:lpstr>
      <vt:lpstr>calcLOB2Clinician5MissVisits</vt:lpstr>
      <vt:lpstr>calcLOB2Clinician5NetVisits</vt:lpstr>
      <vt:lpstr>calcLOB2Clinician5OverTime</vt:lpstr>
      <vt:lpstr>calcLOB2Clinician6AllocatedProd</vt:lpstr>
      <vt:lpstr>calcLOB2Clinician6AvgMissPerc</vt:lpstr>
      <vt:lpstr>calcLOB2Clinician6BaseNetProd</vt:lpstr>
      <vt:lpstr>calcLOB2Clinician6BaseProd</vt:lpstr>
      <vt:lpstr>calcLOB2Clinician6Disc1AvgMissPerc</vt:lpstr>
      <vt:lpstr>calcLOB2Clinician6Disc1BaseMissPerc</vt:lpstr>
      <vt:lpstr>calcLOB2Clinician6Disc1Emp1AllocatedProd</vt:lpstr>
      <vt:lpstr>calcLOB2Clinician6Disc1Emp1AllowPerc</vt:lpstr>
      <vt:lpstr>calcLOB2Clinician6Disc1Emp1BaseProd</vt:lpstr>
      <vt:lpstr>calcLOB2Clinician6Disc1Emp1GrossProd</vt:lpstr>
      <vt:lpstr>calcLOB2Clinician6Disc1Emp1MissVisits</vt:lpstr>
      <vt:lpstr>calcLOB2Clinician6Disc1Emp1ModifiedProd</vt:lpstr>
      <vt:lpstr>calcLOB2Clinician6Disc1Emp1NetProd</vt:lpstr>
      <vt:lpstr>calcLOB2Clinician6Disc1Emp1OverTIme</vt:lpstr>
      <vt:lpstr>calcLOB2Clinician6Disc2AvgMissPerc</vt:lpstr>
      <vt:lpstr>calcLOB2Clinician6Disc2BaseMissPerc</vt:lpstr>
      <vt:lpstr>calcLOB2Clinician6Disc2Emp1AllocatedProd</vt:lpstr>
      <vt:lpstr>calcLOB2Clinician6Disc2Emp1AllowPerc</vt:lpstr>
      <vt:lpstr>calcLOB2Clinician6Disc2Emp1BaseProd</vt:lpstr>
      <vt:lpstr>calcLOB2Clinician6Disc2Emp1GrossProd</vt:lpstr>
      <vt:lpstr>calcLOB2Clinician6Disc2Emp1MissVisits</vt:lpstr>
      <vt:lpstr>calcLOB2Clinician6Disc2Emp1ModifiedProd</vt:lpstr>
      <vt:lpstr>calcLOB2Clinician6Disc2Emp1NetProd</vt:lpstr>
      <vt:lpstr>calcLOB2Clinician6Disc2Emp1OverTIme</vt:lpstr>
      <vt:lpstr>calcLOB2Clinician6Emp2AllocatedProd</vt:lpstr>
      <vt:lpstr>calcLOB2Clinician6Emp2AllowPerc</vt:lpstr>
      <vt:lpstr>calcLOB2Clinician6Emp2AvgMissPerc</vt:lpstr>
      <vt:lpstr>calcLOB2Clinician6Emp2BaseMissPerc</vt:lpstr>
      <vt:lpstr>calcLOB2Clinician6Emp2BaseProd</vt:lpstr>
      <vt:lpstr>calcLOB2Clinician6Emp2GrossProd</vt:lpstr>
      <vt:lpstr>calcLOB2Clinician6Emp2MissVisits</vt:lpstr>
      <vt:lpstr>calcLOB2Clinician6Emp2ModifiedProd</vt:lpstr>
      <vt:lpstr>calcLOB2Clinician6Emp2NetProd</vt:lpstr>
      <vt:lpstr>calcLOB2Clinician6Emp2OverTIme</vt:lpstr>
      <vt:lpstr>calcLOB2Clinician6Emp3AllocatedProd</vt:lpstr>
      <vt:lpstr>calcLOB2Clinician6Emp3AllowPerc</vt:lpstr>
      <vt:lpstr>calcLOB2Clinician6Emp3AvgMissPerc</vt:lpstr>
      <vt:lpstr>calcLOB2Clinician6Emp3BaseMissPerc</vt:lpstr>
      <vt:lpstr>calcLOB2Clinician6Emp3BaseProd</vt:lpstr>
      <vt:lpstr>calcLOB2Clinician6Emp3GrossProd</vt:lpstr>
      <vt:lpstr>calcLOB2Clinician6Emp3MissVisits</vt:lpstr>
      <vt:lpstr>calcLOB2Clinician6Emp3ModifiedProd</vt:lpstr>
      <vt:lpstr>calcLOB2Clinician6Emp3NetProd</vt:lpstr>
      <vt:lpstr>calcLOB2Clinician6Emp3OverTIme</vt:lpstr>
      <vt:lpstr>calcLOB2Clinician6GrossProd</vt:lpstr>
      <vt:lpstr>calcLOB2Clinician6MissVisits</vt:lpstr>
      <vt:lpstr>calcLOB2Clinician6NetVisits</vt:lpstr>
      <vt:lpstr>calcLOB2Clinician6OverTime</vt:lpstr>
      <vt:lpstr>calcLOB2Clinician7AllocatedProd</vt:lpstr>
      <vt:lpstr>calcLOB2Clinician7AvgMissPerc</vt:lpstr>
      <vt:lpstr>calcLOB2Clinician7BaseNetProd</vt:lpstr>
      <vt:lpstr>calcLOB2Clinician7BaseProd</vt:lpstr>
      <vt:lpstr>calcLOB2Clinician7Disc1AvgMissPerc</vt:lpstr>
      <vt:lpstr>calcLOB2Clinician7Disc1BaseMissPerc</vt:lpstr>
      <vt:lpstr>calcLOB2Clinician7Disc1Emp1AllocatedProd</vt:lpstr>
      <vt:lpstr>calcLOB2Clinician7Disc1Emp1AllowPerc</vt:lpstr>
      <vt:lpstr>calcLOB2Clinician7Disc1Emp1BaseProd</vt:lpstr>
      <vt:lpstr>calcLOB2Clinician7Disc1Emp1GrossProd</vt:lpstr>
      <vt:lpstr>calcLOB2Clinician7Disc1Emp1MissVisits</vt:lpstr>
      <vt:lpstr>calcLOB2Clinician7Disc1Emp1ModifiedProd</vt:lpstr>
      <vt:lpstr>calcLOB2Clinician7Disc1Emp1NetProd</vt:lpstr>
      <vt:lpstr>calcLOB2Clinician7Disc1Emp1OverTIme</vt:lpstr>
      <vt:lpstr>calcLOB2Clinician7Disc2AvgMissPerc</vt:lpstr>
      <vt:lpstr>calcLOB2Clinician7Disc2BaseMissPerc</vt:lpstr>
      <vt:lpstr>calcLOB2Clinician7Disc2Emp1AllocatedProd</vt:lpstr>
      <vt:lpstr>calcLOB2Clinician7Disc2Emp1AllowPerc</vt:lpstr>
      <vt:lpstr>calcLOB2Clinician7Disc2Emp1BaseProd</vt:lpstr>
      <vt:lpstr>calcLOB2Clinician7Disc2Emp1GrossProd</vt:lpstr>
      <vt:lpstr>calcLOB2Clinician7Disc2Emp1MissVisits</vt:lpstr>
      <vt:lpstr>calcLOB2Clinician7Disc2Emp1ModifiedProd</vt:lpstr>
      <vt:lpstr>calcLOB2Clinician7Disc2Emp1NetProd</vt:lpstr>
      <vt:lpstr>calcLOB2Clinician7Disc2Emp1OverTIme</vt:lpstr>
      <vt:lpstr>calcLOB2Clinician7Emp2AllocatedProd</vt:lpstr>
      <vt:lpstr>calcLOB2Clinician7Emp2AllowPerc</vt:lpstr>
      <vt:lpstr>calcLOB2Clinician7Emp2AvgMissPerc</vt:lpstr>
      <vt:lpstr>calcLOB2Clinician7Emp2BaseMissPerc</vt:lpstr>
      <vt:lpstr>calcLOB2Clinician7Emp2BaseProd</vt:lpstr>
      <vt:lpstr>calcLOB2Clinician7Emp2GrossProd</vt:lpstr>
      <vt:lpstr>calcLOB2Clinician7Emp2MissVisits</vt:lpstr>
      <vt:lpstr>calcLOB2Clinician7Emp2ModifiedProd</vt:lpstr>
      <vt:lpstr>calcLOB2Clinician7Emp2NetProd</vt:lpstr>
      <vt:lpstr>calcLOB2Clinician7Emp2OverTIme</vt:lpstr>
      <vt:lpstr>calcLOB2Clinician7Emp3AllocatedProd</vt:lpstr>
      <vt:lpstr>calcLOB2Clinician7Emp3AllowPerc</vt:lpstr>
      <vt:lpstr>calcLOB2Clinician7Emp3AvgMissPerc</vt:lpstr>
      <vt:lpstr>calcLOB2Clinician7Emp3BaseMissPerc</vt:lpstr>
      <vt:lpstr>calcLOB2Clinician7Emp3BaseProd</vt:lpstr>
      <vt:lpstr>calcLOB2Clinician7Emp3GrossProd</vt:lpstr>
      <vt:lpstr>calcLOB2Clinician7Emp3MissVisits</vt:lpstr>
      <vt:lpstr>calcLOB2Clinician7Emp3ModifiedProd</vt:lpstr>
      <vt:lpstr>calcLOB2Clinician7Emp3NetProd</vt:lpstr>
      <vt:lpstr>calcLOB2Clinician7Emp3OverTIme</vt:lpstr>
      <vt:lpstr>calcLOB2Clinician7GrossProd</vt:lpstr>
      <vt:lpstr>calcLOB2Clinician7MissVisits</vt:lpstr>
      <vt:lpstr>calcLOB2Clinician7NetVisits</vt:lpstr>
      <vt:lpstr>calcLOB2Clinician7OverTime</vt:lpstr>
      <vt:lpstr>calcLOB2Clinician8AllocatedProd</vt:lpstr>
      <vt:lpstr>calcLOB2Clinician8AvgMissPerc</vt:lpstr>
      <vt:lpstr>calcLOB2Clinician8BaseNetProd</vt:lpstr>
      <vt:lpstr>calcLOB2Clinician8BaseProd</vt:lpstr>
      <vt:lpstr>calcLOB2Clinician8Disc1AvgMissPerc</vt:lpstr>
      <vt:lpstr>calcLOB2Clinician8Disc1BaseMissPerc</vt:lpstr>
      <vt:lpstr>calcLOB2Clinician8Disc1Emp1AllocatedProd</vt:lpstr>
      <vt:lpstr>calcLOB2Clinician8Disc1Emp1AllowPerc</vt:lpstr>
      <vt:lpstr>calcLOB2Clinician8Disc1Emp1BaseProd</vt:lpstr>
      <vt:lpstr>calcLOB2Clinician8Disc1Emp1GrossProd</vt:lpstr>
      <vt:lpstr>calcLOB2Clinician8Disc1Emp1MissVisits</vt:lpstr>
      <vt:lpstr>calcLOB2Clinician8Disc1Emp1ModifiedProd</vt:lpstr>
      <vt:lpstr>calcLOB2Clinician8Disc1Emp1NetProd</vt:lpstr>
      <vt:lpstr>calcLOB2Clinician8Disc1Emp1OverTIme</vt:lpstr>
      <vt:lpstr>calcLOB2Clinician8Disc2AvgMissPerc</vt:lpstr>
      <vt:lpstr>calcLOB2Clinician8Disc2BaseMissPerc</vt:lpstr>
      <vt:lpstr>calcLOB2Clinician8Disc2Emp1AllocatedProd</vt:lpstr>
      <vt:lpstr>calcLOB2Clinician8Disc2Emp1AllowPerc</vt:lpstr>
      <vt:lpstr>calcLOB2Clinician8Disc2Emp1BaseProd</vt:lpstr>
      <vt:lpstr>calcLOB2Clinician8Disc2Emp1GrossProd</vt:lpstr>
      <vt:lpstr>calcLOB2Clinician8Disc2Emp1MissVisits</vt:lpstr>
      <vt:lpstr>calcLOB2Clinician8Disc2Emp1ModifiedProd</vt:lpstr>
      <vt:lpstr>calcLOB2Clinician8Disc2Emp1NetProd</vt:lpstr>
      <vt:lpstr>calcLOB2Clinician8Disc2Emp1OverTIme</vt:lpstr>
      <vt:lpstr>calcLOB2Clinician8Emp2AllocatedProd</vt:lpstr>
      <vt:lpstr>calcLOB2Clinician8Emp2AllowPerc</vt:lpstr>
      <vt:lpstr>calcLOB2Clinician8Emp2AvgMissPerc</vt:lpstr>
      <vt:lpstr>calcLOB2Clinician8Emp2BaseMissPerc</vt:lpstr>
      <vt:lpstr>calcLOB2Clinician8Emp2BaseProd</vt:lpstr>
      <vt:lpstr>calcLOB2Clinician8Emp2GrossProd</vt:lpstr>
      <vt:lpstr>calcLOB2Clinician8Emp2MissVisits</vt:lpstr>
      <vt:lpstr>calcLOB2Clinician8Emp2ModifiedProd</vt:lpstr>
      <vt:lpstr>calcLOB2Clinician8Emp2NetProd</vt:lpstr>
      <vt:lpstr>calcLOB2Clinician8Emp2OverTIme</vt:lpstr>
      <vt:lpstr>calcLOB2Clinician8Emp3AllocatedProd</vt:lpstr>
      <vt:lpstr>calcLOB2Clinician8Emp3AllowPerc</vt:lpstr>
      <vt:lpstr>calcLOB2Clinician8Emp3AvgMissPerc</vt:lpstr>
      <vt:lpstr>calcLOB2Clinician8Emp3BaseMissPerc</vt:lpstr>
      <vt:lpstr>calcLOB2Clinician8Emp3BaseProd</vt:lpstr>
      <vt:lpstr>calcLOB2Clinician8Emp3GrossProd</vt:lpstr>
      <vt:lpstr>calcLOB2Clinician8Emp3MissVisits</vt:lpstr>
      <vt:lpstr>calcLOB2Clinician8Emp3ModifiedProd</vt:lpstr>
      <vt:lpstr>calcLOB2Clinician8Emp3NetProd</vt:lpstr>
      <vt:lpstr>calcLOB2Clinician8Emp3OverTIme</vt:lpstr>
      <vt:lpstr>calcLOB2Clinician8GrossProd</vt:lpstr>
      <vt:lpstr>calcLOB2Clinician8MissVisits</vt:lpstr>
      <vt:lpstr>calcLOB2Clinician8NetVisits</vt:lpstr>
      <vt:lpstr>calcLOB2Clinician8OverTime</vt:lpstr>
      <vt:lpstr>calcLOB2Clinician9AllocatedProd</vt:lpstr>
      <vt:lpstr>calcLOB2Clinician9AvgMissPerc</vt:lpstr>
      <vt:lpstr>calcLOB2Clinician9BaseNetProd</vt:lpstr>
      <vt:lpstr>calcLOB2Clinician9BaseProd</vt:lpstr>
      <vt:lpstr>calcLOB2Clinician9Disc1AvgMissPerc</vt:lpstr>
      <vt:lpstr>calcLOB2Clinician9Disc1BaseMissPerc</vt:lpstr>
      <vt:lpstr>calcLOB2Clinician9Disc1Emp1AllocatedProd</vt:lpstr>
      <vt:lpstr>calcLOB2Clinician9Disc1Emp1AllowPerc</vt:lpstr>
      <vt:lpstr>calcLOB2Clinician9Disc1Emp1BaseProd</vt:lpstr>
      <vt:lpstr>calcLOB2Clinician9Disc1Emp1GrossProd</vt:lpstr>
      <vt:lpstr>calcLOB2Clinician9Disc1Emp1MissVisits</vt:lpstr>
      <vt:lpstr>calcLOB2Clinician9Disc1Emp1ModifiedProd</vt:lpstr>
      <vt:lpstr>calcLOB2Clinician9Disc1Emp1NetProd</vt:lpstr>
      <vt:lpstr>calcLOB2Clinician9Disc1Emp1OverTIme</vt:lpstr>
      <vt:lpstr>calcLOB2Clinician9Disc2AvgMissPerc</vt:lpstr>
      <vt:lpstr>calcLOB2Clinician9Disc2BaseMissPerc</vt:lpstr>
      <vt:lpstr>calcLOB2Clinician9Disc2Emp1AllocatedProd</vt:lpstr>
      <vt:lpstr>calcLOB2Clinician9Disc2Emp1AllowPerc</vt:lpstr>
      <vt:lpstr>calcLOB2Clinician9Disc2Emp1BaseProd</vt:lpstr>
      <vt:lpstr>calcLOB2Clinician9Disc2Emp1GrossProd</vt:lpstr>
      <vt:lpstr>calcLOB2Clinician9Disc2Emp1MissVisits</vt:lpstr>
      <vt:lpstr>calcLOB2Clinician9Disc2Emp1ModifiedProd</vt:lpstr>
      <vt:lpstr>calcLOB2Clinician9Disc2Emp1NetProd</vt:lpstr>
      <vt:lpstr>calcLOB2Clinician9Disc2Emp1OverTIme</vt:lpstr>
      <vt:lpstr>calcLOB2Clinician9Emp2AllocatedProd</vt:lpstr>
      <vt:lpstr>calcLOB2Clinician9Emp2AllowPerc</vt:lpstr>
      <vt:lpstr>calcLOB2Clinician9Emp2AvgMissPerc</vt:lpstr>
      <vt:lpstr>calcLOB2Clinician9Emp2BaseMissPerc</vt:lpstr>
      <vt:lpstr>calcLOB2Clinician9Emp2BaseProd</vt:lpstr>
      <vt:lpstr>calcLOB2Clinician9Emp2GrossProd</vt:lpstr>
      <vt:lpstr>calcLOB2Clinician9Emp2MissVisits</vt:lpstr>
      <vt:lpstr>calcLOB2Clinician9Emp2ModifiedProd</vt:lpstr>
      <vt:lpstr>calcLOB2Clinician9Emp2NetProd</vt:lpstr>
      <vt:lpstr>calcLOB2Clinician9Emp2OverTIme</vt:lpstr>
      <vt:lpstr>calcLOB2Clinician9Emp3AllocatedProd</vt:lpstr>
      <vt:lpstr>calcLOB2Clinician9Emp3AllowPerc</vt:lpstr>
      <vt:lpstr>calcLOB2Clinician9Emp3AvgMissPerc</vt:lpstr>
      <vt:lpstr>calcLOB2Clinician9Emp3BaseMissPerc</vt:lpstr>
      <vt:lpstr>calcLOB2Clinician9Emp3BaseProd</vt:lpstr>
      <vt:lpstr>calcLOB2Clinician9Emp3GrossProd</vt:lpstr>
      <vt:lpstr>calcLOB2Clinician9Emp3MissVisits</vt:lpstr>
      <vt:lpstr>calcLOB2Clinician9Emp3ModifiedProd</vt:lpstr>
      <vt:lpstr>calcLOB2Clinician9Emp3NetProd</vt:lpstr>
      <vt:lpstr>calcLOB2Clinician9Emp3OverTIme</vt:lpstr>
      <vt:lpstr>calcLOB2Clinician9GrossProd</vt:lpstr>
      <vt:lpstr>calcLOB2Clinician9MissVisits</vt:lpstr>
      <vt:lpstr>calcLOB2Clinician9NetVisits</vt:lpstr>
      <vt:lpstr>calcLOB2Clinician9OverTime</vt:lpstr>
      <vt:lpstr>calcLOB2ClinicianAllocatedVisits</vt:lpstr>
      <vt:lpstr>calcLOB2ClinicianAvgMissPerc</vt:lpstr>
      <vt:lpstr>calcLOB2ClinicianGrossProd</vt:lpstr>
      <vt:lpstr>calcLOB2ClinicianMissVisits</vt:lpstr>
      <vt:lpstr>calcLOB2ClinicianMissVisitsPerc</vt:lpstr>
      <vt:lpstr>calcLOB2ClinicianNetVisits</vt:lpstr>
      <vt:lpstr>calcLOB2ClinicianOverTime</vt:lpstr>
      <vt:lpstr>calcLOB2ClinicianOverTimePerc</vt:lpstr>
      <vt:lpstr>calcLOB2ClinicianTotalMissPerc</vt:lpstr>
      <vt:lpstr>calcLOB2CSAT</vt:lpstr>
      <vt:lpstr>calcLOB2Disc1EmpCount</vt:lpstr>
      <vt:lpstr>calcLOB2Disc1Retention</vt:lpstr>
      <vt:lpstr>calcLOB2Disc1TotalVisits</vt:lpstr>
      <vt:lpstr>calcLOB2Disc1TotalVisitsPerc</vt:lpstr>
      <vt:lpstr>calcLOB2Disc2BelowLicsenceVisits</vt:lpstr>
      <vt:lpstr>calcLOB2Disc2EmpCount</vt:lpstr>
      <vt:lpstr>calcLOB2Disc2Retention</vt:lpstr>
      <vt:lpstr>calcLOB2Disc2TotalVisits</vt:lpstr>
      <vt:lpstr>calcLOB2Disc2TotalVisitsPerc</vt:lpstr>
      <vt:lpstr>calcLOB2Disc3EmpCount</vt:lpstr>
      <vt:lpstr>calcLOB2Disc3Retention</vt:lpstr>
      <vt:lpstr>calcLOB2Disc4EmpCount</vt:lpstr>
      <vt:lpstr>calcLOB2Disc4Retention</vt:lpstr>
      <vt:lpstr>calcLOB2DOOActionTime1</vt:lpstr>
      <vt:lpstr>calcLOB2DOOActionTime2</vt:lpstr>
      <vt:lpstr>calcLOB2DOOActionTime3</vt:lpstr>
      <vt:lpstr>calcLOB2DOOActionTime4</vt:lpstr>
      <vt:lpstr>calcLOB2DOOActionTime5</vt:lpstr>
      <vt:lpstr>calcLOB2DOOActionTime6</vt:lpstr>
      <vt:lpstr>calcLOB2DOOBaseTime1</vt:lpstr>
      <vt:lpstr>calcLOB2DOOBaseTime2</vt:lpstr>
      <vt:lpstr>calcLOB2DOOBaseTime3</vt:lpstr>
      <vt:lpstr>calcLOB2DOOBaseTime4</vt:lpstr>
      <vt:lpstr>calcLOB2DOOBaseTime5</vt:lpstr>
      <vt:lpstr>calcLOB2DOOBaseTime6</vt:lpstr>
      <vt:lpstr>calcLOB2DOOPlanTime1</vt:lpstr>
      <vt:lpstr>calcLOB2DOOPlanTime2</vt:lpstr>
      <vt:lpstr>calcLOB2DOOPlanTime3</vt:lpstr>
      <vt:lpstr>calcLOB2DOOPlanTime4</vt:lpstr>
      <vt:lpstr>calcLOB2DOOPlanTime5</vt:lpstr>
      <vt:lpstr>calcLOB2DOOPlanTime6</vt:lpstr>
      <vt:lpstr>calcLOB2DOOStaffModImpact</vt:lpstr>
      <vt:lpstr>calcLOB2DOOTotalActionTime</vt:lpstr>
      <vt:lpstr>calcLOB2DOOTotalBaseTime</vt:lpstr>
      <vt:lpstr>calcLOB2DOOTotalPlanTime</vt:lpstr>
      <vt:lpstr>calcLOB2Emp1ActualVisits</vt:lpstr>
      <vt:lpstr>calcLOB2Emp1AllocatedProd</vt:lpstr>
      <vt:lpstr>calcLOB2Emp1BaseProdCapacity</vt:lpstr>
      <vt:lpstr>calcLOB2Emp1Capacity</vt:lpstr>
      <vt:lpstr>calcLOB2Emp1Count</vt:lpstr>
      <vt:lpstr>calcLOB2Emp1GrossProdCapacity</vt:lpstr>
      <vt:lpstr>calcLOB2Emp1NetProduction</vt:lpstr>
      <vt:lpstr>calcLOB2Emp1PercNonSalaried</vt:lpstr>
      <vt:lpstr>calcLOB2Emp1Visits</vt:lpstr>
      <vt:lpstr>calcLOB2Emp1Work</vt:lpstr>
      <vt:lpstr>calcLOB2Emp2ActualVisits</vt:lpstr>
      <vt:lpstr>calcLOB2Emp2AllocatedProd</vt:lpstr>
      <vt:lpstr>calcLOB2Emp2BaseProdCapacity</vt:lpstr>
      <vt:lpstr>calcLOB2Emp2Capacity</vt:lpstr>
      <vt:lpstr>calcLOB2Emp2GrossProdCapacity</vt:lpstr>
      <vt:lpstr>calcLOB2Emp2NetProduction</vt:lpstr>
      <vt:lpstr>calcLOB2Emp2Visits</vt:lpstr>
      <vt:lpstr>calcLOB2Emp2Work</vt:lpstr>
      <vt:lpstr>calcLOB2Emp3ActualVisits</vt:lpstr>
      <vt:lpstr>calcLOB2Emp3AllocatedProd</vt:lpstr>
      <vt:lpstr>calcLOB2Emp3BaseProdCapacity</vt:lpstr>
      <vt:lpstr>calcLOB2Emp3Capacity</vt:lpstr>
      <vt:lpstr>calcLOB2Emp3GrossProdCapacity</vt:lpstr>
      <vt:lpstr>calcLOB2Emp3NetProduction</vt:lpstr>
      <vt:lpstr>calcLOB2Emp3Visits</vt:lpstr>
      <vt:lpstr>calcLOB2Emp3Work</vt:lpstr>
      <vt:lpstr>calcLOB2ESAT</vt:lpstr>
      <vt:lpstr>calcLOB2MeetingCount</vt:lpstr>
      <vt:lpstr>calcLOB2Patients</vt:lpstr>
      <vt:lpstr>calcLOB2Prod1Seg1Budget</vt:lpstr>
      <vt:lpstr>calcLOB2Prod1Seg1BudgetMM</vt:lpstr>
      <vt:lpstr>calcLOB2Prod1Seg1Emp1ActualVisits</vt:lpstr>
      <vt:lpstr>calcLOB2Prod1Seg1Emp1Visits</vt:lpstr>
      <vt:lpstr>calcLOB2Prod1Seg1Emp2ActualVisits</vt:lpstr>
      <vt:lpstr>calcLOB2Prod1Seg1Emp2Visits</vt:lpstr>
      <vt:lpstr>calcLOB2Prod1Seg1Emp3ActualVisits</vt:lpstr>
      <vt:lpstr>calcLOB2Prod1Seg1Emp3Visits</vt:lpstr>
      <vt:lpstr>calcLOB2Prod1Seg1Patients</vt:lpstr>
      <vt:lpstr>calcLOB2Prod1Seg1RunRate</vt:lpstr>
      <vt:lpstr>calcLOB2Prod1Seg1RunRateM1</vt:lpstr>
      <vt:lpstr>calcLOB2Prod1Seg1RunRateM2</vt:lpstr>
      <vt:lpstr>calcLOB2Prod1Seg1RunRateM3</vt:lpstr>
      <vt:lpstr>calcLOB2Prod1Seg1RunRateMM</vt:lpstr>
      <vt:lpstr>calcLOB2Prod1Seg2Budget</vt:lpstr>
      <vt:lpstr>calcLOB2Prod1Seg2BudgetMM</vt:lpstr>
      <vt:lpstr>calcLOB2Prod1Seg2Emp1ActualVisits</vt:lpstr>
      <vt:lpstr>calcLOB2Prod1Seg2Emp1Visits</vt:lpstr>
      <vt:lpstr>calcLOB2Prod1Seg2Emp2ActualVisits</vt:lpstr>
      <vt:lpstr>calcLOB2Prod1Seg2Emp2Visits</vt:lpstr>
      <vt:lpstr>calcLOB2Prod1Seg2Emp3ActualVisits</vt:lpstr>
      <vt:lpstr>calcLOB2Prod1Seg2Emp3Visits</vt:lpstr>
      <vt:lpstr>calcLOB2Prod1Seg2Patients</vt:lpstr>
      <vt:lpstr>calcLOB2Prod1Seg2RunRate</vt:lpstr>
      <vt:lpstr>calcLOB2Prod1Seg2RunRateM1</vt:lpstr>
      <vt:lpstr>calcLOB2Prod1Seg2RunRateM2</vt:lpstr>
      <vt:lpstr>calcLOB2Prod1Seg2RunRateM3</vt:lpstr>
      <vt:lpstr>calcLOB2Prod1Seg2RunRateMM</vt:lpstr>
      <vt:lpstr>calcLOB2Prod1Seg3Budget</vt:lpstr>
      <vt:lpstr>calcLOB2Prod1Seg3BudgetMM</vt:lpstr>
      <vt:lpstr>calcLOB2Prod1Seg3Emp1ActualVisits</vt:lpstr>
      <vt:lpstr>calcLOB2Prod1Seg3Emp1Visits</vt:lpstr>
      <vt:lpstr>calcLOB2Prod1Seg3Emp2ActualVisits</vt:lpstr>
      <vt:lpstr>calcLOB2Prod1Seg3Emp2Visits</vt:lpstr>
      <vt:lpstr>calcLOB2Prod1Seg3Emp3ActualVisits</vt:lpstr>
      <vt:lpstr>calcLOB2Prod1Seg3Emp3Visits</vt:lpstr>
      <vt:lpstr>calcLOB2Prod1Seg3Patients</vt:lpstr>
      <vt:lpstr>calcLOB2Prod1Seg3RunRate</vt:lpstr>
      <vt:lpstr>calcLOB2Prod1Seg3RunRateM1</vt:lpstr>
      <vt:lpstr>calcLOB2Prod1Seg3RunRateM2</vt:lpstr>
      <vt:lpstr>calcLOB2Prod1Seg3RunRateM3</vt:lpstr>
      <vt:lpstr>calcLOB2Prod1Seg3RunRateMM</vt:lpstr>
      <vt:lpstr>calcLOB2Prod2Seg1Budget</vt:lpstr>
      <vt:lpstr>calcLOB2Prod2Seg1BudgetMM</vt:lpstr>
      <vt:lpstr>calcLOB2Prod2Seg1Emp1ActualVisits</vt:lpstr>
      <vt:lpstr>calcLOB2Prod2Seg1Emp1Visits</vt:lpstr>
      <vt:lpstr>calcLOB2Prod2Seg1Emp2ActualVisits</vt:lpstr>
      <vt:lpstr>calcLOB2Prod2Seg1Emp2Visits</vt:lpstr>
      <vt:lpstr>calcLOB2Prod2Seg1Emp3ActualVisits</vt:lpstr>
      <vt:lpstr>calcLOB2Prod2Seg1Emp3Visits</vt:lpstr>
      <vt:lpstr>calcLOB2Prod2Seg1Patients</vt:lpstr>
      <vt:lpstr>calcLOB2Prod2Seg1RunRate</vt:lpstr>
      <vt:lpstr>calcLOB2Prod2Seg1RunRateM1</vt:lpstr>
      <vt:lpstr>calcLOB2Prod2Seg1RunRateM2</vt:lpstr>
      <vt:lpstr>calcLOB2Prod2Seg1RunRateM3</vt:lpstr>
      <vt:lpstr>calcLOB2Prod2Seg1RunRateMM</vt:lpstr>
      <vt:lpstr>calcLOB2Prod2Seg2Budget</vt:lpstr>
      <vt:lpstr>calcLOB2Prod2Seg2BudgetMM</vt:lpstr>
      <vt:lpstr>calcLOB2Prod2Seg2Emp1ActualVisits</vt:lpstr>
      <vt:lpstr>calcLOB2Prod2Seg2Emp1Visits</vt:lpstr>
      <vt:lpstr>calcLOB2Prod2Seg2Emp2ActualVisits</vt:lpstr>
      <vt:lpstr>calcLOB2Prod2Seg2Emp2Visits</vt:lpstr>
      <vt:lpstr>calcLOB2Prod2Seg2Emp3ActualVisits</vt:lpstr>
      <vt:lpstr>calcLOB2Prod2Seg2Emp3Visits</vt:lpstr>
      <vt:lpstr>calcLOB2Prod2Seg2Patients</vt:lpstr>
      <vt:lpstr>calcLOB2Prod2Seg2RunRate</vt:lpstr>
      <vt:lpstr>calcLOB2Prod2Seg2RunRateM1</vt:lpstr>
      <vt:lpstr>calcLOB2Prod2Seg2RunRateM2</vt:lpstr>
      <vt:lpstr>calcLOB2Prod2Seg2RunRateM3</vt:lpstr>
      <vt:lpstr>calcLOB2Prod2Seg2RunRateMM</vt:lpstr>
      <vt:lpstr>calcLOB2Prod2Seg3Budget</vt:lpstr>
      <vt:lpstr>calcLOB2Prod2Seg3BudgetMM</vt:lpstr>
      <vt:lpstr>calcLOB2Prod2Seg3Emp1ActualVisits</vt:lpstr>
      <vt:lpstr>calcLOB2Prod2Seg3Emp1Visits</vt:lpstr>
      <vt:lpstr>calcLOB2Prod2Seg3Emp2ActualVisits</vt:lpstr>
      <vt:lpstr>calcLOB2Prod2Seg3Emp2Visits</vt:lpstr>
      <vt:lpstr>calcLOB2Prod2Seg3Emp3ActualVisits</vt:lpstr>
      <vt:lpstr>calcLOB2Prod2Seg3Emp3Visits</vt:lpstr>
      <vt:lpstr>calcLOB2Prod2Seg3Patients</vt:lpstr>
      <vt:lpstr>calcLOB2Prod2Seg3RunRate</vt:lpstr>
      <vt:lpstr>calcLOB2Prod2Seg3RunRateM1</vt:lpstr>
      <vt:lpstr>calcLOB2Prod2Seg3RunRateM2</vt:lpstr>
      <vt:lpstr>calcLOB2Prod2Seg3RunRateM3</vt:lpstr>
      <vt:lpstr>calcLOB2Prod2Seg3RunRateMM</vt:lpstr>
      <vt:lpstr>calcLOB2RunRate</vt:lpstr>
      <vt:lpstr>calcLOB2RunRateM1</vt:lpstr>
      <vt:lpstr>calcLOB2RunRateM2</vt:lpstr>
      <vt:lpstr>calcLOB2RunRateM3</vt:lpstr>
      <vt:lpstr>calcLOB2RunRateMM</vt:lpstr>
      <vt:lpstr>calcLOB2Stars</vt:lpstr>
      <vt:lpstr>calcR2LOB1AvgUtilization</vt:lpstr>
      <vt:lpstr>calcR2LOB1BDEngage</vt:lpstr>
      <vt:lpstr>calcR2LOB1Budget</vt:lpstr>
      <vt:lpstr>calcR2LOB1BudgetMM</vt:lpstr>
      <vt:lpstr>calcR2LOB1Clinician10AllocatedProd</vt:lpstr>
      <vt:lpstr>calcR2LOB1Clinician10AvgMissPerc</vt:lpstr>
      <vt:lpstr>calcR2LOB1Clinician10BaseProd</vt:lpstr>
      <vt:lpstr>calcR2LOB1Clinician10Disc1AvgMissPerc</vt:lpstr>
      <vt:lpstr>calcR2LOB1Clinician10Disc1BaseMissPerc</vt:lpstr>
      <vt:lpstr>calcR2LOB1Clinician10Disc1Emp1AllocatedProd</vt:lpstr>
      <vt:lpstr>calcR2LOB1Clinician10Disc1Emp1AllowPerc</vt:lpstr>
      <vt:lpstr>calcR2LOB1Clinician10Disc1Emp1BaseProd</vt:lpstr>
      <vt:lpstr>calcR2LOB1Clinician10Disc1Emp1GrossProd</vt:lpstr>
      <vt:lpstr>calcR2LOB1Clinician10Disc1Emp1MissVisits</vt:lpstr>
      <vt:lpstr>calcR2LOB1Clinician10Disc1Emp1ModifiedProd</vt:lpstr>
      <vt:lpstr>calcR2LOB1Clinician10Disc1Emp1NetProd</vt:lpstr>
      <vt:lpstr>calcR2LOB1Clinician10Disc1Emp1OverTIme</vt:lpstr>
      <vt:lpstr>calcR2LOB1Clinician10Disc2AvgMissPerc</vt:lpstr>
      <vt:lpstr>calcR2LOB1Clinician10Disc2BaseMissPerc</vt:lpstr>
      <vt:lpstr>calcR2LOB1Clinician10Disc2Emp1AllocatedProd</vt:lpstr>
      <vt:lpstr>calcR2LOB1Clinician10Disc2Emp1AllowPerc</vt:lpstr>
      <vt:lpstr>calcR2LOB1Clinician10Disc2Emp1BaseProd</vt:lpstr>
      <vt:lpstr>calcR2LOB1Clinician10Disc2Emp1GrossProd</vt:lpstr>
      <vt:lpstr>calcR2LOB1Clinician10Disc2Emp1MissVisits</vt:lpstr>
      <vt:lpstr>calcR2LOB1Clinician10Disc2Emp1ModifiedProd</vt:lpstr>
      <vt:lpstr>calcR2LOB1Clinician10Disc2Emp1NetProd</vt:lpstr>
      <vt:lpstr>calcR2LOB1Clinician10Disc2Emp1OverTIme</vt:lpstr>
      <vt:lpstr>calcR2LOB1Clinician10Emp2AllocatedProd</vt:lpstr>
      <vt:lpstr>calcR2LOB1Clinician10Emp2AllowPerc</vt:lpstr>
      <vt:lpstr>calcR2LOB1Clinician10Emp2AvgMissPerc</vt:lpstr>
      <vt:lpstr>calcR2LOB1Clinician10Emp2BaseMissPerc</vt:lpstr>
      <vt:lpstr>calcR2LOB1Clinician10Emp2BaseProd</vt:lpstr>
      <vt:lpstr>calcR2LOB1Clinician10Emp2GrossProd</vt:lpstr>
      <vt:lpstr>calcR2LOB1Clinician10Emp2MissVisits</vt:lpstr>
      <vt:lpstr>calcR2LOB1Clinician10Emp2ModifiedProd</vt:lpstr>
      <vt:lpstr>calcR2LOB1Clinician10Emp2NetProd</vt:lpstr>
      <vt:lpstr>calcR2LOB1Clinician10Emp2OverTIme</vt:lpstr>
      <vt:lpstr>calcR2LOB1Clinician10Emp3AllocatedProd</vt:lpstr>
      <vt:lpstr>calcR2LOB1Clinician10Emp3AllowPerc</vt:lpstr>
      <vt:lpstr>calcR2LOB1Clinician10Emp3AvgMissPerc</vt:lpstr>
      <vt:lpstr>calcR2LOB1Clinician10Emp3BaseMissPerc</vt:lpstr>
      <vt:lpstr>calcR2LOB1Clinician10Emp3BaseProd</vt:lpstr>
      <vt:lpstr>calcR2LOB1Clinician10Emp3GrossProd</vt:lpstr>
      <vt:lpstr>calcR2LOB1Clinician10Emp3MissVisits</vt:lpstr>
      <vt:lpstr>calcR2LOB1Clinician10Emp3ModifiedProd</vt:lpstr>
      <vt:lpstr>calcR2LOB1Clinician10Emp3NetProd</vt:lpstr>
      <vt:lpstr>calcR2LOB1Clinician10Emp3OverTIme</vt:lpstr>
      <vt:lpstr>calcR2LOB1Clinician10GrossProd</vt:lpstr>
      <vt:lpstr>calcR2LOB1Clinician10MissVisits</vt:lpstr>
      <vt:lpstr>calcR2LOB1Clinician10NetVisits</vt:lpstr>
      <vt:lpstr>calcR2LOB1Clinician10OverTime</vt:lpstr>
      <vt:lpstr>calcR2LOB1Clinician11AllocatedProd</vt:lpstr>
      <vt:lpstr>calcR2LOB1Clinician11AvgMissPerc</vt:lpstr>
      <vt:lpstr>calcR2LOB1Clinician11BaseProd</vt:lpstr>
      <vt:lpstr>calcR2LOB1Clinician11Disc1AvgMissPerc</vt:lpstr>
      <vt:lpstr>calcR2LOB1Clinician11Disc1BaseMissPerc</vt:lpstr>
      <vt:lpstr>calcR2LOB1Clinician11Disc1Emp1AllocatedProd</vt:lpstr>
      <vt:lpstr>calcR2LOB1Clinician11Disc1Emp1AllowPerc</vt:lpstr>
      <vt:lpstr>calcR2LOB1Clinician11Disc1Emp1BaseProd</vt:lpstr>
      <vt:lpstr>calcR2LOB1Clinician11Disc1Emp1GrossProd</vt:lpstr>
      <vt:lpstr>calcR2LOB1Clinician11Disc1Emp1MissVisits</vt:lpstr>
      <vt:lpstr>calcR2LOB1Clinician11Disc1Emp1ModifiedProd</vt:lpstr>
      <vt:lpstr>calcR2LOB1Clinician11Disc1Emp1NetProd</vt:lpstr>
      <vt:lpstr>calcR2LOB1Clinician11Disc1Emp1OverTIme</vt:lpstr>
      <vt:lpstr>calcR2LOB1Clinician11Disc2AvgMissPerc</vt:lpstr>
      <vt:lpstr>calcR2LOB1Clinician11Disc2BaseMissPerc</vt:lpstr>
      <vt:lpstr>calcR2LOB1Clinician11Disc2Emp1AllocatedProd</vt:lpstr>
      <vt:lpstr>calcR2LOB1Clinician11Disc2Emp1AllowPerc</vt:lpstr>
      <vt:lpstr>calcR2LOB1Clinician11Disc2Emp1BaseProd</vt:lpstr>
      <vt:lpstr>calcR2LOB1Clinician11Disc2Emp1GrossProd</vt:lpstr>
      <vt:lpstr>calcR2LOB1Clinician11Disc2Emp1MissVisits</vt:lpstr>
      <vt:lpstr>calcR2LOB1Clinician11Disc2Emp1ModifiedProd</vt:lpstr>
      <vt:lpstr>calcR2LOB1Clinician11Disc2Emp1NetProd</vt:lpstr>
      <vt:lpstr>calcR2LOB1Clinician11Disc2Emp1OverTIme</vt:lpstr>
      <vt:lpstr>calcR2LOB1Clinician11Emp2AllocatedProd</vt:lpstr>
      <vt:lpstr>calcR2LOB1Clinician11Emp2AllowPerc</vt:lpstr>
      <vt:lpstr>calcR2LOB1Clinician11Emp2AvgMissPerc</vt:lpstr>
      <vt:lpstr>calcR2LOB1Clinician11Emp2BaseMissPerc</vt:lpstr>
      <vt:lpstr>calcR2LOB1Clinician11Emp2BaseProd</vt:lpstr>
      <vt:lpstr>calcR2LOB1Clinician11Emp2GrossProd</vt:lpstr>
      <vt:lpstr>calcR2LOB1Clinician11Emp2MissVisits</vt:lpstr>
      <vt:lpstr>calcR2LOB1Clinician11Emp2ModifiedProd</vt:lpstr>
      <vt:lpstr>calcR2LOB1Clinician11Emp2NetProd</vt:lpstr>
      <vt:lpstr>calcR2LOB1Clinician11Emp2OverTIme</vt:lpstr>
      <vt:lpstr>calcR2LOB1Clinician11Emp3AllocatedProd</vt:lpstr>
      <vt:lpstr>calcR2LOB1Clinician11Emp3AllowPerc</vt:lpstr>
      <vt:lpstr>calcR2LOB1Clinician11Emp3AvgMissPerc</vt:lpstr>
      <vt:lpstr>calcR2LOB1Clinician11Emp3BaseMissPerc</vt:lpstr>
      <vt:lpstr>calcR2LOB1Clinician11Emp3BaseProd</vt:lpstr>
      <vt:lpstr>calcR2LOB1Clinician11Emp3GrossProd</vt:lpstr>
      <vt:lpstr>calcR2LOB1Clinician11Emp3MissVisits</vt:lpstr>
      <vt:lpstr>calcR2LOB1Clinician11Emp3ModifiedProd</vt:lpstr>
      <vt:lpstr>calcR2LOB1Clinician11Emp3NetProd</vt:lpstr>
      <vt:lpstr>calcR2LOB1Clinician11Emp3OverTIme</vt:lpstr>
      <vt:lpstr>calcR2LOB1Clinician11GrossProd</vt:lpstr>
      <vt:lpstr>calcR2LOB1Clinician11LookupValue</vt:lpstr>
      <vt:lpstr>calcR2LOB1Clinician11MissVisits</vt:lpstr>
      <vt:lpstr>calcR2LOB1Clinician11NetVisits</vt:lpstr>
      <vt:lpstr>calcR2LOB1Clinician11OverTime</vt:lpstr>
      <vt:lpstr>calcR2LOB1Clinician12AllocatedProd</vt:lpstr>
      <vt:lpstr>calcR2LOB1Clinician12AvgMissPerc</vt:lpstr>
      <vt:lpstr>calcR2LOB1Clinician12BaseProd</vt:lpstr>
      <vt:lpstr>calcR2LOB1Clinician12Disc1AvgMissPerc</vt:lpstr>
      <vt:lpstr>calcR2LOB1Clinician12Disc1BaseMissPerc</vt:lpstr>
      <vt:lpstr>calcR2LOB1Clinician12Disc1Emp1AllocatedProd</vt:lpstr>
      <vt:lpstr>calcR2LOB1Clinician12Disc1Emp1AllowPerc</vt:lpstr>
      <vt:lpstr>calcR2LOB1Clinician12Disc1Emp1BaseProd</vt:lpstr>
      <vt:lpstr>calcR2LOB1Clinician12Disc1Emp1GrossProd</vt:lpstr>
      <vt:lpstr>calcR2LOB1Clinician12Disc1Emp1MissVisits</vt:lpstr>
      <vt:lpstr>calcR2LOB1Clinician12Disc1Emp1ModifiedProd</vt:lpstr>
      <vt:lpstr>calcR2LOB1Clinician12Disc1Emp1NetProd</vt:lpstr>
      <vt:lpstr>calcR2LOB1Clinician12Disc1Emp1OverTIme</vt:lpstr>
      <vt:lpstr>calcR2LOB1Clinician12Disc2AvgMissPerc</vt:lpstr>
      <vt:lpstr>calcR2LOB1Clinician12Disc2BaseMissPerc</vt:lpstr>
      <vt:lpstr>calcR2LOB1Clinician12Disc2Emp1AllocatedProd</vt:lpstr>
      <vt:lpstr>calcR2LOB1Clinician12Disc2Emp1AllowPerc</vt:lpstr>
      <vt:lpstr>calcR2LOB1Clinician12Disc2Emp1BaseProd</vt:lpstr>
      <vt:lpstr>calcR2LOB1Clinician12Disc2Emp1GrossProd</vt:lpstr>
      <vt:lpstr>calcR2LOB1Clinician12Disc2Emp1MissVisits</vt:lpstr>
      <vt:lpstr>calcR2LOB1Clinician12Disc2Emp1ModifiedProd</vt:lpstr>
      <vt:lpstr>calcR2LOB1Clinician12Disc2Emp1NetProd</vt:lpstr>
      <vt:lpstr>calcR2LOB1Clinician12Disc2Emp1OverTIme</vt:lpstr>
      <vt:lpstr>calcR2LOB1Clinician12Emp2AllocatedProd</vt:lpstr>
      <vt:lpstr>calcR2LOB1Clinician12Emp2AllowPerc</vt:lpstr>
      <vt:lpstr>calcR2LOB1Clinician12Emp2AvgMissPerc</vt:lpstr>
      <vt:lpstr>calcR2LOB1Clinician12Emp2BaseMissPerc</vt:lpstr>
      <vt:lpstr>calcR2LOB1Clinician12Emp2BaseProd</vt:lpstr>
      <vt:lpstr>calcR2LOB1Clinician12Emp2GrossProd</vt:lpstr>
      <vt:lpstr>calcR2LOB1Clinician12Emp2MissVisits</vt:lpstr>
      <vt:lpstr>calcR2LOB1Clinician12Emp2ModifiedProd</vt:lpstr>
      <vt:lpstr>calcR2LOB1Clinician12Emp2NetProd</vt:lpstr>
      <vt:lpstr>calcR2LOB1Clinician12Emp2OverTIme</vt:lpstr>
      <vt:lpstr>calcR2LOB1Clinician12Emp3AllocatedProd</vt:lpstr>
      <vt:lpstr>calcR2LOB1Clinician12Emp3AllowPerc</vt:lpstr>
      <vt:lpstr>calcR2LOB1Clinician12Emp3AvgMissPerc</vt:lpstr>
      <vt:lpstr>calcR2LOB1Clinician12Emp3BaseMissPerc</vt:lpstr>
      <vt:lpstr>calcR2LOB1Clinician12Emp3BaseProd</vt:lpstr>
      <vt:lpstr>calcR2LOB1Clinician12Emp3GrossProd</vt:lpstr>
      <vt:lpstr>calcR2LOB1Clinician12Emp3MissVisits</vt:lpstr>
      <vt:lpstr>calcR2LOB1Clinician12Emp3ModifiedProd</vt:lpstr>
      <vt:lpstr>calcR2LOB1Clinician12Emp3NetProd</vt:lpstr>
      <vt:lpstr>calcR2LOB1Clinician12Emp3OverTIme</vt:lpstr>
      <vt:lpstr>calcR2LOB1Clinician12GrossProd</vt:lpstr>
      <vt:lpstr>calcR2LOB1Clinician12LookupValue</vt:lpstr>
      <vt:lpstr>calcR2LOB1Clinician12MissVisits</vt:lpstr>
      <vt:lpstr>calcR2LOB1Clinician12NetVisits</vt:lpstr>
      <vt:lpstr>calcR2LOB1Clinician12OverTime</vt:lpstr>
      <vt:lpstr>calcR2LOB1Clinician13Disc1AvgMissPerc</vt:lpstr>
      <vt:lpstr>calcR2LOB1Clinician13Disc1BaseMissPerc</vt:lpstr>
      <vt:lpstr>calcR2LOB1Clinician13Disc1Emp1AllocatedProd</vt:lpstr>
      <vt:lpstr>calcR2LOB1Clinician13Disc1Emp1AllowPerc</vt:lpstr>
      <vt:lpstr>calcR2LOB1Clinician13Disc1Emp1BaseProd</vt:lpstr>
      <vt:lpstr>calcR2LOB1Clinician13Disc1Emp1GrossProd</vt:lpstr>
      <vt:lpstr>calcR2LOB1Clinician13Disc1Emp1MissVisits</vt:lpstr>
      <vt:lpstr>calcR2LOB1Clinician13Disc1Emp1NetProd</vt:lpstr>
      <vt:lpstr>calcR2LOB1Clinician14Disc2AvgMissPerc</vt:lpstr>
      <vt:lpstr>calcR2LOB1Clinician14Disc2BaseMissPerc</vt:lpstr>
      <vt:lpstr>calcR2LOB1Clinician14Disc2Emp1AllocatedProd</vt:lpstr>
      <vt:lpstr>calcR2LOB1Clinician14Disc2Emp1AllowPerc</vt:lpstr>
      <vt:lpstr>calcR2LOB1Clinician14Disc2Emp1BaseProd</vt:lpstr>
      <vt:lpstr>calcR2LOB1Clinician14Disc2Emp1GrossProd</vt:lpstr>
      <vt:lpstr>calcR2LOB1Clinician14Disc2Emp1MissVisits</vt:lpstr>
      <vt:lpstr>calcR2LOB1Clinician14Disc2Emp1NetProd</vt:lpstr>
      <vt:lpstr>calcR2LOB1Clinician15Emp3AllocatedProd</vt:lpstr>
      <vt:lpstr>calcR2LOB1Clinician15Emp3AllowPerc</vt:lpstr>
      <vt:lpstr>calcR2LOB1Clinician15Emp3AvgMissPerc</vt:lpstr>
      <vt:lpstr>calcR2LOB1Clinician15Emp3BaseProd</vt:lpstr>
      <vt:lpstr>calcR2LOB1Clinician15Emp3GrossProd</vt:lpstr>
      <vt:lpstr>calcR2LOB1Clinician15Emp3MissVisits</vt:lpstr>
      <vt:lpstr>calcR2LOB1Clinician15Emp3NetProd</vt:lpstr>
      <vt:lpstr>calcR2LOB1Clinician16Emp2AllocatedProd</vt:lpstr>
      <vt:lpstr>calcR2LOB1Clinician16Emp2AllowPerc</vt:lpstr>
      <vt:lpstr>calcR2LOB1Clinician16Emp2AvgMissPerc</vt:lpstr>
      <vt:lpstr>calcR2LOB1Clinician16Emp2BaseMissPerc</vt:lpstr>
      <vt:lpstr>calcR2LOB1Clinician16Emp2BaseProd</vt:lpstr>
      <vt:lpstr>calcR2LOB1Clinician16Emp2GrossProd</vt:lpstr>
      <vt:lpstr>calcR2LOB1Clinician16Emp2MissVisits</vt:lpstr>
      <vt:lpstr>calcR2LOB1Clinician16Emp3BaseMissPerc</vt:lpstr>
      <vt:lpstr>calcR2LOB1Clinician1AllocatedProd</vt:lpstr>
      <vt:lpstr>calcR2LOB1Clinician1AvgMissPerc</vt:lpstr>
      <vt:lpstr>calcR2LOB1Clinician1BaseProd</vt:lpstr>
      <vt:lpstr>calcR2LOB1Clinician1Disc1AvgMissPerc</vt:lpstr>
      <vt:lpstr>calcR2LOB1Clinician1Disc1BaseMissPerc</vt:lpstr>
      <vt:lpstr>calcR2LOB1Clinician1Disc1Emp1AllocatedProd</vt:lpstr>
      <vt:lpstr>calcR2LOB1Clinician1Disc1Emp1AllowPerc</vt:lpstr>
      <vt:lpstr>calcR2LOB1Clinician1Disc1Emp1BaseProd</vt:lpstr>
      <vt:lpstr>calcR2LOB1Clinician1Disc1Emp1GrossProd</vt:lpstr>
      <vt:lpstr>calcR2LOB1Clinician1Disc1Emp1MissVisits</vt:lpstr>
      <vt:lpstr>calcR2LOB1Clinician1Disc1Emp1ModifiedProd</vt:lpstr>
      <vt:lpstr>calcR2LOB1Clinician1Disc1Emp1NetProd</vt:lpstr>
      <vt:lpstr>calcR2LOB1Clinician1Disc1Emp1OverTIme</vt:lpstr>
      <vt:lpstr>calcR2LOB1Clinician1Disc2AvgMissPerc</vt:lpstr>
      <vt:lpstr>calcR2LOB1Clinician1Disc2BaseMissPerc</vt:lpstr>
      <vt:lpstr>calcR2LOB1Clinician1Disc2Emp1AllocatedProd</vt:lpstr>
      <vt:lpstr>calcR2LOB1Clinician1Disc2Emp1AllowPerc</vt:lpstr>
      <vt:lpstr>calcR2LOB1Clinician1Disc2Emp1BaseProd</vt:lpstr>
      <vt:lpstr>calcR2LOB1Clinician1Disc2Emp1GrossProd</vt:lpstr>
      <vt:lpstr>calcR2LOB1Clinician1Disc2Emp1MissVisits</vt:lpstr>
      <vt:lpstr>calcR2LOB1Clinician1Disc2Emp1ModifiedProd</vt:lpstr>
      <vt:lpstr>calcR2LOB1Clinician1Disc2Emp1NetProd</vt:lpstr>
      <vt:lpstr>calcR2LOB1Clinician1Disc2Emp1OverTIme</vt:lpstr>
      <vt:lpstr>calcR2LOB1Clinician1Emp2AllocatedProd</vt:lpstr>
      <vt:lpstr>calcR2LOB1Clinician1Emp2AllowPerc</vt:lpstr>
      <vt:lpstr>calcR2LOB1Clinician1Emp2AvgMissPerc</vt:lpstr>
      <vt:lpstr>calcR2LOB1Clinician1Emp2BaseMissPerc</vt:lpstr>
      <vt:lpstr>calcR2LOB1Clinician1Emp2BaseProd</vt:lpstr>
      <vt:lpstr>calcR2LOB1Clinician1Emp2GrossProd</vt:lpstr>
      <vt:lpstr>calcR2LOB1Clinician1Emp2MissVisits</vt:lpstr>
      <vt:lpstr>calcR2LOB1Clinician1Emp2ModifiedProd</vt:lpstr>
      <vt:lpstr>calcR2LOB1Clinician1Emp2NetProd</vt:lpstr>
      <vt:lpstr>calcR2LOB1Clinician1Emp2OverTIme</vt:lpstr>
      <vt:lpstr>calcR2LOB1Clinician1Emp3AllocatedProd</vt:lpstr>
      <vt:lpstr>calcR2LOB1Clinician1Emp3AllowPerc</vt:lpstr>
      <vt:lpstr>calcR2LOB1Clinician1Emp3AvgMissPerc</vt:lpstr>
      <vt:lpstr>calcR2LOB1Clinician1Emp3BaseMissPerc</vt:lpstr>
      <vt:lpstr>calcR2LOB1Clinician1Emp3BaseProd</vt:lpstr>
      <vt:lpstr>calcR2LOB1Clinician1Emp3GrossProd</vt:lpstr>
      <vt:lpstr>calcR2LOB1Clinician1Emp3MissVisits</vt:lpstr>
      <vt:lpstr>calcR2LOB1Clinician1Emp3ModifiedProd</vt:lpstr>
      <vt:lpstr>calcR2LOB1Clinician1Emp3NetProd</vt:lpstr>
      <vt:lpstr>calcR2LOB1Clinician1Emp3OverTIme</vt:lpstr>
      <vt:lpstr>calcR2LOB1Clinician1GrossProd</vt:lpstr>
      <vt:lpstr>calcR2LOB1Clinician1MissVisits</vt:lpstr>
      <vt:lpstr>calcR2LOB1Clinician1NetVisits</vt:lpstr>
      <vt:lpstr>calcR2LOB1Clinician1OverTime</vt:lpstr>
      <vt:lpstr>calcR2LOB1Clinician2AllocatedProd</vt:lpstr>
      <vt:lpstr>calcR2LOB1Clinician2AvgMissPerc</vt:lpstr>
      <vt:lpstr>calcR2LOB1Clinician2BaseProd</vt:lpstr>
      <vt:lpstr>calcR2LOB1Clinician2Disc1AvgMissPerc</vt:lpstr>
      <vt:lpstr>calcR2LOB1Clinician2Disc1BaseMissPerc</vt:lpstr>
      <vt:lpstr>calcR2LOB1Clinician2Disc1Emp1AllocatedProd</vt:lpstr>
      <vt:lpstr>calcR2LOB1Clinician2Disc1Emp1AllowPerc</vt:lpstr>
      <vt:lpstr>calcR2LOB1Clinician2Disc1Emp1BaseProd</vt:lpstr>
      <vt:lpstr>calcR2LOB1Clinician2Disc1Emp1GrossProd</vt:lpstr>
      <vt:lpstr>calcR2LOB1Clinician2Disc1Emp1MissVisits</vt:lpstr>
      <vt:lpstr>calcR2LOB1Clinician2Disc1Emp1ModifiedProd</vt:lpstr>
      <vt:lpstr>calcR2LOB1Clinician2Disc1Emp1NetProd</vt:lpstr>
      <vt:lpstr>calcR2LOB1Clinician2Disc1Emp1OverTIme</vt:lpstr>
      <vt:lpstr>calcR2LOB1Clinician2Disc2AvgMissPerc</vt:lpstr>
      <vt:lpstr>calcR2LOB1Clinician2Disc2BaseMissPerc</vt:lpstr>
      <vt:lpstr>calcR2LOB1Clinician2Disc2Emp1AllocatedProd</vt:lpstr>
      <vt:lpstr>calcR2LOB1Clinician2Disc2Emp1AllowPerc</vt:lpstr>
      <vt:lpstr>calcR2LOB1Clinician2Disc2Emp1BaseProd</vt:lpstr>
      <vt:lpstr>calcR2LOB1Clinician2Disc2Emp1GrossProd</vt:lpstr>
      <vt:lpstr>calcR2LOB1Clinician2Disc2Emp1MissVisits</vt:lpstr>
      <vt:lpstr>calcR2LOB1Clinician2Disc2Emp1ModifiedProd</vt:lpstr>
      <vt:lpstr>calcR2LOB1Clinician2Disc2Emp1NetProd</vt:lpstr>
      <vt:lpstr>calcR2LOB1Clinician2Disc2Emp1OverTIme</vt:lpstr>
      <vt:lpstr>calcR2LOB1Clinician2Emp2AllocatedProd</vt:lpstr>
      <vt:lpstr>calcR2LOB1Clinician2Emp2AllowPerc</vt:lpstr>
      <vt:lpstr>calcR2LOB1Clinician2Emp2AvgMissPerc</vt:lpstr>
      <vt:lpstr>calcR2LOB1Clinician2Emp2BaseMissPerc</vt:lpstr>
      <vt:lpstr>calcR2LOB1Clinician2Emp2BaseProd</vt:lpstr>
      <vt:lpstr>calcR2LOB1Clinician2Emp2GrossProd</vt:lpstr>
      <vt:lpstr>calcR2LOB1Clinician2Emp2MissVisits</vt:lpstr>
      <vt:lpstr>calcR2LOB1Clinician2Emp2ModifiedProd</vt:lpstr>
      <vt:lpstr>calcR2LOB1Clinician2Emp2NetProd</vt:lpstr>
      <vt:lpstr>calcR2LOB1Clinician2Emp2OverTIme</vt:lpstr>
      <vt:lpstr>calcR2LOB1Clinician2Emp3AllocatedProd</vt:lpstr>
      <vt:lpstr>calcR2LOB1Clinician2Emp3AllowPerc</vt:lpstr>
      <vt:lpstr>calcR2LOB1Clinician2Emp3AvgMissPerc</vt:lpstr>
      <vt:lpstr>calcR2LOB1Clinician2Emp3BaseMissPerc</vt:lpstr>
      <vt:lpstr>calcR2LOB1Clinician2Emp3BaseProd</vt:lpstr>
      <vt:lpstr>calcR2LOB1Clinician2Emp3GrossProd</vt:lpstr>
      <vt:lpstr>calcR2LOB1Clinician2Emp3MissVisits</vt:lpstr>
      <vt:lpstr>calcR2LOB1Clinician2Emp3ModifiedProd</vt:lpstr>
      <vt:lpstr>calcR2LOB1Clinician2Emp3NetProd</vt:lpstr>
      <vt:lpstr>calcR2LOB1Clinician2Emp3OverTIme</vt:lpstr>
      <vt:lpstr>calcR2LOB1Clinician2GrossProd</vt:lpstr>
      <vt:lpstr>calcR2LOB1Clinician2MissVisits</vt:lpstr>
      <vt:lpstr>calcR2LOB1Clinician2NetVisits</vt:lpstr>
      <vt:lpstr>calcR2LOB1Clinician2OverTime</vt:lpstr>
      <vt:lpstr>calcR2LOB1Clinician3AllocatedProd</vt:lpstr>
      <vt:lpstr>calcR2LOB1Clinician3AvgMissPerc</vt:lpstr>
      <vt:lpstr>calcR2LOB1Clinician3BaseProd</vt:lpstr>
      <vt:lpstr>calcR2LOB1Clinician3Disc1AvgMissPerc</vt:lpstr>
      <vt:lpstr>calcR2LOB1Clinician3Disc1BaseMissPerc</vt:lpstr>
      <vt:lpstr>calcR2LOB1Clinician3Disc1Emp1AllocatedProd</vt:lpstr>
      <vt:lpstr>calcR2LOB1Clinician3Disc1Emp1AllowPerc</vt:lpstr>
      <vt:lpstr>calcR2LOB1Clinician3Disc1Emp1BaseProd</vt:lpstr>
      <vt:lpstr>calcR2LOB1Clinician3Disc1Emp1GrossProd</vt:lpstr>
      <vt:lpstr>calcR2LOB1Clinician3Disc1Emp1MissVisits</vt:lpstr>
      <vt:lpstr>calcR2LOB1Clinician3Disc1Emp1ModifiedProd</vt:lpstr>
      <vt:lpstr>calcR2LOB1Clinician3Disc1Emp1NetProd</vt:lpstr>
      <vt:lpstr>calcR2LOB1Clinician3Disc1Emp1OverTIme</vt:lpstr>
      <vt:lpstr>calcR2LOB1Clinician3Disc2AvgMissPerc</vt:lpstr>
      <vt:lpstr>calcR2LOB1Clinician3Disc2BaseMissPerc</vt:lpstr>
      <vt:lpstr>calcR2LOB1Clinician3Disc2Emp1AllocatedProd</vt:lpstr>
      <vt:lpstr>calcR2LOB1Clinician3Disc2Emp1AllowPerc</vt:lpstr>
      <vt:lpstr>calcR2LOB1Clinician3Disc2Emp1BaseProd</vt:lpstr>
      <vt:lpstr>calcR2LOB1Clinician3Disc2Emp1GrossProd</vt:lpstr>
      <vt:lpstr>calcR2LOB1Clinician3Disc2Emp1MissVisits</vt:lpstr>
      <vt:lpstr>calcR2LOB1Clinician3Disc2Emp1ModifiedProd</vt:lpstr>
      <vt:lpstr>calcR2LOB1Clinician3Disc2Emp1NetProd</vt:lpstr>
      <vt:lpstr>calcR2LOB1Clinician3Disc2Emp1OverTIme</vt:lpstr>
      <vt:lpstr>calcR2LOB1Clinician3Emp2AllocatedProd</vt:lpstr>
      <vt:lpstr>calcR2LOB1Clinician3Emp2AllowPerc</vt:lpstr>
      <vt:lpstr>calcR2LOB1Clinician3Emp2AvgMissPerc</vt:lpstr>
      <vt:lpstr>calcR2LOB1Clinician3Emp2BaseMissPerc</vt:lpstr>
      <vt:lpstr>calcR2LOB1Clinician3Emp2BaseProd</vt:lpstr>
      <vt:lpstr>calcR2LOB1Clinician3Emp2GrossProd</vt:lpstr>
      <vt:lpstr>calcR2LOB1Clinician3Emp2MissVisits</vt:lpstr>
      <vt:lpstr>calcR2LOB1Clinician3Emp2ModifiedProd</vt:lpstr>
      <vt:lpstr>calcR2LOB1Clinician3Emp2NetProd</vt:lpstr>
      <vt:lpstr>calcR2LOB1Clinician3Emp2OverTIme</vt:lpstr>
      <vt:lpstr>calcR2LOB1Clinician3Emp3AllocatedProd</vt:lpstr>
      <vt:lpstr>calcR2LOB1Clinician3Emp3AllowPerc</vt:lpstr>
      <vt:lpstr>calcR2LOB1Clinician3Emp3AvgMissPerc</vt:lpstr>
      <vt:lpstr>calcR2LOB1Clinician3Emp3BaseMissPerc</vt:lpstr>
      <vt:lpstr>calcR2LOB1Clinician3Emp3BaseProd</vt:lpstr>
      <vt:lpstr>calcR2LOB1Clinician3Emp3GrossProd</vt:lpstr>
      <vt:lpstr>calcR2LOB1Clinician3Emp3MissVisits</vt:lpstr>
      <vt:lpstr>calcR2LOB1Clinician3Emp3ModifiedProd</vt:lpstr>
      <vt:lpstr>calcR2LOB1Clinician3Emp3NetProd</vt:lpstr>
      <vt:lpstr>calcR2LOB1Clinician3Emp3OverTIme</vt:lpstr>
      <vt:lpstr>calcR2LOB1Clinician3GrossProd</vt:lpstr>
      <vt:lpstr>calcR2LOB1Clinician3MissVisits</vt:lpstr>
      <vt:lpstr>calcR2LOB1Clinician3NetVisits</vt:lpstr>
      <vt:lpstr>calcR2LOB1Clinician3OverTime</vt:lpstr>
      <vt:lpstr>calcR2LOB1Clinician4AllocatedProd</vt:lpstr>
      <vt:lpstr>calcR2LOB1Clinician4AvgMissPerc</vt:lpstr>
      <vt:lpstr>calcR2LOB1Clinician4BaseProd</vt:lpstr>
      <vt:lpstr>calcR2LOB1Clinician4Disc1AvgMissPerc</vt:lpstr>
      <vt:lpstr>calcR2LOB1Clinician4Disc1BaseMissPerc</vt:lpstr>
      <vt:lpstr>calcR2LOB1Clinician4Disc1Emp1AllocatedProd</vt:lpstr>
      <vt:lpstr>calcR2LOB1Clinician4Disc1Emp1AllowPerc</vt:lpstr>
      <vt:lpstr>calcR2LOB1Clinician4Disc1Emp1BaseProd</vt:lpstr>
      <vt:lpstr>calcR2LOB1Clinician4Disc1Emp1GrossProd</vt:lpstr>
      <vt:lpstr>calcR2LOB1Clinician4Disc1Emp1MissVisits</vt:lpstr>
      <vt:lpstr>calcR2LOB1Clinician4Disc1Emp1ModifiedProd</vt:lpstr>
      <vt:lpstr>calcR2LOB1Clinician4Disc1Emp1NetProd</vt:lpstr>
      <vt:lpstr>calcR2LOB1Clinician4Disc1Emp1OverTIme</vt:lpstr>
      <vt:lpstr>calcR2LOB1Clinician4Disc2AvgMissPerc</vt:lpstr>
      <vt:lpstr>calcR2LOB1Clinician4Disc2BaseMissPerc</vt:lpstr>
      <vt:lpstr>calcR2LOB1Clinician4Disc2Emp1AllocatedProd</vt:lpstr>
      <vt:lpstr>calcR2LOB1Clinician4Disc2Emp1AllowPerc</vt:lpstr>
      <vt:lpstr>calcR2LOB1Clinician4Disc2Emp1BaseProd</vt:lpstr>
      <vt:lpstr>calcR2LOB1Clinician4Disc2Emp1GrossProd</vt:lpstr>
      <vt:lpstr>calcR2LOB1Clinician4Disc2Emp1MissVisits</vt:lpstr>
      <vt:lpstr>calcR2LOB1Clinician4Disc2Emp1ModifiedProd</vt:lpstr>
      <vt:lpstr>calcR2LOB1Clinician4Disc2Emp1NetProd</vt:lpstr>
      <vt:lpstr>calcR2LOB1Clinician4Disc2Emp1OverTIme</vt:lpstr>
      <vt:lpstr>calcR2LOB1Clinician4Emp2AllocatedProd</vt:lpstr>
      <vt:lpstr>calcR2LOB1Clinician4Emp2AllowPerc</vt:lpstr>
      <vt:lpstr>calcR2LOB1Clinician4Emp2AvgMissPerc</vt:lpstr>
      <vt:lpstr>calcR2LOB1Clinician4Emp2BaseMissPerc</vt:lpstr>
      <vt:lpstr>calcR2LOB1Clinician4Emp2BaseProd</vt:lpstr>
      <vt:lpstr>calcR2LOB1Clinician4Emp2GrossProd</vt:lpstr>
      <vt:lpstr>calcR2LOB1Clinician4Emp2MissVisits</vt:lpstr>
      <vt:lpstr>calcR2LOB1Clinician4Emp2ModifiedProd</vt:lpstr>
      <vt:lpstr>calcR2LOB1Clinician4Emp2NetProd</vt:lpstr>
      <vt:lpstr>calcR2LOB1Clinician4Emp2OverTIme</vt:lpstr>
      <vt:lpstr>calcR2LOB1Clinician4Emp3AllocatedProd</vt:lpstr>
      <vt:lpstr>calcR2LOB1Clinician4Emp3AllowPerc</vt:lpstr>
      <vt:lpstr>calcR2LOB1Clinician4Emp3AvgMissPerc</vt:lpstr>
      <vt:lpstr>calcR2LOB1Clinician4Emp3BaseMissPerc</vt:lpstr>
      <vt:lpstr>calcR2LOB1Clinician4Emp3BaseProd</vt:lpstr>
      <vt:lpstr>calcR2LOB1Clinician4Emp3GrossProd</vt:lpstr>
      <vt:lpstr>calcR2LOB1Clinician4Emp3MissVisits</vt:lpstr>
      <vt:lpstr>calcR2LOB1Clinician4Emp3ModifiedProd</vt:lpstr>
      <vt:lpstr>calcR2LOB1Clinician4Emp3NetProd</vt:lpstr>
      <vt:lpstr>calcR2LOB1Clinician4Emp3OverTIme</vt:lpstr>
      <vt:lpstr>calcR2LOB1Clinician4GrossProd</vt:lpstr>
      <vt:lpstr>calcR2LOB1Clinician4MissVisits</vt:lpstr>
      <vt:lpstr>calcR2LOB1Clinician4NetVisits</vt:lpstr>
      <vt:lpstr>calcR2LOB1Clinician4OverTime</vt:lpstr>
      <vt:lpstr>calcR2LOB1Clinician5AllocatedProd</vt:lpstr>
      <vt:lpstr>calcR2LOB1Clinician5AvgMissPerc</vt:lpstr>
      <vt:lpstr>calcR2LOB1Clinician5BaseProd</vt:lpstr>
      <vt:lpstr>calcR2LOB1Clinician5Disc1AvgMissPerc</vt:lpstr>
      <vt:lpstr>calcR2LOB1Clinician5Disc1BaseMissPerc</vt:lpstr>
      <vt:lpstr>calcR2LOB1Clinician5Disc1Emp1AllocatedProd</vt:lpstr>
      <vt:lpstr>calcR2LOB1Clinician5Disc1Emp1AllowPerc</vt:lpstr>
      <vt:lpstr>calcR2LOB1Clinician5Disc1Emp1BaseProd</vt:lpstr>
      <vt:lpstr>calcR2LOB1Clinician5Disc1Emp1GrossProd</vt:lpstr>
      <vt:lpstr>calcR2LOB1Clinician5Disc1Emp1MissVisits</vt:lpstr>
      <vt:lpstr>calcR2LOB1Clinician5Disc1Emp1ModifiedProd</vt:lpstr>
      <vt:lpstr>calcR2LOB1Clinician5Disc1Emp1NetProd</vt:lpstr>
      <vt:lpstr>calcR2LOB1Clinician5Disc1Emp1OverTIme</vt:lpstr>
      <vt:lpstr>calcR2LOB1Clinician5Disc2AvgMissPerc</vt:lpstr>
      <vt:lpstr>calcR2LOB1Clinician5Disc2BaseMissPerc</vt:lpstr>
      <vt:lpstr>calcR2LOB1Clinician5Disc2Emp1AllocatedProd</vt:lpstr>
      <vt:lpstr>calcR2LOB1Clinician5Disc2Emp1AllowPerc</vt:lpstr>
      <vt:lpstr>calcR2LOB1Clinician5Disc2Emp1BaseProd</vt:lpstr>
      <vt:lpstr>calcR2LOB1Clinician5Disc2Emp1GrossProd</vt:lpstr>
      <vt:lpstr>calcR2LOB1Clinician5Disc2Emp1MissVisits</vt:lpstr>
      <vt:lpstr>calcR2LOB1Clinician5Disc2Emp1ModifiedProd</vt:lpstr>
      <vt:lpstr>calcR2LOB1Clinician5Disc2Emp1NetProd</vt:lpstr>
      <vt:lpstr>calcR2LOB1Clinician5Disc2Emp1OverTIme</vt:lpstr>
      <vt:lpstr>calcR2LOB1Clinician5Emp2AllocatedProd</vt:lpstr>
      <vt:lpstr>calcR2LOB1Clinician5Emp2AllowPerc</vt:lpstr>
      <vt:lpstr>calcR2LOB1Clinician5Emp2AvgMissPerc</vt:lpstr>
      <vt:lpstr>calcR2LOB1Clinician5Emp2BaseMissPerc</vt:lpstr>
      <vt:lpstr>calcR2LOB1Clinician5Emp2BaseProd</vt:lpstr>
      <vt:lpstr>calcR2LOB1Clinician5Emp2GrossProd</vt:lpstr>
      <vt:lpstr>calcR2LOB1Clinician5Emp2MissVisits</vt:lpstr>
      <vt:lpstr>calcR2LOB1Clinician5Emp2ModifiedProd</vt:lpstr>
      <vt:lpstr>calcR2LOB1Clinician5Emp2NetProd</vt:lpstr>
      <vt:lpstr>calcR2LOB1Clinician5Emp2OverTIme</vt:lpstr>
      <vt:lpstr>calcR2LOB1Clinician5Emp3AllocatedProd</vt:lpstr>
      <vt:lpstr>calcR2LOB1Clinician5Emp3AllowPerc</vt:lpstr>
      <vt:lpstr>calcR2LOB1Clinician5Emp3AvgMissPerc</vt:lpstr>
      <vt:lpstr>calcR2LOB1Clinician5Emp3BaseMissPerc</vt:lpstr>
      <vt:lpstr>calcR2LOB1Clinician5Emp3BaseProd</vt:lpstr>
      <vt:lpstr>calcR2LOB1Clinician5Emp3GrossProd</vt:lpstr>
      <vt:lpstr>calcR2LOB1Clinician5Emp3MissVisits</vt:lpstr>
      <vt:lpstr>calcR2LOB1Clinician5Emp3ModifiedProd</vt:lpstr>
      <vt:lpstr>calcR2LOB1Clinician5Emp3NetProd</vt:lpstr>
      <vt:lpstr>calcR2LOB1Clinician5Emp3OverTIme</vt:lpstr>
      <vt:lpstr>calcR2LOB1Clinician5GrossProd</vt:lpstr>
      <vt:lpstr>calcR2LOB1Clinician5MissVisits</vt:lpstr>
      <vt:lpstr>calcR2LOB1Clinician5NetVisits</vt:lpstr>
      <vt:lpstr>calcR2LOB1Clinician5OverTime</vt:lpstr>
      <vt:lpstr>calcR2LOB1Clinician6AllocatedProd</vt:lpstr>
      <vt:lpstr>calcR2LOB1Clinician6AvgMissPerc</vt:lpstr>
      <vt:lpstr>calcR2LOB1Clinician6BaseProd</vt:lpstr>
      <vt:lpstr>calcR2LOB1Clinician6Disc1AvgMissPerc</vt:lpstr>
      <vt:lpstr>calcR2LOB1Clinician6Disc1BaseMissPerc</vt:lpstr>
      <vt:lpstr>calcR2LOB1Clinician6Disc1Emp1AllocatedProd</vt:lpstr>
      <vt:lpstr>calcR2LOB1Clinician6Disc1Emp1AllowPerc</vt:lpstr>
      <vt:lpstr>calcR2LOB1Clinician6Disc1Emp1BaseProd</vt:lpstr>
      <vt:lpstr>calcR2LOB1Clinician6Disc1Emp1GrossProd</vt:lpstr>
      <vt:lpstr>calcR2LOB1Clinician6Disc1Emp1MissVisits</vt:lpstr>
      <vt:lpstr>calcR2LOB1Clinician6Disc1Emp1ModifiedProd</vt:lpstr>
      <vt:lpstr>calcR2LOB1Clinician6Disc1Emp1NetProd</vt:lpstr>
      <vt:lpstr>calcR2LOB1Clinician6Disc1Emp1OverTIme</vt:lpstr>
      <vt:lpstr>calcR2LOB1Clinician6Disc2AvgMissPerc</vt:lpstr>
      <vt:lpstr>calcR2LOB1Clinician6Disc2BaseMissPerc</vt:lpstr>
      <vt:lpstr>calcR2LOB1Clinician6Disc2Emp1AllocatedProd</vt:lpstr>
      <vt:lpstr>calcR2LOB1Clinician6Disc2Emp1AllowPerc</vt:lpstr>
      <vt:lpstr>calcR2LOB1Clinician6Disc2Emp1BaseProd</vt:lpstr>
      <vt:lpstr>calcR2LOB1Clinician6Disc2Emp1GrossProd</vt:lpstr>
      <vt:lpstr>calcR2LOB1Clinician6Disc2Emp1MissVisits</vt:lpstr>
      <vt:lpstr>calcR2LOB1Clinician6Disc2Emp1ModifiedProd</vt:lpstr>
      <vt:lpstr>calcR2LOB1Clinician6Disc2Emp1NetProd</vt:lpstr>
      <vt:lpstr>calcR2LOB1Clinician6Disc2Emp1OverTIme</vt:lpstr>
      <vt:lpstr>calcR2LOB1Clinician6Emp2AllocatedProd</vt:lpstr>
      <vt:lpstr>calcR2LOB1Clinician6Emp2AllowPerc</vt:lpstr>
      <vt:lpstr>calcR2LOB1Clinician6Emp2AvgMissPerc</vt:lpstr>
      <vt:lpstr>calcR2LOB1Clinician6Emp2BaseMissPerc</vt:lpstr>
      <vt:lpstr>calcR2LOB1Clinician6Emp2BaseProd</vt:lpstr>
      <vt:lpstr>calcR2LOB1Clinician6Emp2GrossProd</vt:lpstr>
      <vt:lpstr>calcR2LOB1Clinician6Emp2MissVisits</vt:lpstr>
      <vt:lpstr>calcR2LOB1Clinician6Emp2ModifiedProd</vt:lpstr>
      <vt:lpstr>calcR2LOB1Clinician6Emp2NetProd</vt:lpstr>
      <vt:lpstr>calcR2LOB1Clinician6Emp2OverTIme</vt:lpstr>
      <vt:lpstr>calcR2LOB1Clinician6Emp3AllocatedProd</vt:lpstr>
      <vt:lpstr>calcR2LOB1Clinician6Emp3AllowPerc</vt:lpstr>
      <vt:lpstr>calcR2LOB1Clinician6Emp3AvgMissPerc</vt:lpstr>
      <vt:lpstr>calcR2LOB1Clinician6Emp3BaseMissPerc</vt:lpstr>
      <vt:lpstr>calcR2LOB1Clinician6Emp3BaseProd</vt:lpstr>
      <vt:lpstr>calcR2LOB1Clinician6Emp3GrossProd</vt:lpstr>
      <vt:lpstr>calcR2LOB1Clinician6Emp3MissVisits</vt:lpstr>
      <vt:lpstr>calcR2LOB1Clinician6Emp3ModifiedProd</vt:lpstr>
      <vt:lpstr>calcR2LOB1Clinician6Emp3NetProd</vt:lpstr>
      <vt:lpstr>calcR2LOB1Clinician6Emp3OverTIme</vt:lpstr>
      <vt:lpstr>calcR2LOB1Clinician6GrossProd</vt:lpstr>
      <vt:lpstr>calcR2LOB1Clinician6MissVisits</vt:lpstr>
      <vt:lpstr>calcR2LOB1Clinician6NetVisits</vt:lpstr>
      <vt:lpstr>calcR2LOB1Clinician6OverTime</vt:lpstr>
      <vt:lpstr>calcR2LOB1Clinician7AllocatedProd</vt:lpstr>
      <vt:lpstr>calcR2LOB1Clinician7AvgMissPerc</vt:lpstr>
      <vt:lpstr>calcR2LOB1Clinician7BaseProd</vt:lpstr>
      <vt:lpstr>calcR2LOB1Clinician7Disc1AvgMissPerc</vt:lpstr>
      <vt:lpstr>calcR2LOB1Clinician7Disc1BaseMissPerc</vt:lpstr>
      <vt:lpstr>calcR2LOB1Clinician7Disc1Emp1AllocatedProd</vt:lpstr>
      <vt:lpstr>calcR2LOB1Clinician7Disc1Emp1AllowPerc</vt:lpstr>
      <vt:lpstr>calcR2LOB1Clinician7Disc1Emp1BaseProd</vt:lpstr>
      <vt:lpstr>calcR2LOB1Clinician7Disc1Emp1GrossProd</vt:lpstr>
      <vt:lpstr>calcR2LOB1Clinician7Disc1Emp1MissVisits</vt:lpstr>
      <vt:lpstr>calcR2LOB1Clinician7Disc1Emp1ModifiedProd</vt:lpstr>
      <vt:lpstr>calcR2LOB1Clinician7Disc1Emp1NetProd</vt:lpstr>
      <vt:lpstr>calcR2LOB1Clinician7Disc1Emp1OverTIme</vt:lpstr>
      <vt:lpstr>calcR2LOB1Clinician7Disc2AvgMissPerc</vt:lpstr>
      <vt:lpstr>calcR2LOB1Clinician7Disc2BaseMissPerc</vt:lpstr>
      <vt:lpstr>calcR2LOB1Clinician7Disc2Emp1AllocatedProd</vt:lpstr>
      <vt:lpstr>calcR2LOB1Clinician7Disc2Emp1AllowPerc</vt:lpstr>
      <vt:lpstr>calcR2LOB1Clinician7Disc2Emp1BaseProd</vt:lpstr>
      <vt:lpstr>calcR2LOB1Clinician7Disc2Emp1GrossProd</vt:lpstr>
      <vt:lpstr>calcR2LOB1Clinician7Disc2Emp1MissVisits</vt:lpstr>
      <vt:lpstr>calcR2LOB1Clinician7Disc2Emp1ModifiedProd</vt:lpstr>
      <vt:lpstr>calcR2LOB1Clinician7Disc2Emp1NetProd</vt:lpstr>
      <vt:lpstr>calcR2LOB1Clinician7Disc2Emp1OverTIme</vt:lpstr>
      <vt:lpstr>calcR2LOB1Clinician7Emp2AllocatedProd</vt:lpstr>
      <vt:lpstr>calcR2LOB1Clinician7Emp2AllowPerc</vt:lpstr>
      <vt:lpstr>calcR2LOB1Clinician7Emp2AvgMissPerc</vt:lpstr>
      <vt:lpstr>calcR2LOB1Clinician7Emp2BaseMissPerc</vt:lpstr>
      <vt:lpstr>calcR2LOB1Clinician7Emp2BaseProd</vt:lpstr>
      <vt:lpstr>calcR2LOB1Clinician7Emp2GrossProd</vt:lpstr>
      <vt:lpstr>calcR2LOB1Clinician7Emp2MissVisits</vt:lpstr>
      <vt:lpstr>calcR2LOB1Clinician7Emp2ModifiedProd</vt:lpstr>
      <vt:lpstr>calcR2LOB1Clinician7Emp2NetProd</vt:lpstr>
      <vt:lpstr>calcR2LOB1Clinician7Emp2OverTIme</vt:lpstr>
      <vt:lpstr>calcR2LOB1Clinician7Emp3AllocatedProd</vt:lpstr>
      <vt:lpstr>calcR2LOB1Clinician7Emp3AllowPerc</vt:lpstr>
      <vt:lpstr>calcR2LOB1Clinician7Emp3AvgMissPerc</vt:lpstr>
      <vt:lpstr>calcR2LOB1Clinician7Emp3BaseMissPerc</vt:lpstr>
      <vt:lpstr>calcR2LOB1Clinician7Emp3BaseProd</vt:lpstr>
      <vt:lpstr>calcR2LOB1Clinician7Emp3GrossProd</vt:lpstr>
      <vt:lpstr>calcR2LOB1Clinician7Emp3MissVisits</vt:lpstr>
      <vt:lpstr>calcR2LOB1Clinician7Emp3ModifiedProd</vt:lpstr>
      <vt:lpstr>calcR2LOB1Clinician7Emp3NetProd</vt:lpstr>
      <vt:lpstr>calcR2LOB1Clinician7Emp3OverTIme</vt:lpstr>
      <vt:lpstr>calcR2LOB1Clinician7GrossProd</vt:lpstr>
      <vt:lpstr>calcR2LOB1Clinician7MissVisits</vt:lpstr>
      <vt:lpstr>calcR2LOB1Clinician7NetVisits</vt:lpstr>
      <vt:lpstr>calcR2LOB1Clinician7OverTime</vt:lpstr>
      <vt:lpstr>calcR2LOB1Clinician8AllocatedProd</vt:lpstr>
      <vt:lpstr>calcR2LOB1Clinician8AvgMissPerc</vt:lpstr>
      <vt:lpstr>calcR2LOB1Clinician8BaseProd</vt:lpstr>
      <vt:lpstr>calcR2LOB1Clinician8Disc1AvgMissPerc</vt:lpstr>
      <vt:lpstr>calcR2LOB1Clinician8Disc1BaseMissPerc</vt:lpstr>
      <vt:lpstr>calcR2LOB1Clinician8Disc1Emp1AllocatedProd</vt:lpstr>
      <vt:lpstr>calcR2LOB1Clinician8Disc1Emp1AllowPerc</vt:lpstr>
      <vt:lpstr>calcR2LOB1Clinician8Disc1Emp1BaseProd</vt:lpstr>
      <vt:lpstr>calcR2LOB1Clinician8Disc1Emp1GrossProd</vt:lpstr>
      <vt:lpstr>calcR2LOB1Clinician8Disc1Emp1MissVisits</vt:lpstr>
      <vt:lpstr>calcR2LOB1Clinician8Disc1Emp1ModifiedProd</vt:lpstr>
      <vt:lpstr>calcR2LOB1Clinician8Disc1Emp1NetProd</vt:lpstr>
      <vt:lpstr>calcR2LOB1Clinician8Disc1Emp1OverTIme</vt:lpstr>
      <vt:lpstr>calcR2LOB1Clinician8Disc2AvgMissPerc</vt:lpstr>
      <vt:lpstr>calcR2LOB1Clinician8Disc2BaseMissPerc</vt:lpstr>
      <vt:lpstr>calcR2LOB1Clinician8Disc2Emp1AllocatedProd</vt:lpstr>
      <vt:lpstr>calcR2LOB1Clinician8Disc2Emp1AllowPerc</vt:lpstr>
      <vt:lpstr>calcR2LOB1Clinician8Disc2Emp1BaseProd</vt:lpstr>
      <vt:lpstr>calcR2LOB1Clinician8Disc2Emp1GrossProd</vt:lpstr>
      <vt:lpstr>calcR2LOB1Clinician8Disc2Emp1MissVisits</vt:lpstr>
      <vt:lpstr>calcR2LOB1Clinician8Disc2Emp1ModifiedProd</vt:lpstr>
      <vt:lpstr>calcR2LOB1Clinician8Disc2Emp1NetProd</vt:lpstr>
      <vt:lpstr>calcR2LOB1Clinician8Disc2Emp1OverTIme</vt:lpstr>
      <vt:lpstr>calcR2LOB1Clinician8Emp2AllocatedProd</vt:lpstr>
      <vt:lpstr>calcR2LOB1Clinician8Emp2AllowPerc</vt:lpstr>
      <vt:lpstr>calcR2LOB1Clinician8Emp2AvgMissPerc</vt:lpstr>
      <vt:lpstr>calcR2LOB1Clinician8Emp2BaseMissPerc</vt:lpstr>
      <vt:lpstr>calcR2LOB1Clinician8Emp2BaseProd</vt:lpstr>
      <vt:lpstr>calcR2LOB1Clinician8Emp2GrossProd</vt:lpstr>
      <vt:lpstr>calcR2LOB1Clinician8Emp2MissVisits</vt:lpstr>
      <vt:lpstr>calcR2LOB1Clinician8Emp2ModifiedProd</vt:lpstr>
      <vt:lpstr>calcR2LOB1Clinician8Emp2NetProd</vt:lpstr>
      <vt:lpstr>calcR2LOB1Clinician8Emp2OverTIme</vt:lpstr>
      <vt:lpstr>calcR2LOB1Clinician8Emp3AllocatedProd</vt:lpstr>
      <vt:lpstr>calcR2LOB1Clinician8Emp3AllowPerc</vt:lpstr>
      <vt:lpstr>calcR2LOB1Clinician8Emp3AvgMissPerc</vt:lpstr>
      <vt:lpstr>calcR2LOB1Clinician8Emp3BaseMissPerc</vt:lpstr>
      <vt:lpstr>calcR2LOB1Clinician8Emp3BaseProd</vt:lpstr>
      <vt:lpstr>calcR2LOB1Clinician8Emp3GrossProd</vt:lpstr>
      <vt:lpstr>calcR2LOB1Clinician8Emp3MissVisits</vt:lpstr>
      <vt:lpstr>calcR2LOB1Clinician8Emp3ModifiedProd</vt:lpstr>
      <vt:lpstr>calcR2LOB1Clinician8Emp3NetProd</vt:lpstr>
      <vt:lpstr>calcR2LOB1Clinician8Emp3OverTIme</vt:lpstr>
      <vt:lpstr>calcR2LOB1Clinician8GrossProd</vt:lpstr>
      <vt:lpstr>calcR2LOB1Clinician8MissVisits</vt:lpstr>
      <vt:lpstr>calcR2LOB1Clinician8NetVisits</vt:lpstr>
      <vt:lpstr>calcR2LOB1Clinician8OverTime</vt:lpstr>
      <vt:lpstr>calcR2LOB1Clinician9AllocatedProd</vt:lpstr>
      <vt:lpstr>calcR2LOB1Clinician9AvgMissPerc</vt:lpstr>
      <vt:lpstr>calcR2LOB1Clinician9BaseProd</vt:lpstr>
      <vt:lpstr>calcR2LOB1Clinician9Disc1AvgMissPerc</vt:lpstr>
      <vt:lpstr>calcR2LOB1Clinician9Disc1BaseMissPerc</vt:lpstr>
      <vt:lpstr>calcR2LOB1Clinician9Disc1Emp1AllocatedProd</vt:lpstr>
      <vt:lpstr>calcR2LOB1Clinician9Disc1Emp1AllowPerc</vt:lpstr>
      <vt:lpstr>calcR2LOB1Clinician9Disc1Emp1BaseProd</vt:lpstr>
      <vt:lpstr>calcR2LOB1Clinician9Disc1Emp1GrossProd</vt:lpstr>
      <vt:lpstr>calcR2LOB1Clinician9Disc1Emp1MissVisits</vt:lpstr>
      <vt:lpstr>calcR2LOB1Clinician9Disc1Emp1ModifiedProd</vt:lpstr>
      <vt:lpstr>calcR2LOB1Clinician9Disc1Emp1NetProd</vt:lpstr>
      <vt:lpstr>calcR2LOB1Clinician9Disc1Emp1OverTIme</vt:lpstr>
      <vt:lpstr>calcR2LOB1Clinician9Disc2AvgMissPerc</vt:lpstr>
      <vt:lpstr>calcR2LOB1Clinician9Disc2BaseMissPerc</vt:lpstr>
      <vt:lpstr>calcR2LOB1Clinician9Disc2Emp1AllocatedProd</vt:lpstr>
      <vt:lpstr>calcR2LOB1Clinician9Disc2Emp1AllowPerc</vt:lpstr>
      <vt:lpstr>calcR2LOB1Clinician9Disc2Emp1BaseProd</vt:lpstr>
      <vt:lpstr>calcR2LOB1Clinician9Disc2Emp1GrossProd</vt:lpstr>
      <vt:lpstr>calcR2LOB1Clinician9Disc2Emp1MissVisits</vt:lpstr>
      <vt:lpstr>calcR2LOB1Clinician9Disc2Emp1ModifiedProd</vt:lpstr>
      <vt:lpstr>calcR2LOB1Clinician9Disc2Emp1NetProd</vt:lpstr>
      <vt:lpstr>calcR2LOB1Clinician9Disc2Emp1OverTIme</vt:lpstr>
      <vt:lpstr>calcR2LOB1Clinician9Emp2AllocatedProd</vt:lpstr>
      <vt:lpstr>calcR2LOB1Clinician9Emp2AllowPerc</vt:lpstr>
      <vt:lpstr>calcR2LOB1Clinician9Emp2AvgMissPerc</vt:lpstr>
      <vt:lpstr>calcR2LOB1Clinician9Emp2BaseMissPerc</vt:lpstr>
      <vt:lpstr>calcR2LOB1Clinician9Emp2BaseProd</vt:lpstr>
      <vt:lpstr>calcR2LOB1Clinician9Emp2GrossProd</vt:lpstr>
      <vt:lpstr>calcR2LOB1Clinician9Emp2MissVisits</vt:lpstr>
      <vt:lpstr>calcR2LOB1Clinician9Emp2ModifiedProd</vt:lpstr>
      <vt:lpstr>calcR2LOB1Clinician9Emp2NetProd</vt:lpstr>
      <vt:lpstr>calcR2LOB1Clinician9Emp2OverTIme</vt:lpstr>
      <vt:lpstr>calcR2LOB1Clinician9Emp3AllocatedProd</vt:lpstr>
      <vt:lpstr>calcR2LOB1Clinician9Emp3AllowPerc</vt:lpstr>
      <vt:lpstr>calcR2LOB1Clinician9Emp3AvgMissPerc</vt:lpstr>
      <vt:lpstr>calcR2LOB1Clinician9Emp3BaseMissPerc</vt:lpstr>
      <vt:lpstr>calcR2LOB1Clinician9Emp3BaseProd</vt:lpstr>
      <vt:lpstr>calcR2LOB1Clinician9Emp3GrossProd</vt:lpstr>
      <vt:lpstr>calcR2LOB1Clinician9Emp3MissVisits</vt:lpstr>
      <vt:lpstr>calcR2LOB1Clinician9Emp3ModifiedProd</vt:lpstr>
      <vt:lpstr>calcR2LOB1Clinician9Emp3NetProd</vt:lpstr>
      <vt:lpstr>calcR2LOB1Clinician9Emp3OverTIme</vt:lpstr>
      <vt:lpstr>calcR2LOB1Clinician9GrossProd</vt:lpstr>
      <vt:lpstr>calcR2LOB1Clinician9MissVisits</vt:lpstr>
      <vt:lpstr>calcR2LOB1Clinician9NetVisits</vt:lpstr>
      <vt:lpstr>calcR2LOB1Clinician9OverTime</vt:lpstr>
      <vt:lpstr>calcR2LOB1ClinicianAllocatedVisits</vt:lpstr>
      <vt:lpstr>calcR2LOB1ClinicianAvgMissPerc</vt:lpstr>
      <vt:lpstr>calcR2LOB1ClinicianGrossProd</vt:lpstr>
      <vt:lpstr>calcR2LOB1ClinicianMissVisits</vt:lpstr>
      <vt:lpstr>calcR2LOB1ClinicianMissVisitsPerc</vt:lpstr>
      <vt:lpstr>calcR2LOB1ClinicianNetVisits</vt:lpstr>
      <vt:lpstr>calcR2LOB1ClinicianOverTime</vt:lpstr>
      <vt:lpstr>calcR2LOB1ClinicianOverTimePerc</vt:lpstr>
      <vt:lpstr>calcR2LOB1ClinicianTotalMissPerc</vt:lpstr>
      <vt:lpstr>calcR2LOB1CSAT</vt:lpstr>
      <vt:lpstr>calcR2LOB1Disc1EmpCount</vt:lpstr>
      <vt:lpstr>calcR2LOB1Disc1Retention</vt:lpstr>
      <vt:lpstr>calcR2LOB1Disc1TotalVisits</vt:lpstr>
      <vt:lpstr>calcR2LOB1Disc1TotalVisitsPerc</vt:lpstr>
      <vt:lpstr>calcR2LOB1Disc2BelowLicsenceVisits</vt:lpstr>
      <vt:lpstr>calcR2LOB1Disc2EmpCount</vt:lpstr>
      <vt:lpstr>calcR2LOB1Disc2Retention</vt:lpstr>
      <vt:lpstr>calcR2LOB1Disc2TotalVisits</vt:lpstr>
      <vt:lpstr>calcR2LOB1Disc2TotalVisitsPerc</vt:lpstr>
      <vt:lpstr>calcR2LOB1Disc3EmpCount</vt:lpstr>
      <vt:lpstr>calcR2LOB1Disc3Retention</vt:lpstr>
      <vt:lpstr>calcR2LOB1Disc4EmpCount</vt:lpstr>
      <vt:lpstr>calcR2LOB1Disc4Retention</vt:lpstr>
      <vt:lpstr>calcR2LOB1DOOActionTime1</vt:lpstr>
      <vt:lpstr>calcR2LOB1DOOActionTime2</vt:lpstr>
      <vt:lpstr>calcR2LOB1DOOActionTime3</vt:lpstr>
      <vt:lpstr>calcR2LOB1DOOActionTime4</vt:lpstr>
      <vt:lpstr>calcR2LOB1DOOActionTime5</vt:lpstr>
      <vt:lpstr>calcR2LOB1DOOActionTime6</vt:lpstr>
      <vt:lpstr>calcR2LOB1DOOBaseTime1</vt:lpstr>
      <vt:lpstr>calcR2LOB1DOOBaseTime2</vt:lpstr>
      <vt:lpstr>calcR2LOB1DOOBaseTime3</vt:lpstr>
      <vt:lpstr>calcR2LOB1DOOBaseTime4</vt:lpstr>
      <vt:lpstr>calcR2LOB1DOOBaseTime5</vt:lpstr>
      <vt:lpstr>calcR2LOB1DOOBaseTime6</vt:lpstr>
      <vt:lpstr>calcR2LOB1DOOPlanTime1</vt:lpstr>
      <vt:lpstr>calcR2LOB1DOOPlanTime2</vt:lpstr>
      <vt:lpstr>calcR2LOB1DOOPlanTime3</vt:lpstr>
      <vt:lpstr>calcR2LOB1DOOPlanTime4</vt:lpstr>
      <vt:lpstr>calcR2LOB1DOOPlanTime5</vt:lpstr>
      <vt:lpstr>calcR2LOB1DOOPlanTime6</vt:lpstr>
      <vt:lpstr>calcR2LOB1DOOStaffModImpact</vt:lpstr>
      <vt:lpstr>calcR2LOB1DOOTotalActionTime</vt:lpstr>
      <vt:lpstr>calcR2LOB1DOOTotalBaseTime</vt:lpstr>
      <vt:lpstr>calcR2LOB1DOOTotalPlanTime</vt:lpstr>
      <vt:lpstr>calcR2LOB1Emp1ActualVisits</vt:lpstr>
      <vt:lpstr>calcR2LOB1Emp1AllocatedProd</vt:lpstr>
      <vt:lpstr>calcR2LOB1Emp1BaseProdCapacity</vt:lpstr>
      <vt:lpstr>calcR2LOB1Emp1Capacity</vt:lpstr>
      <vt:lpstr>calcR2LOB1Emp1Count</vt:lpstr>
      <vt:lpstr>calcR2LOB1Emp1GrossProdCapacity</vt:lpstr>
      <vt:lpstr>calcR2LOB1Emp1NetProduction</vt:lpstr>
      <vt:lpstr>calcR2LOB1Emp1PercNonSalaried</vt:lpstr>
      <vt:lpstr>calcR2LOB1Emp1Utilization</vt:lpstr>
      <vt:lpstr>calcR2LOB1Emp1Visits</vt:lpstr>
      <vt:lpstr>calcR2LOB1Emp1Work</vt:lpstr>
      <vt:lpstr>calcR2LOB1Emp2ActualVisits</vt:lpstr>
      <vt:lpstr>calcR2LOB1Emp2AllocatedProd</vt:lpstr>
      <vt:lpstr>calcR2LOB1Emp2BaseProdCapacity</vt:lpstr>
      <vt:lpstr>calcR2LOB1Emp2Capacity</vt:lpstr>
      <vt:lpstr>calcR2LOB1Emp2GrossProdCapacity</vt:lpstr>
      <vt:lpstr>calcR2LOB1Emp2NetProduction</vt:lpstr>
      <vt:lpstr>calcR2LOB1Emp2Utilization</vt:lpstr>
      <vt:lpstr>calcR2LOB1Emp2Visits</vt:lpstr>
      <vt:lpstr>calcR2LOB1Emp2Work</vt:lpstr>
      <vt:lpstr>calcR2LOB1Emp3ActualVisits</vt:lpstr>
      <vt:lpstr>calcR2LOB1Emp3AllocatedProd</vt:lpstr>
      <vt:lpstr>calcR2LOB1Emp3BaseProdCapacity</vt:lpstr>
      <vt:lpstr>calcR2LOB1Emp3Capacity</vt:lpstr>
      <vt:lpstr>calcR2LOB1Emp3GrossProdCapacity</vt:lpstr>
      <vt:lpstr>calcR2LOB1Emp3NetProduction</vt:lpstr>
      <vt:lpstr>calcR2LOB1Emp3Utilization</vt:lpstr>
      <vt:lpstr>calcR2LOB1Emp3Visits</vt:lpstr>
      <vt:lpstr>calcR2LOB1Emp3Work</vt:lpstr>
      <vt:lpstr>calcR2LOB1ESAT</vt:lpstr>
      <vt:lpstr>calcR2LOB1FullEmp</vt:lpstr>
      <vt:lpstr>calcR2LOB1MeetingCount</vt:lpstr>
      <vt:lpstr>calcR2LOB1PartEmp</vt:lpstr>
      <vt:lpstr>calcR2LOB1Patients</vt:lpstr>
      <vt:lpstr>calcR2LOB1Prod1Seg1Budget</vt:lpstr>
      <vt:lpstr>calcR2LOB1Prod1Seg1BudgetMM</vt:lpstr>
      <vt:lpstr>calcR2LOB1Prod1Seg1Emp1ActualVisits</vt:lpstr>
      <vt:lpstr>calcR2LOB1Prod1Seg1Emp1Visits</vt:lpstr>
      <vt:lpstr>calcR2LOB1Prod1Seg1Emp2ActualVisits</vt:lpstr>
      <vt:lpstr>calcR2LOB1Prod1Seg1Emp2Visits</vt:lpstr>
      <vt:lpstr>calcR2LOB1Prod1Seg1Emp3ActualVisits</vt:lpstr>
      <vt:lpstr>calcR2LOB1Prod1Seg1Emp3Visits</vt:lpstr>
      <vt:lpstr>calcR2LOB1Prod1Seg1Patients</vt:lpstr>
      <vt:lpstr>calcR2LOB1Prod1Seg1RunRate</vt:lpstr>
      <vt:lpstr>calcR2LOB1Prod1Seg1RunRateM1</vt:lpstr>
      <vt:lpstr>calcR2LOB1Prod1Seg1RunRateM2</vt:lpstr>
      <vt:lpstr>calcR2LOB1Prod1Seg1RunRateM3</vt:lpstr>
      <vt:lpstr>calcR2LOB1Prod1Seg1RunRateMM</vt:lpstr>
      <vt:lpstr>calcR2LOB1Prod1Seg2Budget</vt:lpstr>
      <vt:lpstr>calcR2LOB1Prod1Seg2BudgetMM</vt:lpstr>
      <vt:lpstr>calcR2LOB1Prod1Seg2Emp1ActualVisits</vt:lpstr>
      <vt:lpstr>calcR2LOB1Prod1Seg2Emp1Visits</vt:lpstr>
      <vt:lpstr>calcR2LOB1Prod1Seg2Emp2ActualVisits</vt:lpstr>
      <vt:lpstr>calcR2LOB1Prod1Seg2Emp2Visits</vt:lpstr>
      <vt:lpstr>calcR2LOB1Prod1Seg2Emp3ActualVisits</vt:lpstr>
      <vt:lpstr>calcR2LOB1Prod1Seg2Emp3Visits</vt:lpstr>
      <vt:lpstr>calcR2LOB1Prod1Seg2Patients</vt:lpstr>
      <vt:lpstr>calcR2LOB1Prod1Seg2RunRate</vt:lpstr>
      <vt:lpstr>calcR2LOB1Prod1Seg2RunRateM1</vt:lpstr>
      <vt:lpstr>calcR2LOB1Prod1Seg2RunRateM2</vt:lpstr>
      <vt:lpstr>calcR2LOB1Prod1Seg2RunRateM3</vt:lpstr>
      <vt:lpstr>calcR2LOB1Prod1Seg2RunRateMM</vt:lpstr>
      <vt:lpstr>calcR2LOB1Prod1Seg3Budget</vt:lpstr>
      <vt:lpstr>calcR2LOB1Prod1Seg3BudgetMM</vt:lpstr>
      <vt:lpstr>calcR2LOB1Prod1Seg3Emp1ActualVisits</vt:lpstr>
      <vt:lpstr>calcR2LOB1Prod1Seg3Emp1Visits</vt:lpstr>
      <vt:lpstr>calcR2LOB1Prod1Seg3Emp2ActualVisits</vt:lpstr>
      <vt:lpstr>calcR2LOB1Prod1Seg3Emp2Visits</vt:lpstr>
      <vt:lpstr>calcR2LOB1Prod1Seg3Emp3ActualVisits</vt:lpstr>
      <vt:lpstr>calcR2LOB1Prod1Seg3Emp3Visits</vt:lpstr>
      <vt:lpstr>calcR2LOB1Prod1Seg3Patients</vt:lpstr>
      <vt:lpstr>calcR2LOB1Prod1Seg3RunRate</vt:lpstr>
      <vt:lpstr>calcR2LOB1Prod1Seg3RunRateM1</vt:lpstr>
      <vt:lpstr>calcR2LOB1Prod1Seg3RunRateM2</vt:lpstr>
      <vt:lpstr>calcR2LOB1Prod1Seg3RunRateM3</vt:lpstr>
      <vt:lpstr>calcR2LOB1Prod1Seg3RunRateMM</vt:lpstr>
      <vt:lpstr>calcR2LOB1Prod2Seg1Budget</vt:lpstr>
      <vt:lpstr>calcR2LOB1Prod2Seg1BudgetMM</vt:lpstr>
      <vt:lpstr>calcR2LOB1Prod2Seg1Emp1ActualVisits</vt:lpstr>
      <vt:lpstr>calcR2LOB1Prod2Seg1Emp1Visits</vt:lpstr>
      <vt:lpstr>calcR2LOB1Prod2Seg1Emp2ActualVisits</vt:lpstr>
      <vt:lpstr>calcR2LOB1Prod2Seg1Emp2Visits</vt:lpstr>
      <vt:lpstr>calcR2LOB1Prod2Seg1Emp3ActualVisits</vt:lpstr>
      <vt:lpstr>calcR2LOB1Prod2Seg1Emp3Visits</vt:lpstr>
      <vt:lpstr>calcR2LOB1Prod2Seg1Patients</vt:lpstr>
      <vt:lpstr>calcR2LOB1Prod2Seg1RunRate</vt:lpstr>
      <vt:lpstr>calcR2LOB1Prod2Seg1RunRateM1</vt:lpstr>
      <vt:lpstr>calcR2LOB1Prod2Seg1RunRateM2</vt:lpstr>
      <vt:lpstr>calcR2LOB1Prod2Seg1RunRateM3</vt:lpstr>
      <vt:lpstr>calcR2LOB1Prod2Seg1RunRateMM</vt:lpstr>
      <vt:lpstr>calcR2LOB1Prod2Seg2Budget</vt:lpstr>
      <vt:lpstr>calcR2LOB1Prod2Seg2BudgetMM</vt:lpstr>
      <vt:lpstr>calcR2LOB1Prod2Seg2Emp1ActualVisits</vt:lpstr>
      <vt:lpstr>calcR2LOB1Prod2Seg2Emp1Visits</vt:lpstr>
      <vt:lpstr>calcR2LOB1Prod2Seg2Emp2ActualVisits</vt:lpstr>
      <vt:lpstr>calcR2LOB1Prod2Seg2Emp2Visits</vt:lpstr>
      <vt:lpstr>calcR2LOB1Prod2Seg2Emp3ActualVisits</vt:lpstr>
      <vt:lpstr>calcR2LOB1Prod2Seg2Emp3Visits</vt:lpstr>
      <vt:lpstr>calcR2LOB1Prod2Seg2Patients</vt:lpstr>
      <vt:lpstr>calcR2LOB1Prod2Seg2RunRate</vt:lpstr>
      <vt:lpstr>calcR2LOB1Prod2Seg2RunRateM1</vt:lpstr>
      <vt:lpstr>calcR2LOB1Prod2Seg2RunRateM2</vt:lpstr>
      <vt:lpstr>calcR2LOB1Prod2Seg2RunRateM3</vt:lpstr>
      <vt:lpstr>calcR2LOB1Prod2Seg2RunRateMM</vt:lpstr>
      <vt:lpstr>calcR2LOB1Prod2Seg3Budget</vt:lpstr>
      <vt:lpstr>calcR2LOB1Prod2Seg3BudgetMM</vt:lpstr>
      <vt:lpstr>calcR2LOB1Prod2Seg3Emp1ActualVisits</vt:lpstr>
      <vt:lpstr>calcR2LOB1Prod2Seg3Emp1Visits</vt:lpstr>
      <vt:lpstr>calcR2LOB1Prod2Seg3Emp2ActualVisits</vt:lpstr>
      <vt:lpstr>calcR2LOB1Prod2Seg3Emp2Visits</vt:lpstr>
      <vt:lpstr>calcR2LOB1Prod2Seg3Emp3ActualVisits</vt:lpstr>
      <vt:lpstr>calcR2LOB1Prod2Seg3Emp3Visits</vt:lpstr>
      <vt:lpstr>calcR2LOB1Prod2Seg3Patients</vt:lpstr>
      <vt:lpstr>calcR2LOB1Prod2Seg3RunRate</vt:lpstr>
      <vt:lpstr>calcR2LOB1Prod2Seg3RunRateM1</vt:lpstr>
      <vt:lpstr>calcR2LOB1Prod2Seg3RunRateM2</vt:lpstr>
      <vt:lpstr>calcR2LOB1Prod2Seg3RunRateM3</vt:lpstr>
      <vt:lpstr>calcR2LOB1Prod2Seg3RunRateMM</vt:lpstr>
      <vt:lpstr>calcR2LOB1RunRate</vt:lpstr>
      <vt:lpstr>calcR2LOB1RunRateM1</vt:lpstr>
      <vt:lpstr>calcR2LOB1RunRateM2</vt:lpstr>
      <vt:lpstr>calcR2LOB1RunRateM3</vt:lpstr>
      <vt:lpstr>calcR2LOB1RunRateMM</vt:lpstr>
      <vt:lpstr>calcR2LOB1Stars</vt:lpstr>
      <vt:lpstr>calcR2LOB2AvgUtilization</vt:lpstr>
      <vt:lpstr>calcR2LOB2BDEngage</vt:lpstr>
      <vt:lpstr>calcR2LOB2Budget</vt:lpstr>
      <vt:lpstr>calcR2LOB2BudgetMM</vt:lpstr>
      <vt:lpstr>calcR2LOB2Clinician10AllocatedProd</vt:lpstr>
      <vt:lpstr>calcR2LOB2Clinician10AvgMissPerc</vt:lpstr>
      <vt:lpstr>calcR2LOB2Clinician10BaseNetProd</vt:lpstr>
      <vt:lpstr>calcR2LOB2Clinician10BaseProd</vt:lpstr>
      <vt:lpstr>calcR2LOB2Clinician10Disc1AvgMissPerc</vt:lpstr>
      <vt:lpstr>calcR2LOB2Clinician10Disc1BaseMissPerc</vt:lpstr>
      <vt:lpstr>calcR2LOB2Clinician10Disc1Emp1AllocatedProd</vt:lpstr>
      <vt:lpstr>calcR2LOB2Clinician10Disc1Emp1AllowPerc</vt:lpstr>
      <vt:lpstr>calcR2LOB2Clinician10Disc1Emp1BaseProd</vt:lpstr>
      <vt:lpstr>calcR2LOB2Clinician10Disc1Emp1GrossProd</vt:lpstr>
      <vt:lpstr>calcR2LOB2Clinician10Disc1Emp1MissVisits</vt:lpstr>
      <vt:lpstr>calcR2LOB2Clinician10Disc1Emp1ModifiedProd</vt:lpstr>
      <vt:lpstr>calcR2LOB2Clinician10Disc1Emp1NetProd</vt:lpstr>
      <vt:lpstr>calcR2LOB2Clinician10Disc1Emp1OverTIme</vt:lpstr>
      <vt:lpstr>calcR2LOB2Clinician10Disc2AvgMissPerc</vt:lpstr>
      <vt:lpstr>calcR2LOB2Clinician10Disc2BaseMissPerc</vt:lpstr>
      <vt:lpstr>calcR2LOB2Clinician10Disc2Emp1AllocatedProd</vt:lpstr>
      <vt:lpstr>calcR2LOB2Clinician10Disc2Emp1AllowPerc</vt:lpstr>
      <vt:lpstr>calcR2LOB2Clinician10Disc2Emp1BaseProd</vt:lpstr>
      <vt:lpstr>calcR2LOB2Clinician10Disc2Emp1GrossProd</vt:lpstr>
      <vt:lpstr>calcR2LOB2Clinician10Disc2Emp1MissVisits</vt:lpstr>
      <vt:lpstr>calcR2LOB2Clinician10Disc2Emp1ModifiedProd</vt:lpstr>
      <vt:lpstr>calcR2LOB2Clinician10Disc2Emp1NetProd</vt:lpstr>
      <vt:lpstr>calcR2LOB2Clinician10Disc2Emp1OverTIme</vt:lpstr>
      <vt:lpstr>calcR2LOB2Clinician10Emp2AllocatedProd</vt:lpstr>
      <vt:lpstr>calcR2LOB2Clinician10Emp2AllowPerc</vt:lpstr>
      <vt:lpstr>calcR2LOB2Clinician10Emp2AvgMissPerc</vt:lpstr>
      <vt:lpstr>calcR2LOB2Clinician10Emp2BaseMissPerc</vt:lpstr>
      <vt:lpstr>calcR2LOB2Clinician10Emp2BaseProd</vt:lpstr>
      <vt:lpstr>calcR2LOB2Clinician10Emp2GrossProd</vt:lpstr>
      <vt:lpstr>calcR2LOB2Clinician10Emp2MissVisits</vt:lpstr>
      <vt:lpstr>calcR2LOB2Clinician10Emp2ModifiedProd</vt:lpstr>
      <vt:lpstr>calcR2LOB2Clinician10Emp2NetProd</vt:lpstr>
      <vt:lpstr>calcR2LOB2Clinician10Emp2OverTIme</vt:lpstr>
      <vt:lpstr>calcR2LOB2Clinician10Emp3AllocatedProd</vt:lpstr>
      <vt:lpstr>calcR2LOB2Clinician10Emp3AllowPerc</vt:lpstr>
      <vt:lpstr>calcR2LOB2Clinician10Emp3AvgMissPerc</vt:lpstr>
      <vt:lpstr>calcR2LOB2Clinician10Emp3BaseMissPerc</vt:lpstr>
      <vt:lpstr>calcR2LOB2Clinician10Emp3BaseProd</vt:lpstr>
      <vt:lpstr>calcR2LOB2Clinician10Emp3GrossProd</vt:lpstr>
      <vt:lpstr>calcR2LOB2Clinician10Emp3MissVisits</vt:lpstr>
      <vt:lpstr>calcR2LOB2Clinician10Emp3ModifiedProd</vt:lpstr>
      <vt:lpstr>calcR2LOB2Clinician10Emp3NetProd</vt:lpstr>
      <vt:lpstr>calcR2LOB2Clinician10Emp3OverTIme</vt:lpstr>
      <vt:lpstr>calcR2LOB2Clinician10GrossProd</vt:lpstr>
      <vt:lpstr>calcR2LOB2Clinician10MissVisits</vt:lpstr>
      <vt:lpstr>calcR2LOB2Clinician10NetVisits</vt:lpstr>
      <vt:lpstr>calcR2LOB2Clinician10OverTime</vt:lpstr>
      <vt:lpstr>calcR2LOB2Clinician11AllocatedProd</vt:lpstr>
      <vt:lpstr>calcR2LOB2Clinician11AvgMissPerc</vt:lpstr>
      <vt:lpstr>calcR2LOB2Clinician11BaseNetProd</vt:lpstr>
      <vt:lpstr>calcR2LOB2Clinician11BaseProd</vt:lpstr>
      <vt:lpstr>calcR2LOB2Clinician11Disc1AvgMissPerc</vt:lpstr>
      <vt:lpstr>calcR2LOB2Clinician11Disc1BaseMissPerc</vt:lpstr>
      <vt:lpstr>calcR2LOB2Clinician11Disc1Emp1AllocatedProd</vt:lpstr>
      <vt:lpstr>calcR2LOB2Clinician11Disc1Emp1AllowPerc</vt:lpstr>
      <vt:lpstr>calcR2LOB2Clinician11Disc1Emp1BaseProd</vt:lpstr>
      <vt:lpstr>calcR2LOB2Clinician11Disc1Emp1GrossProd</vt:lpstr>
      <vt:lpstr>calcR2LOB2Clinician11Disc1Emp1MissVisits</vt:lpstr>
      <vt:lpstr>calcR2LOB2Clinician11Disc1Emp1ModifiedProd</vt:lpstr>
      <vt:lpstr>calcR2LOB2Clinician11Disc1Emp1NetProd</vt:lpstr>
      <vt:lpstr>calcR2LOB2Clinician11Disc1Emp1OverTIme</vt:lpstr>
      <vt:lpstr>calcR2LOB2Clinician11Disc2AvgMissPerc</vt:lpstr>
      <vt:lpstr>calcR2LOB2Clinician11Disc2BaseMissPerc</vt:lpstr>
      <vt:lpstr>calcR2LOB2Clinician11Disc2Emp1AllocatedProd</vt:lpstr>
      <vt:lpstr>calcR2LOB2Clinician11Disc2Emp1AllowPerc</vt:lpstr>
      <vt:lpstr>calcR2LOB2Clinician11Disc2Emp1BaseProd</vt:lpstr>
      <vt:lpstr>calcR2LOB2Clinician11Disc2Emp1GrossProd</vt:lpstr>
      <vt:lpstr>calcR2LOB2Clinician11Disc2Emp1MissVisits</vt:lpstr>
      <vt:lpstr>calcR2LOB2Clinician11Disc2Emp1ModifiedProd</vt:lpstr>
      <vt:lpstr>calcR2LOB2Clinician11Disc2Emp1NetProd</vt:lpstr>
      <vt:lpstr>calcR2LOB2Clinician11Disc2Emp1OverTIme</vt:lpstr>
      <vt:lpstr>calcR2LOB2Clinician11Emp2AllocatedProd</vt:lpstr>
      <vt:lpstr>calcR2LOB2Clinician11Emp2AllowPerc</vt:lpstr>
      <vt:lpstr>calcR2LOB2Clinician11Emp2AvgMissPerc</vt:lpstr>
      <vt:lpstr>calcR2LOB2Clinician11Emp2BaseMissPerc</vt:lpstr>
      <vt:lpstr>calcR2LOB2Clinician11Emp2BaseProd</vt:lpstr>
      <vt:lpstr>calcR2LOB2Clinician11Emp2GrossProd</vt:lpstr>
      <vt:lpstr>calcR2LOB2Clinician11Emp2MissVisits</vt:lpstr>
      <vt:lpstr>calcR2LOB2Clinician11Emp2ModifiedProd</vt:lpstr>
      <vt:lpstr>calcR2LOB2Clinician11Emp2NetProd</vt:lpstr>
      <vt:lpstr>calcR2LOB2Clinician11Emp2OverTIme</vt:lpstr>
      <vt:lpstr>calcR2LOB2Clinician11Emp3AllocatedProd</vt:lpstr>
      <vt:lpstr>calcR2LOB2Clinician11Emp3AllowPerc</vt:lpstr>
      <vt:lpstr>calcR2LOB2Clinician11Emp3AvgMissPerc</vt:lpstr>
      <vt:lpstr>calcR2LOB2Clinician11Emp3BaseMissPerc</vt:lpstr>
      <vt:lpstr>calcR2LOB2Clinician11Emp3BaseProd</vt:lpstr>
      <vt:lpstr>calcR2LOB2Clinician11Emp3GrossProd</vt:lpstr>
      <vt:lpstr>calcR2LOB2Clinician11Emp3MissVisits</vt:lpstr>
      <vt:lpstr>calcR2LOB2Clinician11Emp3ModifiedProd</vt:lpstr>
      <vt:lpstr>calcR2LOB2Clinician11Emp3NetProd</vt:lpstr>
      <vt:lpstr>calcR2LOB2Clinician11Emp3OverTIme</vt:lpstr>
      <vt:lpstr>calcR2LOB2Clinician11GrossProd</vt:lpstr>
      <vt:lpstr>calcR2LOB2Clinician11LookupValue</vt:lpstr>
      <vt:lpstr>calcR2LOB2Clinician11MissVisits</vt:lpstr>
      <vt:lpstr>calcR2LOB2Clinician11NetVisits</vt:lpstr>
      <vt:lpstr>calcR2LOB2Clinician11OverTime</vt:lpstr>
      <vt:lpstr>calcR2LOB2Clinician12AllocatedProd</vt:lpstr>
      <vt:lpstr>calcR2LOB2Clinician12AvgMissPerc</vt:lpstr>
      <vt:lpstr>calcR2LOB2Clinician12BaseNetProd</vt:lpstr>
      <vt:lpstr>calcR2LOB2Clinician12BaseProd</vt:lpstr>
      <vt:lpstr>calcR2LOB2Clinician12Disc1AvgMissPerc</vt:lpstr>
      <vt:lpstr>calcR2LOB2Clinician12Disc1BaseMissPerc</vt:lpstr>
      <vt:lpstr>calcR2LOB2Clinician12Disc1Emp1AllocatedProd</vt:lpstr>
      <vt:lpstr>calcR2LOB2Clinician12Disc1Emp1AllowPerc</vt:lpstr>
      <vt:lpstr>calcR2LOB2Clinician12Disc1Emp1BaseProd</vt:lpstr>
      <vt:lpstr>calcR2LOB2Clinician12Disc1Emp1GrossProd</vt:lpstr>
      <vt:lpstr>calcR2LOB2Clinician12Disc1Emp1MissVisits</vt:lpstr>
      <vt:lpstr>calcR2LOB2Clinician12Disc1Emp1ModifiedProd</vt:lpstr>
      <vt:lpstr>calcR2LOB2Clinician12Disc1Emp1NetProd</vt:lpstr>
      <vt:lpstr>calcR2LOB2Clinician12Disc1Emp1OverTIme</vt:lpstr>
      <vt:lpstr>calcR2LOB2Clinician12Disc2AvgMissPerc</vt:lpstr>
      <vt:lpstr>calcR2LOB2Clinician12Disc2BaseMissPerc</vt:lpstr>
      <vt:lpstr>calcR2LOB2Clinician12Disc2Emp1AllocatedProd</vt:lpstr>
      <vt:lpstr>calcR2LOB2Clinician12Disc2Emp1AllowPerc</vt:lpstr>
      <vt:lpstr>calcR2LOB2Clinician12Disc2Emp1BaseProd</vt:lpstr>
      <vt:lpstr>calcR2LOB2Clinician12Disc2Emp1GrossProd</vt:lpstr>
      <vt:lpstr>calcR2LOB2Clinician12Disc2Emp1MissVisits</vt:lpstr>
      <vt:lpstr>calcR2LOB2Clinician12Disc2Emp1ModifiedProd</vt:lpstr>
      <vt:lpstr>calcR2LOB2Clinician12Disc2Emp1NetProd</vt:lpstr>
      <vt:lpstr>calcR2LOB2Clinician12Disc2Emp1OverTIme</vt:lpstr>
      <vt:lpstr>calcR2LOB2Clinician12Emp2AllocatedProd</vt:lpstr>
      <vt:lpstr>calcR2LOB2Clinician12Emp2AllowPerc</vt:lpstr>
      <vt:lpstr>calcR2LOB2Clinician12Emp2AvgMissPerc</vt:lpstr>
      <vt:lpstr>calcR2LOB2Clinician12Emp2BaseMissPerc</vt:lpstr>
      <vt:lpstr>calcR2LOB2Clinician12Emp2BaseProd</vt:lpstr>
      <vt:lpstr>calcR2LOB2Clinician12Emp2GrossProd</vt:lpstr>
      <vt:lpstr>calcR2LOB2Clinician12Emp2MissVisits</vt:lpstr>
      <vt:lpstr>calcR2LOB2Clinician12Emp2ModifiedProd</vt:lpstr>
      <vt:lpstr>calcR2LOB2Clinician12Emp2NetProd</vt:lpstr>
      <vt:lpstr>calcR2LOB2Clinician12Emp2OverTIme</vt:lpstr>
      <vt:lpstr>calcR2LOB2Clinician12Emp3AllocatedProd</vt:lpstr>
      <vt:lpstr>calcR2LOB2Clinician12Emp3AllowPerc</vt:lpstr>
      <vt:lpstr>calcR2LOB2Clinician12Emp3AvgMissPerc</vt:lpstr>
      <vt:lpstr>calcR2LOB2Clinician12Emp3BaseMissPerc</vt:lpstr>
      <vt:lpstr>calcR2LOB2Clinician12Emp3BaseProd</vt:lpstr>
      <vt:lpstr>calcR2LOB2Clinician12Emp3GrossProd</vt:lpstr>
      <vt:lpstr>calcR2LOB2Clinician12Emp3MissVisits</vt:lpstr>
      <vt:lpstr>calcR2LOB2Clinician12Emp3ModifiedProd</vt:lpstr>
      <vt:lpstr>calcR2LOB2Clinician12Emp3NetProd</vt:lpstr>
      <vt:lpstr>calcR2LOB2Clinician12Emp3OverTIme</vt:lpstr>
      <vt:lpstr>calcR2LOB2Clinician12GrossProd</vt:lpstr>
      <vt:lpstr>calcR2LOB2Clinician12LookupValue</vt:lpstr>
      <vt:lpstr>calcR2LOB2Clinician12MissVisits</vt:lpstr>
      <vt:lpstr>calcR2LOB2Clinician12NetVisits</vt:lpstr>
      <vt:lpstr>calcR2LOB2Clinician12OverTime</vt:lpstr>
      <vt:lpstr>calcR2LOB2Clinician13Disc1AvgMissPerc</vt:lpstr>
      <vt:lpstr>calcR2LOB2Clinician13Disc1BaseMissPerc</vt:lpstr>
      <vt:lpstr>calcR2LOB2Clinician13Disc1Emp1AllocatedProd</vt:lpstr>
      <vt:lpstr>calcR2LOB2Clinician13Disc1Emp1AllowPerc</vt:lpstr>
      <vt:lpstr>calcR2LOB2Clinician13Disc1Emp1BaseProd</vt:lpstr>
      <vt:lpstr>calcR2LOB2Clinician13Disc1Emp1GrossProd</vt:lpstr>
      <vt:lpstr>calcR2LOB2Clinician13Disc1Emp1MissVisits</vt:lpstr>
      <vt:lpstr>calcR2LOB2Clinician13Disc1Emp1NetProd</vt:lpstr>
      <vt:lpstr>calcR2LOB2Clinician14Disc2AvgMissPerc</vt:lpstr>
      <vt:lpstr>calcR2LOB2Clinician14Disc2BaseMissPerc</vt:lpstr>
      <vt:lpstr>calcR2LOB2Clinician14Disc2Emp1AllocatedProd</vt:lpstr>
      <vt:lpstr>calcR2LOB2Clinician14Disc2Emp1AllowPerc</vt:lpstr>
      <vt:lpstr>calcR2LOB2Clinician14Disc2Emp1BaseProd</vt:lpstr>
      <vt:lpstr>calcR2LOB2Clinician14Disc2Emp1GrossProd</vt:lpstr>
      <vt:lpstr>calcR2LOB2Clinician14Disc2Emp1MissVisits</vt:lpstr>
      <vt:lpstr>calcR2LOB2Clinician14Disc2Emp1NetProd</vt:lpstr>
      <vt:lpstr>calcR2LOB2Clinician15Emp3AllocatedProd</vt:lpstr>
      <vt:lpstr>calcR2LOB2Clinician15Emp3AllowPerc</vt:lpstr>
      <vt:lpstr>calcR2LOB2Clinician15Emp3AvgMissPerc</vt:lpstr>
      <vt:lpstr>calcR2LOB2Clinician15Emp3BaseProd</vt:lpstr>
      <vt:lpstr>calcR2LOB2Clinician15Emp3GrossProd</vt:lpstr>
      <vt:lpstr>calcR2LOB2Clinician15Emp3MissVisits</vt:lpstr>
      <vt:lpstr>calcR2LOB2Clinician15Emp3NetProd</vt:lpstr>
      <vt:lpstr>calcR2LOB2Clinician16Emp2AllocatedProd</vt:lpstr>
      <vt:lpstr>calcR2LOB2Clinician16Emp2AllowPerc</vt:lpstr>
      <vt:lpstr>calcR2LOB2Clinician16Emp2AvgMissPerc</vt:lpstr>
      <vt:lpstr>calcR2LOB2Clinician16Emp2BaseMissPerc</vt:lpstr>
      <vt:lpstr>calcR2LOB2Clinician16Emp2BaseProd</vt:lpstr>
      <vt:lpstr>calcR2LOB2Clinician16Emp2GrossProd</vt:lpstr>
      <vt:lpstr>calcR2LOB2Clinician16Emp2MissVisits</vt:lpstr>
      <vt:lpstr>calcR2LOB2Clinician16Emp2NetProd</vt:lpstr>
      <vt:lpstr>calcR2LOB2Clinician16Emp3BaseMissPerc</vt:lpstr>
      <vt:lpstr>calcR2LOB2Clinician1AllocatedProd</vt:lpstr>
      <vt:lpstr>calcR2LOB2Clinician1AvgMissPerc</vt:lpstr>
      <vt:lpstr>calcR2LOB2Clinician1BaseNetProd</vt:lpstr>
      <vt:lpstr>calcR2LOB2Clinician1BaseProd</vt:lpstr>
      <vt:lpstr>calcR2LOB2Clinician1Disc1AvgMissPerc</vt:lpstr>
      <vt:lpstr>calcR2LOB2Clinician1Disc1BaseMissPerc</vt:lpstr>
      <vt:lpstr>calcR2LOB2Clinician1Disc1Emp1AllocatedProd</vt:lpstr>
      <vt:lpstr>calcR2LOB2Clinician1Disc1Emp1AllowPerc</vt:lpstr>
      <vt:lpstr>calcR2LOB2Clinician1Disc1Emp1BaseProd</vt:lpstr>
      <vt:lpstr>calcR2LOB2Clinician1Disc1Emp1GrossProd</vt:lpstr>
      <vt:lpstr>calcR2LOB2Clinician1Disc1Emp1MissVisits</vt:lpstr>
      <vt:lpstr>calcR2LOB2Clinician1Disc1Emp1ModifiedProd</vt:lpstr>
      <vt:lpstr>calcR2LOB2Clinician1Disc1Emp1NetProd</vt:lpstr>
      <vt:lpstr>calcR2LOB2Clinician1Disc1Emp1OverTIme</vt:lpstr>
      <vt:lpstr>calcR2LOB2Clinician1Disc2AvgMissPerc</vt:lpstr>
      <vt:lpstr>calcR2LOB2Clinician1Disc2BaseMissPerc</vt:lpstr>
      <vt:lpstr>calcR2LOB2Clinician1Disc2Emp1AllocatedProd</vt:lpstr>
      <vt:lpstr>calcR2LOB2Clinician1Disc2Emp1AllowPerc</vt:lpstr>
      <vt:lpstr>calcR2LOB2Clinician1Disc2Emp1BaseProd</vt:lpstr>
      <vt:lpstr>calcR2LOB2Clinician1Disc2Emp1GrossProd</vt:lpstr>
      <vt:lpstr>calcR2LOB2Clinician1Disc2Emp1MissVisits</vt:lpstr>
      <vt:lpstr>calcR2LOB2Clinician1Disc2Emp1ModifiedProd</vt:lpstr>
      <vt:lpstr>calcR2LOB2Clinician1Disc2Emp1NetProd</vt:lpstr>
      <vt:lpstr>calcR2LOB2Clinician1Disc2Emp1OverTIme</vt:lpstr>
      <vt:lpstr>calcR2LOB2Clinician1Emp2AllocatedProd</vt:lpstr>
      <vt:lpstr>calcR2LOB2Clinician1Emp2AllowPerc</vt:lpstr>
      <vt:lpstr>calcR2LOB2Clinician1Emp2AvgMissPerc</vt:lpstr>
      <vt:lpstr>calcR2LOB2Clinician1Emp2BaseMissPerc</vt:lpstr>
      <vt:lpstr>calcR2LOB2Clinician1Emp2BaseProd</vt:lpstr>
      <vt:lpstr>calcR2LOB2Clinician1Emp2GrossProd</vt:lpstr>
      <vt:lpstr>calcR2LOB2Clinician1Emp2MissVisits</vt:lpstr>
      <vt:lpstr>calcR2LOB2Clinician1Emp2ModifiedProd</vt:lpstr>
      <vt:lpstr>calcR2LOB2Clinician1Emp2NetProd</vt:lpstr>
      <vt:lpstr>calcR2LOB2Clinician1Emp2OverTIme</vt:lpstr>
      <vt:lpstr>calcR2LOB2Clinician1Emp3AllocatedProd</vt:lpstr>
      <vt:lpstr>calcR2LOB2Clinician1Emp3AllowPerc</vt:lpstr>
      <vt:lpstr>calcR2LOB2Clinician1Emp3AvgMissPerc</vt:lpstr>
      <vt:lpstr>calcR2LOB2Clinician1Emp3BaseMissPerc</vt:lpstr>
      <vt:lpstr>calcR2LOB2Clinician1Emp3BaseProd</vt:lpstr>
      <vt:lpstr>calcR2LOB2Clinician1Emp3GrossProd</vt:lpstr>
      <vt:lpstr>calcR2LOB2Clinician1Emp3MissVisits</vt:lpstr>
      <vt:lpstr>calcR2LOB2Clinician1Emp3ModifiedProd</vt:lpstr>
      <vt:lpstr>calcR2LOB2Clinician1Emp3NetProd</vt:lpstr>
      <vt:lpstr>calcR2LOB2Clinician1Emp3OverTIme</vt:lpstr>
      <vt:lpstr>calcR2LOB2Clinician1GrossProd</vt:lpstr>
      <vt:lpstr>calcR2LOB2Clinician1MissVisits</vt:lpstr>
      <vt:lpstr>calcR2LOB2Clinician1NetVisits</vt:lpstr>
      <vt:lpstr>calcR2LOB2Clinician1OverTime</vt:lpstr>
      <vt:lpstr>calcR2LOB2Clinician2AllocatedProd</vt:lpstr>
      <vt:lpstr>calcR2LOB2Clinician2AvgMissPerc</vt:lpstr>
      <vt:lpstr>calcR2LOB2Clinician2BaseNetProd</vt:lpstr>
      <vt:lpstr>calcR2LOB2Clinician2BaseProd</vt:lpstr>
      <vt:lpstr>calcR2LOB2Clinician2Disc1AvgMissPerc</vt:lpstr>
      <vt:lpstr>calcR2LOB2Clinician2Disc1BaseMissPerc</vt:lpstr>
      <vt:lpstr>calcR2LOB2Clinician2Disc1Emp1AllocatedProd</vt:lpstr>
      <vt:lpstr>calcR2LOB2Clinician2Disc1Emp1AllowPerc</vt:lpstr>
      <vt:lpstr>calcR2LOB2Clinician2Disc1Emp1BaseProd</vt:lpstr>
      <vt:lpstr>calcR2LOB2Clinician2Disc1Emp1GrossProd</vt:lpstr>
      <vt:lpstr>calcR2LOB2Clinician2Disc1Emp1MissVisits</vt:lpstr>
      <vt:lpstr>calcR2LOB2Clinician2Disc1Emp1ModifiedProd</vt:lpstr>
      <vt:lpstr>calcR2LOB2Clinician2Disc1Emp1NetProd</vt:lpstr>
      <vt:lpstr>calcR2LOB2Clinician2Disc1Emp1OverTIme</vt:lpstr>
      <vt:lpstr>calcR2LOB2Clinician2Disc2AvgMissPerc</vt:lpstr>
      <vt:lpstr>calcR2LOB2Clinician2Disc2BaseMissPerc</vt:lpstr>
      <vt:lpstr>calcR2LOB2Clinician2Disc2Emp1AllocatedProd</vt:lpstr>
      <vt:lpstr>calcR2LOB2Clinician2Disc2Emp1AllowPerc</vt:lpstr>
      <vt:lpstr>calcR2LOB2Clinician2Disc2Emp1BaseProd</vt:lpstr>
      <vt:lpstr>calcR2LOB2Clinician2Disc2Emp1GrossProd</vt:lpstr>
      <vt:lpstr>calcR2LOB2Clinician2Disc2Emp1MissVisits</vt:lpstr>
      <vt:lpstr>calcR2LOB2Clinician2Disc2Emp1ModifiedProd</vt:lpstr>
      <vt:lpstr>calcR2LOB2Clinician2Disc2Emp1NetProd</vt:lpstr>
      <vt:lpstr>calcR2LOB2Clinician2Disc2Emp1OverTIme</vt:lpstr>
      <vt:lpstr>calcR2LOB2Clinician2Emp2AllocatedProd</vt:lpstr>
      <vt:lpstr>calcR2LOB2Clinician2Emp2AllowPerc</vt:lpstr>
      <vt:lpstr>calcR2LOB2Clinician2Emp2AvgMissPerc</vt:lpstr>
      <vt:lpstr>calcR2LOB2Clinician2Emp2BaseMissPerc</vt:lpstr>
      <vt:lpstr>calcR2LOB2Clinician2Emp2BaseProd</vt:lpstr>
      <vt:lpstr>calcR2LOB2Clinician2Emp2GrossProd</vt:lpstr>
      <vt:lpstr>calcR2LOB2Clinician2Emp2MissVisits</vt:lpstr>
      <vt:lpstr>calcR2LOB2Clinician2Emp2ModifiedProd</vt:lpstr>
      <vt:lpstr>calcR2LOB2Clinician2Emp2NetProd</vt:lpstr>
      <vt:lpstr>calcR2LOB2Clinician2Emp2OverTIme</vt:lpstr>
      <vt:lpstr>calcR2LOB2Clinician2Emp3AllocatedProd</vt:lpstr>
      <vt:lpstr>calcR2LOB2Clinician2Emp3AllowPerc</vt:lpstr>
      <vt:lpstr>calcR2LOB2Clinician2Emp3AvgMissPerc</vt:lpstr>
      <vt:lpstr>calcR2LOB2Clinician2Emp3BaseMissPerc</vt:lpstr>
      <vt:lpstr>calcR2LOB2Clinician2Emp3BaseProd</vt:lpstr>
      <vt:lpstr>calcR2LOB2Clinician2Emp3GrossProd</vt:lpstr>
      <vt:lpstr>calcR2LOB2Clinician2Emp3MissVisits</vt:lpstr>
      <vt:lpstr>calcR2LOB2Clinician2Emp3ModifiedProd</vt:lpstr>
      <vt:lpstr>calcR2LOB2Clinician2Emp3NetProd</vt:lpstr>
      <vt:lpstr>calcR2LOB2Clinician2Emp3OverTIme</vt:lpstr>
      <vt:lpstr>calcR2LOB2Clinician2GrossProd</vt:lpstr>
      <vt:lpstr>calcR2LOB2Clinician2MissVisits</vt:lpstr>
      <vt:lpstr>calcR2LOB2Clinician2NetVisits</vt:lpstr>
      <vt:lpstr>calcR2LOB2Clinician2OverTime</vt:lpstr>
      <vt:lpstr>calcR2LOB2Clinician3AllocatedProd</vt:lpstr>
      <vt:lpstr>calcR2LOB2Clinician3AvgMissPerc</vt:lpstr>
      <vt:lpstr>calcR2LOB2Clinician3BaseNetProd</vt:lpstr>
      <vt:lpstr>calcR2LOB2Clinician3BaseProd</vt:lpstr>
      <vt:lpstr>calcR2LOB2Clinician3Disc1AvgMissPerc</vt:lpstr>
      <vt:lpstr>calcR2LOB2Clinician3Disc1BaseMissPerc</vt:lpstr>
      <vt:lpstr>calcR2LOB2Clinician3Disc1Emp1AllocatedProd</vt:lpstr>
      <vt:lpstr>calcR2LOB2Clinician3Disc1Emp1AllowPerc</vt:lpstr>
      <vt:lpstr>calcR2LOB2Clinician3Disc1Emp1BaseProd</vt:lpstr>
      <vt:lpstr>calcR2LOB2Clinician3Disc1Emp1GrossProd</vt:lpstr>
      <vt:lpstr>calcR2LOB2Clinician3Disc1Emp1MissVisits</vt:lpstr>
      <vt:lpstr>calcR2LOB2Clinician3Disc1Emp1ModifiedProd</vt:lpstr>
      <vt:lpstr>calcR2LOB2Clinician3Disc1Emp1NetProd</vt:lpstr>
      <vt:lpstr>calcR2LOB2Clinician3Disc1Emp1OverTIme</vt:lpstr>
      <vt:lpstr>calcR2LOB2Clinician3Disc2AvgMissPerc</vt:lpstr>
      <vt:lpstr>calcR2LOB2Clinician3Disc2BaseMissPerc</vt:lpstr>
      <vt:lpstr>calcR2LOB2Clinician3Disc2Emp1AllocatedProd</vt:lpstr>
      <vt:lpstr>calcR2LOB2Clinician3Disc2Emp1AllowPerc</vt:lpstr>
      <vt:lpstr>calcR2LOB2Clinician3Disc2Emp1BaseProd</vt:lpstr>
      <vt:lpstr>calcR2LOB2Clinician3Disc2Emp1GrossProd</vt:lpstr>
      <vt:lpstr>calcR2LOB2Clinician3Disc2Emp1MissVisits</vt:lpstr>
      <vt:lpstr>calcR2LOB2Clinician3Disc2Emp1ModifiedProd</vt:lpstr>
      <vt:lpstr>calcR2LOB2Clinician3Disc2Emp1NetProd</vt:lpstr>
      <vt:lpstr>calcR2LOB2Clinician3Disc2Emp1OverTIme</vt:lpstr>
      <vt:lpstr>calcR2LOB2Clinician3Emp2AllocatedProd</vt:lpstr>
      <vt:lpstr>calcR2LOB2Clinician3Emp2AllowPerc</vt:lpstr>
      <vt:lpstr>calcR2LOB2Clinician3Emp2AvgMissPerc</vt:lpstr>
      <vt:lpstr>calcR2LOB2Clinician3Emp2BaseMissPerc</vt:lpstr>
      <vt:lpstr>calcR2LOB2Clinician3Emp2BaseProd</vt:lpstr>
      <vt:lpstr>calcR2LOB2Clinician3Emp2GrossProd</vt:lpstr>
      <vt:lpstr>calcR2LOB2Clinician3Emp2MissVisits</vt:lpstr>
      <vt:lpstr>calcR2LOB2Clinician3Emp2ModifiedProd</vt:lpstr>
      <vt:lpstr>calcR2LOB2Clinician3Emp2NetProd</vt:lpstr>
      <vt:lpstr>calcR2LOB2Clinician3Emp2OverTIme</vt:lpstr>
      <vt:lpstr>calcR2LOB2Clinician3Emp3AllocatedProd</vt:lpstr>
      <vt:lpstr>calcR2LOB2Clinician3Emp3AllowPerc</vt:lpstr>
      <vt:lpstr>calcR2LOB2Clinician3Emp3AvgMissPerc</vt:lpstr>
      <vt:lpstr>calcR2LOB2Clinician3Emp3BaseMissPerc</vt:lpstr>
      <vt:lpstr>calcR2LOB2Clinician3Emp3BaseProd</vt:lpstr>
      <vt:lpstr>calcR2LOB2Clinician3Emp3GrossProd</vt:lpstr>
      <vt:lpstr>calcR2LOB2Clinician3Emp3MissVisits</vt:lpstr>
      <vt:lpstr>calcR2LOB2Clinician3Emp3ModifiedProd</vt:lpstr>
      <vt:lpstr>calcR2LOB2Clinician3Emp3NetProd</vt:lpstr>
      <vt:lpstr>calcR2LOB2Clinician3Emp3OverTIme</vt:lpstr>
      <vt:lpstr>calcR2LOB2Clinician3GrossProd</vt:lpstr>
      <vt:lpstr>calcR2LOB2Clinician3MissVisits</vt:lpstr>
      <vt:lpstr>calcR2LOB2Clinician3NetVisits</vt:lpstr>
      <vt:lpstr>calcR2LOB2Clinician3OverTime</vt:lpstr>
      <vt:lpstr>calcR2LOB2Clinician4AllocatedProd</vt:lpstr>
      <vt:lpstr>calcR2LOB2Clinician4AvgMissPerc</vt:lpstr>
      <vt:lpstr>calcR2LOB2Clinician4BaseNetProd</vt:lpstr>
      <vt:lpstr>calcR2LOB2Clinician4BaseProd</vt:lpstr>
      <vt:lpstr>calcR2LOB2Clinician4Disc1AvgMissPerc</vt:lpstr>
      <vt:lpstr>calcR2LOB2Clinician4Disc1BaseMissPerc</vt:lpstr>
      <vt:lpstr>calcR2LOB2Clinician4Disc1Emp1AllocatedProd</vt:lpstr>
      <vt:lpstr>calcR2LOB2Clinician4Disc1Emp1AllowPerc</vt:lpstr>
      <vt:lpstr>calcR2LOB2Clinician4Disc1Emp1BaseProd</vt:lpstr>
      <vt:lpstr>calcR2LOB2Clinician4Disc1Emp1GrossProd</vt:lpstr>
      <vt:lpstr>calcR2LOB2Clinician4Disc1Emp1MissVisits</vt:lpstr>
      <vt:lpstr>calcR2LOB2Clinician4Disc1Emp1ModifiedProd</vt:lpstr>
      <vt:lpstr>calcR2LOB2Clinician4Disc1Emp1NetProd</vt:lpstr>
      <vt:lpstr>calcR2LOB2Clinician4Disc1Emp1OverTIme</vt:lpstr>
      <vt:lpstr>calcR2LOB2Clinician4Disc2AvgMissPerc</vt:lpstr>
      <vt:lpstr>calcR2LOB2Clinician4Disc2BaseMissPerc</vt:lpstr>
      <vt:lpstr>calcR2LOB2Clinician4Disc2Emp1AllocatedProd</vt:lpstr>
      <vt:lpstr>calcR2LOB2Clinician4Disc2Emp1AllowPerc</vt:lpstr>
      <vt:lpstr>calcR2LOB2Clinician4Disc2Emp1BaseProd</vt:lpstr>
      <vt:lpstr>calcR2LOB2Clinician4Disc2Emp1GrossProd</vt:lpstr>
      <vt:lpstr>calcR2LOB2Clinician4Disc2Emp1MissVisits</vt:lpstr>
      <vt:lpstr>calcR2LOB2Clinician4Disc2Emp1ModifiedProd</vt:lpstr>
      <vt:lpstr>calcR2LOB2Clinician4Disc2Emp1NetProd</vt:lpstr>
      <vt:lpstr>calcR2LOB2Clinician4Disc2Emp1OverTIme</vt:lpstr>
      <vt:lpstr>calcR2LOB2Clinician4Emp2AllocatedProd</vt:lpstr>
      <vt:lpstr>calcR2LOB2Clinician4Emp2AllowPerc</vt:lpstr>
      <vt:lpstr>calcR2LOB2Clinician4Emp2AvgMissPerc</vt:lpstr>
      <vt:lpstr>calcR2LOB2Clinician4Emp2BaseMissPerc</vt:lpstr>
      <vt:lpstr>calcR2LOB2Clinician4Emp2BaseProd</vt:lpstr>
      <vt:lpstr>calcR2LOB2Clinician4Emp2GrossProd</vt:lpstr>
      <vt:lpstr>calcR2LOB2Clinician4Emp2MissVisits</vt:lpstr>
      <vt:lpstr>calcR2LOB2Clinician4Emp2ModifiedProd</vt:lpstr>
      <vt:lpstr>calcR2LOB2Clinician4Emp2NetProd</vt:lpstr>
      <vt:lpstr>calcR2LOB2Clinician4Emp2OverTIme</vt:lpstr>
      <vt:lpstr>calcR2LOB2Clinician4Emp3AllocatedProd</vt:lpstr>
      <vt:lpstr>calcR2LOB2Clinician4Emp3AllowPerc</vt:lpstr>
      <vt:lpstr>calcR2LOB2Clinician4Emp3AvgMissPerc</vt:lpstr>
      <vt:lpstr>calcR2LOB2Clinician4Emp3BaseMissPerc</vt:lpstr>
      <vt:lpstr>calcR2LOB2Clinician4Emp3BaseProd</vt:lpstr>
      <vt:lpstr>calcR2LOB2Clinician4Emp3GrossProd</vt:lpstr>
      <vt:lpstr>calcR2LOB2Clinician4Emp3MissVisits</vt:lpstr>
      <vt:lpstr>calcR2LOB2Clinician4Emp3ModifiedProd</vt:lpstr>
      <vt:lpstr>calcR2LOB2Clinician4Emp3NetProd</vt:lpstr>
      <vt:lpstr>calcR2LOB2Clinician4Emp3OverTIme</vt:lpstr>
      <vt:lpstr>calcR2LOB2Clinician4GrossProd</vt:lpstr>
      <vt:lpstr>calcR2LOB2Clinician4MissVisits</vt:lpstr>
      <vt:lpstr>calcR2LOB2Clinician4NetVisits</vt:lpstr>
      <vt:lpstr>calcR2LOB2Clinician4OverTime</vt:lpstr>
      <vt:lpstr>calcR2LOB2Clinician5AllocatedProd</vt:lpstr>
      <vt:lpstr>calcR2LOB2Clinician5AvgMissPerc</vt:lpstr>
      <vt:lpstr>calcR2LOB2Clinician5BaseNetProd</vt:lpstr>
      <vt:lpstr>calcR2LOB2Clinician5BaseProd</vt:lpstr>
      <vt:lpstr>calcR2LOB2Clinician5Disc1AvgMissPerc</vt:lpstr>
      <vt:lpstr>calcR2LOB2Clinician5Disc1BaseMissPerc</vt:lpstr>
      <vt:lpstr>calcR2LOB2Clinician5Disc1Emp1AllocatedProd</vt:lpstr>
      <vt:lpstr>calcR2LOB2Clinician5Disc1Emp1AllowPerc</vt:lpstr>
      <vt:lpstr>calcR2LOB2Clinician5Disc1Emp1BaseProd</vt:lpstr>
      <vt:lpstr>calcR2LOB2Clinician5Disc1Emp1GrossProd</vt:lpstr>
      <vt:lpstr>calcR2LOB2Clinician5Disc1Emp1MissVisits</vt:lpstr>
      <vt:lpstr>calcR2LOB2Clinician5Disc1Emp1ModifiedProd</vt:lpstr>
      <vt:lpstr>calcR2LOB2Clinician5Disc1Emp1NetProd</vt:lpstr>
      <vt:lpstr>calcR2LOB2Clinician5Disc1Emp1OverTIme</vt:lpstr>
      <vt:lpstr>calcR2LOB2Clinician5Disc2AvgMissPerc</vt:lpstr>
      <vt:lpstr>calcR2LOB2Clinician5Disc2BaseMissPerc</vt:lpstr>
      <vt:lpstr>calcR2LOB2Clinician5Disc2Emp1AllocatedProd</vt:lpstr>
      <vt:lpstr>calcR2LOB2Clinician5Disc2Emp1AllowPerc</vt:lpstr>
      <vt:lpstr>calcR2LOB2Clinician5Disc2Emp1BaseProd</vt:lpstr>
      <vt:lpstr>calcR2LOB2Clinician5Disc2Emp1GrossProd</vt:lpstr>
      <vt:lpstr>calcR2LOB2Clinician5Disc2Emp1MissVisits</vt:lpstr>
      <vt:lpstr>calcR2LOB2Clinician5Disc2Emp1ModifiedProd</vt:lpstr>
      <vt:lpstr>calcR2LOB2Clinician5Disc2Emp1NetProd</vt:lpstr>
      <vt:lpstr>calcR2LOB2Clinician5Disc2Emp1OverTIme</vt:lpstr>
      <vt:lpstr>calcR2LOB2Clinician5Emp2AllocatedProd</vt:lpstr>
      <vt:lpstr>calcR2LOB2Clinician5Emp2AllowPerc</vt:lpstr>
      <vt:lpstr>calcR2LOB2Clinician5Emp2AvgMissPerc</vt:lpstr>
      <vt:lpstr>calcR2LOB2Clinician5Emp2BaseMissPerc</vt:lpstr>
      <vt:lpstr>calcR2LOB2Clinician5Emp2BaseProd</vt:lpstr>
      <vt:lpstr>calcR2LOB2Clinician5Emp2GrossProd</vt:lpstr>
      <vt:lpstr>calcR2LOB2Clinician5Emp2MissVisits</vt:lpstr>
      <vt:lpstr>calcR2LOB2Clinician5Emp2ModifiedProd</vt:lpstr>
      <vt:lpstr>calcR2LOB2Clinician5Emp2NetProd</vt:lpstr>
      <vt:lpstr>calcR2LOB2Clinician5Emp2OverTIme</vt:lpstr>
      <vt:lpstr>calcR2LOB2Clinician5Emp3AllocatedProd</vt:lpstr>
      <vt:lpstr>calcR2LOB2Clinician5Emp3AllowPerc</vt:lpstr>
      <vt:lpstr>calcR2LOB2Clinician5Emp3AvgMissPerc</vt:lpstr>
      <vt:lpstr>calcR2LOB2Clinician5Emp3BaseMissPerc</vt:lpstr>
      <vt:lpstr>calcR2LOB2Clinician5Emp3BaseProd</vt:lpstr>
      <vt:lpstr>calcR2LOB2Clinician5Emp3GrossProd</vt:lpstr>
      <vt:lpstr>calcR2LOB2Clinician5Emp3MissVisits</vt:lpstr>
      <vt:lpstr>calcR2LOB2Clinician5Emp3ModifiedProd</vt:lpstr>
      <vt:lpstr>calcR2LOB2Clinician5Emp3NetProd</vt:lpstr>
      <vt:lpstr>calcR2LOB2Clinician5Emp3OverTIme</vt:lpstr>
      <vt:lpstr>calcR2LOB2Clinician5GrossProd</vt:lpstr>
      <vt:lpstr>calcR2LOB2Clinician5MissVisits</vt:lpstr>
      <vt:lpstr>calcR2LOB2Clinician5NetVisits</vt:lpstr>
      <vt:lpstr>calcR2LOB2Clinician5OverTime</vt:lpstr>
      <vt:lpstr>calcR2LOB2Clinician6AllocatedProd</vt:lpstr>
      <vt:lpstr>calcR2LOB2Clinician6AvgMissPerc</vt:lpstr>
      <vt:lpstr>calcR2LOB2Clinician6BaseNetProd</vt:lpstr>
      <vt:lpstr>calcR2LOB2Clinician6BaseProd</vt:lpstr>
      <vt:lpstr>calcR2LOB2Clinician6Disc1AvgMissPerc</vt:lpstr>
      <vt:lpstr>calcR2LOB2Clinician6Disc1BaseMissPerc</vt:lpstr>
      <vt:lpstr>calcR2LOB2Clinician6Disc1Emp1AllocatedProd</vt:lpstr>
      <vt:lpstr>calcR2LOB2Clinician6Disc1Emp1AllowPerc</vt:lpstr>
      <vt:lpstr>calcR2LOB2Clinician6Disc1Emp1BaseProd</vt:lpstr>
      <vt:lpstr>calcR2LOB2Clinician6Disc1Emp1GrossProd</vt:lpstr>
      <vt:lpstr>calcR2LOB2Clinician6Disc1Emp1MissVisits</vt:lpstr>
      <vt:lpstr>calcR2LOB2Clinician6Disc1Emp1ModifiedProd</vt:lpstr>
      <vt:lpstr>calcR2LOB2Clinician6Disc1Emp1NetProd</vt:lpstr>
      <vt:lpstr>calcR2LOB2Clinician6Disc1Emp1OverTIme</vt:lpstr>
      <vt:lpstr>calcR2LOB2Clinician6Disc2AvgMissPerc</vt:lpstr>
      <vt:lpstr>calcR2LOB2Clinician6Disc2BaseMissPerc</vt:lpstr>
      <vt:lpstr>calcR2LOB2Clinician6Disc2Emp1AllocatedProd</vt:lpstr>
      <vt:lpstr>calcR2LOB2Clinician6Disc2Emp1AllowPerc</vt:lpstr>
      <vt:lpstr>calcR2LOB2Clinician6Disc2Emp1BaseProd</vt:lpstr>
      <vt:lpstr>calcR2LOB2Clinician6Disc2Emp1GrossProd</vt:lpstr>
      <vt:lpstr>calcR2LOB2Clinician6Disc2Emp1MissVisits</vt:lpstr>
      <vt:lpstr>calcR2LOB2Clinician6Disc2Emp1ModifiedProd</vt:lpstr>
      <vt:lpstr>calcR2LOB2Clinician6Disc2Emp1NetProd</vt:lpstr>
      <vt:lpstr>calcR2LOB2Clinician6Disc2Emp1OverTIme</vt:lpstr>
      <vt:lpstr>calcR2LOB2Clinician6Emp2AllocatedProd</vt:lpstr>
      <vt:lpstr>calcR2LOB2Clinician6Emp2AllowPerc</vt:lpstr>
      <vt:lpstr>calcR2LOB2Clinician6Emp2AvgMissPerc</vt:lpstr>
      <vt:lpstr>calcR2LOB2Clinician6Emp2BaseMissPerc</vt:lpstr>
      <vt:lpstr>calcR2LOB2Clinician6Emp2BaseProd</vt:lpstr>
      <vt:lpstr>calcR2LOB2Clinician6Emp2GrossProd</vt:lpstr>
      <vt:lpstr>calcR2LOB2Clinician6Emp2MissVisits</vt:lpstr>
      <vt:lpstr>calcR2LOB2Clinician6Emp2ModifiedProd</vt:lpstr>
      <vt:lpstr>calcR2LOB2Clinician6Emp2NetProd</vt:lpstr>
      <vt:lpstr>calcR2LOB2Clinician6Emp2OverTIme</vt:lpstr>
      <vt:lpstr>calcR2LOB2Clinician6Emp3AllocatedProd</vt:lpstr>
      <vt:lpstr>calcR2LOB2Clinician6Emp3AllowPerc</vt:lpstr>
      <vt:lpstr>calcR2LOB2Clinician6Emp3AvgMissPerc</vt:lpstr>
      <vt:lpstr>calcR2LOB2Clinician6Emp3BaseMissPerc</vt:lpstr>
      <vt:lpstr>calcR2LOB2Clinician6Emp3BaseProd</vt:lpstr>
      <vt:lpstr>calcR2LOB2Clinician6Emp3GrossProd</vt:lpstr>
      <vt:lpstr>calcR2LOB2Clinician6Emp3MissVisits</vt:lpstr>
      <vt:lpstr>calcR2LOB2Clinician6Emp3ModifiedProd</vt:lpstr>
      <vt:lpstr>calcR2LOB2Clinician6Emp3NetProd</vt:lpstr>
      <vt:lpstr>calcR2LOB2Clinician6Emp3OverTIme</vt:lpstr>
      <vt:lpstr>calcR2LOB2Clinician6GrossProd</vt:lpstr>
      <vt:lpstr>calcR2LOB2Clinician6MissVisits</vt:lpstr>
      <vt:lpstr>calcR2LOB2Clinician6NetVisits</vt:lpstr>
      <vt:lpstr>calcR2LOB2Clinician6OverTime</vt:lpstr>
      <vt:lpstr>calcR2LOB2Clinician7AllocatedProd</vt:lpstr>
      <vt:lpstr>calcR2LOB2Clinician7AvgMissPerc</vt:lpstr>
      <vt:lpstr>calcR2LOB2Clinician7BaseNetProd</vt:lpstr>
      <vt:lpstr>calcR2LOB2Clinician7BaseProd</vt:lpstr>
      <vt:lpstr>calcR2LOB2Clinician7Disc1AvgMissPerc</vt:lpstr>
      <vt:lpstr>calcR2LOB2Clinician7Disc1BaseMissPerc</vt:lpstr>
      <vt:lpstr>calcR2LOB2Clinician7Disc1Emp1AllocatedProd</vt:lpstr>
      <vt:lpstr>calcR2LOB2Clinician7Disc1Emp1AllowPerc</vt:lpstr>
      <vt:lpstr>calcR2LOB2Clinician7Disc1Emp1BaseProd</vt:lpstr>
      <vt:lpstr>calcR2LOB2Clinician7Disc1Emp1GrossProd</vt:lpstr>
      <vt:lpstr>calcR2LOB2Clinician7Disc1Emp1MissVisits</vt:lpstr>
      <vt:lpstr>calcR2LOB2Clinician7Disc1Emp1ModifiedProd</vt:lpstr>
      <vt:lpstr>calcR2LOB2Clinician7Disc1Emp1NetProd</vt:lpstr>
      <vt:lpstr>calcR2LOB2Clinician7Disc1Emp1OverTIme</vt:lpstr>
      <vt:lpstr>calcR2LOB2Clinician7Disc2AvgMissPerc</vt:lpstr>
      <vt:lpstr>calcR2LOB2Clinician7Disc2BaseMissPerc</vt:lpstr>
      <vt:lpstr>calcR2LOB2Clinician7Disc2Emp1AllocatedProd</vt:lpstr>
      <vt:lpstr>calcR2LOB2Clinician7Disc2Emp1AllowPerc</vt:lpstr>
      <vt:lpstr>calcR2LOB2Clinician7Disc2Emp1BaseProd</vt:lpstr>
      <vt:lpstr>calcR2LOB2Clinician7Disc2Emp1GrossProd</vt:lpstr>
      <vt:lpstr>calcR2LOB2Clinician7Disc2Emp1MissVisits</vt:lpstr>
      <vt:lpstr>calcR2LOB2Clinician7Disc2Emp1ModifiedProd</vt:lpstr>
      <vt:lpstr>calcR2LOB2Clinician7Disc2Emp1NetProd</vt:lpstr>
      <vt:lpstr>calcR2LOB2Clinician7Disc2Emp1OverTIme</vt:lpstr>
      <vt:lpstr>calcR2LOB2Clinician7Emp2AllocatedProd</vt:lpstr>
      <vt:lpstr>calcR2LOB2Clinician7Emp2AllowPerc</vt:lpstr>
      <vt:lpstr>calcR2LOB2Clinician7Emp2AvgMissPerc</vt:lpstr>
      <vt:lpstr>calcR2LOB2Clinician7Emp2BaseMissPerc</vt:lpstr>
      <vt:lpstr>calcR2LOB2Clinician7Emp2BaseProd</vt:lpstr>
      <vt:lpstr>calcR2LOB2Clinician7Emp2GrossProd</vt:lpstr>
      <vt:lpstr>calcR2LOB2Clinician7Emp2MissVisits</vt:lpstr>
      <vt:lpstr>calcR2LOB2Clinician7Emp2ModifiedProd</vt:lpstr>
      <vt:lpstr>calcR2LOB2Clinician7Emp2NetProd</vt:lpstr>
      <vt:lpstr>calcR2LOB2Clinician7Emp2OverTIme</vt:lpstr>
      <vt:lpstr>calcR2LOB2Clinician7Emp3AllocatedProd</vt:lpstr>
      <vt:lpstr>calcR2LOB2Clinician7Emp3AllowPerc</vt:lpstr>
      <vt:lpstr>calcR2LOB2Clinician7Emp3AvgMissPerc</vt:lpstr>
      <vt:lpstr>calcR2LOB2Clinician7Emp3BaseMissPerc</vt:lpstr>
      <vt:lpstr>calcR2LOB2Clinician7Emp3BaseProd</vt:lpstr>
      <vt:lpstr>calcR2LOB2Clinician7Emp3GrossProd</vt:lpstr>
      <vt:lpstr>calcR2LOB2Clinician7Emp3MissVisits</vt:lpstr>
      <vt:lpstr>calcR2LOB2Clinician7Emp3ModifiedProd</vt:lpstr>
      <vt:lpstr>calcR2LOB2Clinician7Emp3NetProd</vt:lpstr>
      <vt:lpstr>calcR2LOB2Clinician7Emp3OverTIme</vt:lpstr>
      <vt:lpstr>calcR2LOB2Clinician7GrossProd</vt:lpstr>
      <vt:lpstr>calcR2LOB2Clinician7MissVisits</vt:lpstr>
      <vt:lpstr>calcR2LOB2Clinician7NetVisits</vt:lpstr>
      <vt:lpstr>calcR2LOB2Clinician7OverTime</vt:lpstr>
      <vt:lpstr>calcR2LOB2Clinician8AllocatedProd</vt:lpstr>
      <vt:lpstr>calcR2LOB2Clinician8AvgMissPerc</vt:lpstr>
      <vt:lpstr>calcR2LOB2Clinician8BaseNetProd</vt:lpstr>
      <vt:lpstr>calcR2LOB2Clinician8BaseProd</vt:lpstr>
      <vt:lpstr>calcR2LOB2Clinician8Disc1AvgMissPerc</vt:lpstr>
      <vt:lpstr>calcR2LOB2Clinician8Disc1BaseMissPerc</vt:lpstr>
      <vt:lpstr>calcR2LOB2Clinician8Disc1Emp1AllocatedProd</vt:lpstr>
      <vt:lpstr>calcR2LOB2Clinician8Disc1Emp1AllowPerc</vt:lpstr>
      <vt:lpstr>calcR2LOB2Clinician8Disc1Emp1BaseProd</vt:lpstr>
      <vt:lpstr>calcR2LOB2Clinician8Disc1Emp1GrossProd</vt:lpstr>
      <vt:lpstr>calcR2LOB2Clinician8Disc1Emp1MissVisits</vt:lpstr>
      <vt:lpstr>calcR2LOB2Clinician8Disc1Emp1ModifiedProd</vt:lpstr>
      <vt:lpstr>calcR2LOB2Clinician8Disc1Emp1NetProd</vt:lpstr>
      <vt:lpstr>calcR2LOB2Clinician8Disc1Emp1OverTIme</vt:lpstr>
      <vt:lpstr>calcR2LOB2Clinician8Disc2AvgMissPerc</vt:lpstr>
      <vt:lpstr>calcR2LOB2Clinician8Disc2BaseMissPerc</vt:lpstr>
      <vt:lpstr>calcR2LOB2Clinician8Disc2Emp1AllocatedProd</vt:lpstr>
      <vt:lpstr>calcR2LOB2Clinician8Disc2Emp1AllowPerc</vt:lpstr>
      <vt:lpstr>calcR2LOB2Clinician8Disc2Emp1BaseProd</vt:lpstr>
      <vt:lpstr>calcR2LOB2Clinician8Disc2Emp1GrossProd</vt:lpstr>
      <vt:lpstr>calcR2LOB2Clinician8Disc2Emp1MissVisits</vt:lpstr>
      <vt:lpstr>calcR2LOB2Clinician8Disc2Emp1ModifiedProd</vt:lpstr>
      <vt:lpstr>calcR2LOB2Clinician8Disc2Emp1NetProd</vt:lpstr>
      <vt:lpstr>calcR2LOB2Clinician8Disc2Emp1OverTIme</vt:lpstr>
      <vt:lpstr>calcR2LOB2Clinician8Emp2AllocatedProd</vt:lpstr>
      <vt:lpstr>calcR2LOB2Clinician8Emp2AllowPerc</vt:lpstr>
      <vt:lpstr>calcR2LOB2Clinician8Emp2AvgMissPerc</vt:lpstr>
      <vt:lpstr>calcR2LOB2Clinician8Emp2BaseMissPerc</vt:lpstr>
      <vt:lpstr>calcR2LOB2Clinician8Emp2BaseProd</vt:lpstr>
      <vt:lpstr>calcR2LOB2Clinician8Emp2GrossProd</vt:lpstr>
      <vt:lpstr>calcR2LOB2Clinician8Emp2MissVisits</vt:lpstr>
      <vt:lpstr>calcR2LOB2Clinician8Emp2ModifiedProd</vt:lpstr>
      <vt:lpstr>calcR2LOB2Clinician8Emp2NetProd</vt:lpstr>
      <vt:lpstr>calcR2LOB2Clinician8Emp2OverTIme</vt:lpstr>
      <vt:lpstr>calcR2LOB2Clinician8Emp3AllocatedProd</vt:lpstr>
      <vt:lpstr>calcR2LOB2Clinician8Emp3AllowPerc</vt:lpstr>
      <vt:lpstr>calcR2LOB2Clinician8Emp3AvgMissPerc</vt:lpstr>
      <vt:lpstr>calcR2LOB2Clinician8Emp3BaseMissPerc</vt:lpstr>
      <vt:lpstr>calcR2LOB2Clinician8Emp3BaseProd</vt:lpstr>
      <vt:lpstr>calcR2LOB2Clinician8Emp3GrossProd</vt:lpstr>
      <vt:lpstr>calcR2LOB2Clinician8Emp3MissVisits</vt:lpstr>
      <vt:lpstr>calcR2LOB2Clinician8Emp3ModifiedProd</vt:lpstr>
      <vt:lpstr>calcR2LOB2Clinician8Emp3NetProd</vt:lpstr>
      <vt:lpstr>calcR2LOB2Clinician8Emp3OverTIme</vt:lpstr>
      <vt:lpstr>calcR2LOB2Clinician8GrossProd</vt:lpstr>
      <vt:lpstr>calcR2LOB2Clinician8MissVisits</vt:lpstr>
      <vt:lpstr>calcR2LOB2Clinician8NetVisits</vt:lpstr>
      <vt:lpstr>calcR2LOB2Clinician8OverTime</vt:lpstr>
      <vt:lpstr>calcR2LOB2Clinician9AllocatedProd</vt:lpstr>
      <vt:lpstr>calcR2LOB2Clinician9AvgMissPerc</vt:lpstr>
      <vt:lpstr>calcR2LOB2Clinician9BaseNetProd</vt:lpstr>
      <vt:lpstr>calcR2LOB2Clinician9BaseProd</vt:lpstr>
      <vt:lpstr>calcR2LOB2Clinician9Disc1AvgMissPerc</vt:lpstr>
      <vt:lpstr>calcR2LOB2Clinician9Disc1BaseMissPerc</vt:lpstr>
      <vt:lpstr>calcR2LOB2Clinician9Disc1Emp1AllocatedProd</vt:lpstr>
      <vt:lpstr>calcR2LOB2Clinician9Disc1Emp1AllowPerc</vt:lpstr>
      <vt:lpstr>calcR2LOB2Clinician9Disc1Emp1BaseProd</vt:lpstr>
      <vt:lpstr>calcR2LOB2Clinician9Disc1Emp1GrossProd</vt:lpstr>
      <vt:lpstr>calcR2LOB2Clinician9Disc1Emp1MissVisits</vt:lpstr>
      <vt:lpstr>calcR2LOB2Clinician9Disc1Emp1ModifiedProd</vt:lpstr>
      <vt:lpstr>calcR2LOB2Clinician9Disc1Emp1NetProd</vt:lpstr>
      <vt:lpstr>calcR2LOB2Clinician9Disc1Emp1OverTIme</vt:lpstr>
      <vt:lpstr>calcR2LOB2Clinician9Disc2AvgMissPerc</vt:lpstr>
      <vt:lpstr>calcR2LOB2Clinician9Disc2BaseMissPerc</vt:lpstr>
      <vt:lpstr>calcR2LOB2Clinician9Disc2Emp1AllocatedProd</vt:lpstr>
      <vt:lpstr>calcR2LOB2Clinician9Disc2Emp1AllowPerc</vt:lpstr>
      <vt:lpstr>calcR2LOB2Clinician9Disc2Emp1BaseProd</vt:lpstr>
      <vt:lpstr>calcR2LOB2Clinician9Disc2Emp1GrossProd</vt:lpstr>
      <vt:lpstr>calcR2LOB2Clinician9Disc2Emp1MissVisits</vt:lpstr>
      <vt:lpstr>calcR2LOB2Clinician9Disc2Emp1ModifiedProd</vt:lpstr>
      <vt:lpstr>calcR2LOB2Clinician9Disc2Emp1NetProd</vt:lpstr>
      <vt:lpstr>calcR2LOB2Clinician9Disc2Emp1OverTIme</vt:lpstr>
      <vt:lpstr>calcR2LOB2Clinician9Emp2AllocatedProd</vt:lpstr>
      <vt:lpstr>calcR2LOB2Clinician9Emp2AllowPerc</vt:lpstr>
      <vt:lpstr>calcR2LOB2Clinician9Emp2AvgMissPerc</vt:lpstr>
      <vt:lpstr>calcR2LOB2Clinician9Emp2BaseMissPerc</vt:lpstr>
      <vt:lpstr>calcR2LOB2Clinician9Emp2BaseProd</vt:lpstr>
      <vt:lpstr>calcR2LOB2Clinician9Emp2GrossProd</vt:lpstr>
      <vt:lpstr>calcR2LOB2Clinician9Emp2MissVisits</vt:lpstr>
      <vt:lpstr>calcR2LOB2Clinician9Emp2ModifiedProd</vt:lpstr>
      <vt:lpstr>calcR2LOB2Clinician9Emp2NetProd</vt:lpstr>
      <vt:lpstr>calcR2LOB2Clinician9Emp2OverTIme</vt:lpstr>
      <vt:lpstr>calcR2LOB2Clinician9Emp3AllocatedProd</vt:lpstr>
      <vt:lpstr>calcR2LOB2Clinician9Emp3AllowPerc</vt:lpstr>
      <vt:lpstr>calcR2LOB2Clinician9Emp3AvgMissPerc</vt:lpstr>
      <vt:lpstr>calcR2LOB2Clinician9Emp3BaseMissPerc</vt:lpstr>
      <vt:lpstr>calcR2LOB2Clinician9Emp3BaseProd</vt:lpstr>
      <vt:lpstr>calcR2LOB2Clinician9Emp3GrossProd</vt:lpstr>
      <vt:lpstr>calcR2LOB2Clinician9Emp3MissVisits</vt:lpstr>
      <vt:lpstr>calcR2LOB2Clinician9Emp3ModifiedProd</vt:lpstr>
      <vt:lpstr>calcR2LOB2Clinician9Emp3NetProd</vt:lpstr>
      <vt:lpstr>calcR2LOB2Clinician9Emp3OverTIme</vt:lpstr>
      <vt:lpstr>calcR2LOB2Clinician9GrossProd</vt:lpstr>
      <vt:lpstr>calcR2LOB2Clinician9MissVisits</vt:lpstr>
      <vt:lpstr>calcR2LOB2Clinician9NetVisits</vt:lpstr>
      <vt:lpstr>calcR2LOB2Clinician9OverTime</vt:lpstr>
      <vt:lpstr>calcR2LOB2ClinicianAllocatedVisits</vt:lpstr>
      <vt:lpstr>calcR2LOB2ClinicianAvgMissPerc</vt:lpstr>
      <vt:lpstr>calcR2LOB2ClinicianGrossProd</vt:lpstr>
      <vt:lpstr>calcR2LOB2ClinicianMissVisits</vt:lpstr>
      <vt:lpstr>calcR2LOB2ClinicianMissVisitsPerc</vt:lpstr>
      <vt:lpstr>calcR2LOB2ClinicianNetVisits</vt:lpstr>
      <vt:lpstr>calcR2LOB2ClinicianOverTime</vt:lpstr>
      <vt:lpstr>calcR2LOB2ClinicianOverTimePerc</vt:lpstr>
      <vt:lpstr>calcR2LOB2ClinicianTotalMissPerc</vt:lpstr>
      <vt:lpstr>calcR2LOB2CSAT</vt:lpstr>
      <vt:lpstr>calcR2LOB2Disc1EmpCount</vt:lpstr>
      <vt:lpstr>calcR2LOB2Disc1Retention</vt:lpstr>
      <vt:lpstr>calcR2LOB2Disc1TotalVisits</vt:lpstr>
      <vt:lpstr>calcR2LOB2Disc1TotalVisitsPerc</vt:lpstr>
      <vt:lpstr>calcR2LOB2Disc2BelowLicsenceVisits</vt:lpstr>
      <vt:lpstr>calcR2LOB2Disc2EmpCount</vt:lpstr>
      <vt:lpstr>calcR2LOB2Disc2Retention</vt:lpstr>
      <vt:lpstr>calcR2LOB2Disc2TotalVisits</vt:lpstr>
      <vt:lpstr>calcR2LOB2Disc2TotalVisitsPerc</vt:lpstr>
      <vt:lpstr>calcR2LOB2Disc3EmpCount</vt:lpstr>
      <vt:lpstr>calcR2LOB2Disc3Retention</vt:lpstr>
      <vt:lpstr>calcR2LOB2Disc4EmpCount</vt:lpstr>
      <vt:lpstr>calcR2LOB2Disc4Retention</vt:lpstr>
      <vt:lpstr>calcR2LOB2DOOActionTime1</vt:lpstr>
      <vt:lpstr>calcR2LOB2DOOActionTime2</vt:lpstr>
      <vt:lpstr>calcR2LOB2DOOActionTime3</vt:lpstr>
      <vt:lpstr>calcR2LOB2DOOActionTime4</vt:lpstr>
      <vt:lpstr>calcR2LOB2DOOActionTime5</vt:lpstr>
      <vt:lpstr>calcR2LOB2DOOActionTime6</vt:lpstr>
      <vt:lpstr>calcR2LOB2DOOBaseTime1</vt:lpstr>
      <vt:lpstr>calcR2LOB2DOOBaseTime2</vt:lpstr>
      <vt:lpstr>calcR2LOB2DOOBaseTime3</vt:lpstr>
      <vt:lpstr>calcR2LOB2DOOBaseTime4</vt:lpstr>
      <vt:lpstr>calcR2LOB2DOOBaseTime5</vt:lpstr>
      <vt:lpstr>calcR2LOB2DOOBaseTime6</vt:lpstr>
      <vt:lpstr>calcR2LOB2DOOPlanTime1</vt:lpstr>
      <vt:lpstr>calcR2LOB2DOOPlanTime2</vt:lpstr>
      <vt:lpstr>calcR2LOB2DOOPlanTime3</vt:lpstr>
      <vt:lpstr>calcR2LOB2DOOPlanTime4</vt:lpstr>
      <vt:lpstr>calcR2LOB2DOOPlanTime5</vt:lpstr>
      <vt:lpstr>calcR2LOB2DOOPlanTime6</vt:lpstr>
      <vt:lpstr>calcR2LOB2DOOStaffModImpact</vt:lpstr>
      <vt:lpstr>calcR2LOB2DOOTotalActionTime</vt:lpstr>
      <vt:lpstr>calcR2LOB2DOOTotalBaseTime</vt:lpstr>
      <vt:lpstr>calcR2LOB2DOOTotalPlanTime</vt:lpstr>
      <vt:lpstr>calcR2LOB2Emp1ActualVisits</vt:lpstr>
      <vt:lpstr>calcR2LOB2Emp1AllocatedProd</vt:lpstr>
      <vt:lpstr>calcR2LOB2Emp1BaseProdCapacity</vt:lpstr>
      <vt:lpstr>calcR2LOB2Emp1Capacity</vt:lpstr>
      <vt:lpstr>calcR2LOB2Emp1Count</vt:lpstr>
      <vt:lpstr>calcR2LOB2Emp1GrossProdCapacity</vt:lpstr>
      <vt:lpstr>calcR2LOB2Emp1NetProduction</vt:lpstr>
      <vt:lpstr>calcR2LOB2Emp1PercNonSalaried</vt:lpstr>
      <vt:lpstr>calcR2LOB2Emp1Utilization</vt:lpstr>
      <vt:lpstr>calcR2LOB2Emp1Visits</vt:lpstr>
      <vt:lpstr>calcR2LOB2Emp1Work</vt:lpstr>
      <vt:lpstr>calcR2LOB2Emp2ActualVisits</vt:lpstr>
      <vt:lpstr>calcR2LOB2Emp2AllocatedProd</vt:lpstr>
      <vt:lpstr>calcR2LOB2Emp2BaseProdCapacity</vt:lpstr>
      <vt:lpstr>calcR2LOB2Emp2Capacity</vt:lpstr>
      <vt:lpstr>calcR2LOB2Emp2GrossProdCapacity</vt:lpstr>
      <vt:lpstr>calcR2LOB2Emp2NetProduction</vt:lpstr>
      <vt:lpstr>calcR2LOB2Emp2Utilization</vt:lpstr>
      <vt:lpstr>calcR2LOB2Emp2Visits</vt:lpstr>
      <vt:lpstr>calcR2LOB2Emp2Work</vt:lpstr>
      <vt:lpstr>calcR2LOB2Emp3ActualVisits</vt:lpstr>
      <vt:lpstr>calcR2LOB2Emp3AllocatedProd</vt:lpstr>
      <vt:lpstr>calcR2LOB2Emp3BaseProdCapacity</vt:lpstr>
      <vt:lpstr>calcR2LOB2Emp3Capacity</vt:lpstr>
      <vt:lpstr>calcR2LOB2Emp3GrossProdCapacity</vt:lpstr>
      <vt:lpstr>calcR2LOB2Emp3NetProduction</vt:lpstr>
      <vt:lpstr>calcR2LOB2Emp3Utilization</vt:lpstr>
      <vt:lpstr>calcR2LOB2Emp3Visits</vt:lpstr>
      <vt:lpstr>calcR2LOB2Emp3Work</vt:lpstr>
      <vt:lpstr>calcR2LOB2ESAT</vt:lpstr>
      <vt:lpstr>calcR2LOB2FullEmp</vt:lpstr>
      <vt:lpstr>calcR2LOB2MeetingCount</vt:lpstr>
      <vt:lpstr>calcR2LOB2PartEmp</vt:lpstr>
      <vt:lpstr>calcR2LOB2Patients</vt:lpstr>
      <vt:lpstr>calcR2LOB2Prod1Seg1Budget</vt:lpstr>
      <vt:lpstr>calcR2LOB2Prod1Seg1BudgetMM</vt:lpstr>
      <vt:lpstr>calcR2LOB2Prod1Seg1Emp1ActualVisits</vt:lpstr>
      <vt:lpstr>calcR2LOB2Prod1Seg1Emp1Visits</vt:lpstr>
      <vt:lpstr>calcR2LOB2Prod1Seg1Emp2ActualVisits</vt:lpstr>
      <vt:lpstr>calcR2LOB2Prod1Seg1Emp2Visits</vt:lpstr>
      <vt:lpstr>calcR2LOB2Prod1Seg1Emp3ActualVisits</vt:lpstr>
      <vt:lpstr>calcR2LOB2Prod1Seg1Emp3Visits</vt:lpstr>
      <vt:lpstr>calcR2LOB2Prod1Seg1Patients</vt:lpstr>
      <vt:lpstr>calcR2LOB2Prod1Seg1RunRate</vt:lpstr>
      <vt:lpstr>calcR2LOB2Prod1Seg1RunRateM1</vt:lpstr>
      <vt:lpstr>calcR2LOB2Prod1Seg1RunRateM2</vt:lpstr>
      <vt:lpstr>calcR2LOB2Prod1Seg1RunRateM3</vt:lpstr>
      <vt:lpstr>calcR2LOB2Prod1Seg1RunRateMM</vt:lpstr>
      <vt:lpstr>calcR2LOB2Prod1Seg2Budget</vt:lpstr>
      <vt:lpstr>calcR2LOB2Prod1Seg2BudgetMM</vt:lpstr>
      <vt:lpstr>calcR2LOB2Prod1Seg2Emp1ActualVisits</vt:lpstr>
      <vt:lpstr>calcR2LOB2Prod1Seg2Emp1Visits</vt:lpstr>
      <vt:lpstr>calcR2LOB2Prod1Seg2Emp2ActualVisits</vt:lpstr>
      <vt:lpstr>calcR2LOB2Prod1Seg2Emp2Visits</vt:lpstr>
      <vt:lpstr>calcR2LOB2Prod1Seg2Emp3ActualVisits</vt:lpstr>
      <vt:lpstr>calcR2LOB2Prod1Seg2Emp3Visits</vt:lpstr>
      <vt:lpstr>calcR2LOB2Prod1Seg2Patients</vt:lpstr>
      <vt:lpstr>calcR2LOB2Prod1Seg2RunRate</vt:lpstr>
      <vt:lpstr>calcR2LOB2Prod1Seg2RunRateM1</vt:lpstr>
      <vt:lpstr>calcR2LOB2Prod1Seg2RunRateM2</vt:lpstr>
      <vt:lpstr>calcR2LOB2Prod1Seg2RunRateM3</vt:lpstr>
      <vt:lpstr>calcR2LOB2Prod1Seg2RunRateMM</vt:lpstr>
      <vt:lpstr>calcR2LOB2Prod1Seg3Budget</vt:lpstr>
      <vt:lpstr>calcR2LOB2Prod1Seg3BudgetMM</vt:lpstr>
      <vt:lpstr>calcR2LOB2Prod1Seg3Emp1ActualVisits</vt:lpstr>
      <vt:lpstr>calcR2LOB2Prod1Seg3Emp1Visits</vt:lpstr>
      <vt:lpstr>calcR2LOB2Prod1Seg3Emp2ActualVisits</vt:lpstr>
      <vt:lpstr>calcR2LOB2Prod1Seg3Emp2Visits</vt:lpstr>
      <vt:lpstr>calcR2LOB2Prod1Seg3Emp3ActualVisits</vt:lpstr>
      <vt:lpstr>calcR2LOB2Prod1Seg3Emp3Visits</vt:lpstr>
      <vt:lpstr>calcR2LOB2Prod1Seg3Patients</vt:lpstr>
      <vt:lpstr>calcR2LOB2Prod1Seg3RunRate</vt:lpstr>
      <vt:lpstr>calcR2LOB2Prod1Seg3RunRateM1</vt:lpstr>
      <vt:lpstr>calcR2LOB2Prod1Seg3RunRateM2</vt:lpstr>
      <vt:lpstr>calcR2LOB2Prod1Seg3RunRateM3</vt:lpstr>
      <vt:lpstr>calcR2LOB2Prod1Seg3RunRateMM</vt:lpstr>
      <vt:lpstr>calcR2LOB2Prod2Seg1Budget</vt:lpstr>
      <vt:lpstr>calcR2LOB2Prod2Seg1BudgetMM</vt:lpstr>
      <vt:lpstr>calcR2LOB2Prod2Seg1Emp1ActualVisits</vt:lpstr>
      <vt:lpstr>calcR2LOB2Prod2Seg1Emp1Visits</vt:lpstr>
      <vt:lpstr>calcR2LOB2Prod2Seg1Emp2ActualVisits</vt:lpstr>
      <vt:lpstr>calcR2LOB2Prod2Seg1Emp2Visits</vt:lpstr>
      <vt:lpstr>calcR2LOB2Prod2Seg1Emp3ActualVisits</vt:lpstr>
      <vt:lpstr>calcR2LOB2Prod2Seg1Emp3Visits</vt:lpstr>
      <vt:lpstr>calcR2LOB2Prod2Seg1Patients</vt:lpstr>
      <vt:lpstr>calcR2LOB2Prod2Seg1RunRate</vt:lpstr>
      <vt:lpstr>calcR2LOB2Prod2Seg1RunRateM1</vt:lpstr>
      <vt:lpstr>calcR2LOB2Prod2Seg1RunRateM2</vt:lpstr>
      <vt:lpstr>calcR2LOB2Prod2Seg1RunRateM3</vt:lpstr>
      <vt:lpstr>calcR2LOB2Prod2Seg1RunRateMM</vt:lpstr>
      <vt:lpstr>calcR2LOB2Prod2Seg2Budget</vt:lpstr>
      <vt:lpstr>calcR2LOB2Prod2Seg2BudgetMM</vt:lpstr>
      <vt:lpstr>calcR2LOB2Prod2Seg2Emp1ActualVisits</vt:lpstr>
      <vt:lpstr>calcR2LOB2Prod2Seg2Emp1Visits</vt:lpstr>
      <vt:lpstr>calcR2LOB2Prod2Seg2Emp2ActualVisits</vt:lpstr>
      <vt:lpstr>calcR2LOB2Prod2Seg2Emp2Visits</vt:lpstr>
      <vt:lpstr>calcR2LOB2Prod2Seg2Emp3ActualVisits</vt:lpstr>
      <vt:lpstr>calcR2LOB2Prod2Seg2Emp3Visits</vt:lpstr>
      <vt:lpstr>calcR2LOB2Prod2Seg2Patients</vt:lpstr>
      <vt:lpstr>calcR2LOB2Prod2Seg2RunRate</vt:lpstr>
      <vt:lpstr>calcR2LOB2Prod2Seg2RunRateM1</vt:lpstr>
      <vt:lpstr>calcR2LOB2Prod2Seg2RunRateM2</vt:lpstr>
      <vt:lpstr>calcR2LOB2Prod2Seg2RunRateM3</vt:lpstr>
      <vt:lpstr>calcR2LOB2Prod2Seg2RunRateMM</vt:lpstr>
      <vt:lpstr>calcR2LOB2Prod2Seg3Budget</vt:lpstr>
      <vt:lpstr>calcR2LOB2Prod2Seg3BudgetMM</vt:lpstr>
      <vt:lpstr>calcR2LOB2Prod2Seg3Emp1ActualVisits</vt:lpstr>
      <vt:lpstr>calcR2LOB2Prod2Seg3Emp1Visits</vt:lpstr>
      <vt:lpstr>calcR2LOB2Prod2Seg3Emp2ActualVisits</vt:lpstr>
      <vt:lpstr>calcR2LOB2Prod2Seg3Emp2Visits</vt:lpstr>
      <vt:lpstr>calcR2LOB2Prod2Seg3Emp3ActualVisits</vt:lpstr>
      <vt:lpstr>calcR2LOB2Prod2Seg3Emp3Visits</vt:lpstr>
      <vt:lpstr>calcR2LOB2Prod2Seg3Patients</vt:lpstr>
      <vt:lpstr>calcR2LOB2Prod2Seg3RunRate</vt:lpstr>
      <vt:lpstr>calcR2LOB2Prod2Seg3RunRateM1</vt:lpstr>
      <vt:lpstr>calcR2LOB2Prod2Seg3RunRateM2</vt:lpstr>
      <vt:lpstr>calcR2LOB2Prod2Seg3RunRateM3</vt:lpstr>
      <vt:lpstr>calcR2LOB2Prod2Seg3RunRateMM</vt:lpstr>
      <vt:lpstr>calcR2LOB2RunRate</vt:lpstr>
      <vt:lpstr>calcR2LOB2RunRateM1</vt:lpstr>
      <vt:lpstr>calcR2LOB2RunRateM2</vt:lpstr>
      <vt:lpstr>calcR2LOB2RunRateM3</vt:lpstr>
      <vt:lpstr>calcR2LOB2RunRateMM</vt:lpstr>
      <vt:lpstr>calcR2LOB2Stars</vt:lpstr>
      <vt:lpstr>calcR2TableLOB1CSAT</vt:lpstr>
      <vt:lpstr>calcR2TableLOB1ESAT</vt:lpstr>
      <vt:lpstr>calcR2TableLOB1Stars</vt:lpstr>
      <vt:lpstr>calcR2TableLOB2CSAT</vt:lpstr>
      <vt:lpstr>calcR2TableLOB2ESAT</vt:lpstr>
      <vt:lpstr>calcR2TableLOB2Stars</vt:lpstr>
      <vt:lpstr>calcTableLOB1CSAT</vt:lpstr>
      <vt:lpstr>calcTableLOB1ESAT</vt:lpstr>
      <vt:lpstr>calcTableLOB1Stars</vt:lpstr>
      <vt:lpstr>calcTableLOB2CSAT</vt:lpstr>
      <vt:lpstr>calcTableLOB2ESAT</vt:lpstr>
      <vt:lpstr>calcTableLOB2Stars</vt:lpstr>
      <vt:lpstr>calLOB1FullEmp</vt:lpstr>
      <vt:lpstr>calLOB1PartEmp</vt:lpstr>
      <vt:lpstr>calLOB2FullEmp</vt:lpstr>
      <vt:lpstr>calLOB2PartEmp</vt:lpstr>
      <vt:lpstr>cbal_Paste</vt:lpstr>
      <vt:lpstr>cbalCSAT</vt:lpstr>
      <vt:lpstr>cbalESAT</vt:lpstr>
      <vt:lpstr>cbalLOB1AddFullTime</vt:lpstr>
      <vt:lpstr>cbalLOB1AddPartTime</vt:lpstr>
      <vt:lpstr>cbalLOB1AdminTimeClinician1</vt:lpstr>
      <vt:lpstr>cbalLOB1AdminTimeClinician10</vt:lpstr>
      <vt:lpstr>cbalLOB1AdminTimeClinician11</vt:lpstr>
      <vt:lpstr>cbalLOB1AdminTimeClinician12</vt:lpstr>
      <vt:lpstr>cbalLOB1AdminTimeClinician2</vt:lpstr>
      <vt:lpstr>cbalLOB1AdminTimeClinician3</vt:lpstr>
      <vt:lpstr>cbalLOB1AdminTimeClinician4</vt:lpstr>
      <vt:lpstr>cbalLOB1AdminTimeClinician5</vt:lpstr>
      <vt:lpstr>cbalLOB1AdminTimeClinician6</vt:lpstr>
      <vt:lpstr>cbalLOB1AdminTimeClinician7</vt:lpstr>
      <vt:lpstr>cbalLOB1AdminTimeClinician8</vt:lpstr>
      <vt:lpstr>cbalLOB1AdminTimeClinician9</vt:lpstr>
      <vt:lpstr>cbalLOB1AvgBaseProdClinician11</vt:lpstr>
      <vt:lpstr>cbalLOB1AvgBaseProdClinician12</vt:lpstr>
      <vt:lpstr>cbalLOB1AvgMissClinician1</vt:lpstr>
      <vt:lpstr>cbalLOB1AvgMissClinician10</vt:lpstr>
      <vt:lpstr>cbalLOB1AvgMissClinician11</vt:lpstr>
      <vt:lpstr>cbalLOB1AvgMissClinician12</vt:lpstr>
      <vt:lpstr>cbalLOB1AvgMissClinician2</vt:lpstr>
      <vt:lpstr>cbalLOB1AvgMissClinician3</vt:lpstr>
      <vt:lpstr>cbalLOB1AvgMissClinician4</vt:lpstr>
      <vt:lpstr>cbalLOB1AvgMissClinician5</vt:lpstr>
      <vt:lpstr>cbalLOB1AvgMissClinician6</vt:lpstr>
      <vt:lpstr>cbalLOB1AvgMissClinician7</vt:lpstr>
      <vt:lpstr>cbalLOB1AvgMissClinician8</vt:lpstr>
      <vt:lpstr>cbalLOB1AvgMissClinician9</vt:lpstr>
      <vt:lpstr>cbalLOB1AvgMissPercClinician1</vt:lpstr>
      <vt:lpstr>cbalLOB1AvgMissPercClinician10</vt:lpstr>
      <vt:lpstr>cbalLOB1AvgMissPercClinician11</vt:lpstr>
      <vt:lpstr>cbalLOB1AvgMissPercClinician12</vt:lpstr>
      <vt:lpstr>cbalLOB1AvgMissPercClinician13</vt:lpstr>
      <vt:lpstr>cbalLOB1AvgMissPercClinician14</vt:lpstr>
      <vt:lpstr>cbalLOB1AvgMissPercClinician15</vt:lpstr>
      <vt:lpstr>cbalLOB1AvgMissPercClinician16</vt:lpstr>
      <vt:lpstr>cbalLOB1AvgMissPercClinician2</vt:lpstr>
      <vt:lpstr>cbalLOB1AvgMissPercClinician3</vt:lpstr>
      <vt:lpstr>cbalLOB1AvgMissPercClinician4</vt:lpstr>
      <vt:lpstr>cbalLOB1AvgMissPercClinician5</vt:lpstr>
      <vt:lpstr>cbalLOB1AvgMissPercClinician6</vt:lpstr>
      <vt:lpstr>cbalLOB1AvgMissPercClinician7</vt:lpstr>
      <vt:lpstr>cbalLOB1AvgMissPercClinician8</vt:lpstr>
      <vt:lpstr>cbalLOB1AvgMissPercClinician9</vt:lpstr>
      <vt:lpstr>cbalLOB1AvgProdClinician1</vt:lpstr>
      <vt:lpstr>cbalLOB1AvgProdClinician10</vt:lpstr>
      <vt:lpstr>cbalLOB1AvgProdClinician11</vt:lpstr>
      <vt:lpstr>cbalLOB1AvgProdClinician12</vt:lpstr>
      <vt:lpstr>cbalLOB1AvgProdClinician13</vt:lpstr>
      <vt:lpstr>cbalLOB1AvgProdClinician14</vt:lpstr>
      <vt:lpstr>cbalLOB1AvgProdClinician15</vt:lpstr>
      <vt:lpstr>cbalLOB1AvgProdClinician16</vt:lpstr>
      <vt:lpstr>cbalLOB1AvgProdClinician2</vt:lpstr>
      <vt:lpstr>cbalLOB1AvgProdClinician3</vt:lpstr>
      <vt:lpstr>cbalLOB1AvgProdClinician4</vt:lpstr>
      <vt:lpstr>cbalLOB1AvgProdClinician5</vt:lpstr>
      <vt:lpstr>cbalLOB1AvgProdClinician6</vt:lpstr>
      <vt:lpstr>cbalLOB1AvgProdClinician7</vt:lpstr>
      <vt:lpstr>cbalLOB1AvgProdClinician8</vt:lpstr>
      <vt:lpstr>cbalLOB1AvgProdClinician9</vt:lpstr>
      <vt:lpstr>cbalLOB1AvgUtilization</vt:lpstr>
      <vt:lpstr>cbalLOB1BaseProdClinician13</vt:lpstr>
      <vt:lpstr>cbalLOB1BaseProdClinician14</vt:lpstr>
      <vt:lpstr>cbalLOB1BaseProdClinician15</vt:lpstr>
      <vt:lpstr>cbalLOB1BaseProdClinician16</vt:lpstr>
      <vt:lpstr>cbalLOB1BDEngage</vt:lpstr>
      <vt:lpstr>cbalLOB1ClinicianAvgMissPerc</vt:lpstr>
      <vt:lpstr>cbalLOB1CSAT</vt:lpstr>
      <vt:lpstr>cbalLOB1Disc1Retention</vt:lpstr>
      <vt:lpstr>cbalLOB1Disc2Retention</vt:lpstr>
      <vt:lpstr>cbalLOB1Disc3Retention</vt:lpstr>
      <vt:lpstr>cbalLOB1Disc4Retention</vt:lpstr>
      <vt:lpstr>cbalLOB1DiscClinician1</vt:lpstr>
      <vt:lpstr>cbalLOB1DiscClinician10</vt:lpstr>
      <vt:lpstr>cbalLOB1DiscClinician11</vt:lpstr>
      <vt:lpstr>cbalLOB1DiscClinician12</vt:lpstr>
      <vt:lpstr>cbalLOB1DiscClinician13</vt:lpstr>
      <vt:lpstr>cbalLOB1DiscClinician14</vt:lpstr>
      <vt:lpstr>cbalLOB1DiscClinician15</vt:lpstr>
      <vt:lpstr>cbalLOB1DiscClinician16</vt:lpstr>
      <vt:lpstr>cbalLOB1DiscClinician2</vt:lpstr>
      <vt:lpstr>cbalLOB1DiscClinician3</vt:lpstr>
      <vt:lpstr>cbalLOB1DiscClinician4</vt:lpstr>
      <vt:lpstr>cbalLOB1DiscClinician5</vt:lpstr>
      <vt:lpstr>cbalLOB1DiscClinician6</vt:lpstr>
      <vt:lpstr>cbalLOB1DiscClinician7</vt:lpstr>
      <vt:lpstr>cbalLOB1DiscClinician8</vt:lpstr>
      <vt:lpstr>cbalLOB1DiscClinician9</vt:lpstr>
      <vt:lpstr>cbalLOB1DOOTime1</vt:lpstr>
      <vt:lpstr>cbalLOB1DOOTime2</vt:lpstr>
      <vt:lpstr>cbalLOB1DOOTime3</vt:lpstr>
      <vt:lpstr>cbalLOB1DOOTime4</vt:lpstr>
      <vt:lpstr>cbalLOB1DOOTime5</vt:lpstr>
      <vt:lpstr>cbalLOB1DOOTime6</vt:lpstr>
      <vt:lpstr>cbalLOB1DOOTotalTime</vt:lpstr>
      <vt:lpstr>cbalLOB1DOOUtilization</vt:lpstr>
      <vt:lpstr>cbalLOB1Emp1CostPVisit</vt:lpstr>
      <vt:lpstr>cbalLOB1Emp1Seg1RevPVisit</vt:lpstr>
      <vt:lpstr>cbalLOB1Emp1Seg2RevPVisit</vt:lpstr>
      <vt:lpstr>cbalLOB1Emp1Seg3RevPVisit</vt:lpstr>
      <vt:lpstr>cbalLOB1Emp1VisitPEp</vt:lpstr>
      <vt:lpstr>cbalLOB1Emp2CostPVisit</vt:lpstr>
      <vt:lpstr>cbalLOB1Emp2Seg1RevPVisit</vt:lpstr>
      <vt:lpstr>cbalLOB1Emp2Seg2RevPVisit</vt:lpstr>
      <vt:lpstr>cbalLOB1Emp2Seg3RevPVisit</vt:lpstr>
      <vt:lpstr>cbalLOB1Emp2VisitPEp</vt:lpstr>
      <vt:lpstr>cbalLOB1Emp3CostPVisit</vt:lpstr>
      <vt:lpstr>cbalLOB1Emp3Seg1RevPVisit</vt:lpstr>
      <vt:lpstr>cbalLOB1Emp3Seg2RevPVisit</vt:lpstr>
      <vt:lpstr>cbalLOB1Emp3Seg3RevPVisit</vt:lpstr>
      <vt:lpstr>cbalLOB1Emp3VisitPEp</vt:lpstr>
      <vt:lpstr>cbalLOB1EmpStatClinician1</vt:lpstr>
      <vt:lpstr>cbalLOB1EmpStatClinician10</vt:lpstr>
      <vt:lpstr>cbalLOB1EmpStatClinician11</vt:lpstr>
      <vt:lpstr>cbalLOB1EmpStatClinician12</vt:lpstr>
      <vt:lpstr>cbalLOB1EmpStatClinician13</vt:lpstr>
      <vt:lpstr>cbalLOB1EmpStatClinician14</vt:lpstr>
      <vt:lpstr>cbalLOB1EmpStatClinician15</vt:lpstr>
      <vt:lpstr>cbalLOB1EmpStatClinician16</vt:lpstr>
      <vt:lpstr>cbalLOB1EmpStatClinician2</vt:lpstr>
      <vt:lpstr>cbalLOB1EmpStatClinician3</vt:lpstr>
      <vt:lpstr>cbalLOB1EmpStatClinician4</vt:lpstr>
      <vt:lpstr>cbalLOB1EmpStatClinician5</vt:lpstr>
      <vt:lpstr>cbalLOB1EmpStatClinician6</vt:lpstr>
      <vt:lpstr>cbalLOB1EmpStatClinician7</vt:lpstr>
      <vt:lpstr>cbalLOB1EmpStatClinician8</vt:lpstr>
      <vt:lpstr>cbalLOB1EmpStatClinician9</vt:lpstr>
      <vt:lpstr>cbalLOB1ESAT</vt:lpstr>
      <vt:lpstr>cbalLOB1FullEmpOverhead</vt:lpstr>
      <vt:lpstr>cbalLOB1MarketShare</vt:lpstr>
      <vt:lpstr>cbalLOB1MileageClinician1</vt:lpstr>
      <vt:lpstr>cbalLOB1MileageClinician10</vt:lpstr>
      <vt:lpstr>cbalLOB1MileageClinician11</vt:lpstr>
      <vt:lpstr>cbalLOB1MileageClinician12</vt:lpstr>
      <vt:lpstr>cbalLOB1MileageClinician2</vt:lpstr>
      <vt:lpstr>cbalLOB1MileageClinician3</vt:lpstr>
      <vt:lpstr>cbalLOB1MileageClinician4</vt:lpstr>
      <vt:lpstr>cbalLOB1MileageClinician5</vt:lpstr>
      <vt:lpstr>cbalLOB1MileageClinician6</vt:lpstr>
      <vt:lpstr>cbalLOB1MileageClinician7</vt:lpstr>
      <vt:lpstr>cbalLOB1MileageClinician8</vt:lpstr>
      <vt:lpstr>cbalLOB1MileageClinician9</vt:lpstr>
      <vt:lpstr>cbalLOB1MileagePVisitClinician1</vt:lpstr>
      <vt:lpstr>cbalLOB1MileagePVisitClinician10</vt:lpstr>
      <vt:lpstr>cbalLOB1MileagePVisitClinician11</vt:lpstr>
      <vt:lpstr>cbalLOB1MileagePVisitClinician12</vt:lpstr>
      <vt:lpstr>cbalLOB1MileagePVisitClinician2</vt:lpstr>
      <vt:lpstr>cbalLOB1MileagePVisitClinician3</vt:lpstr>
      <vt:lpstr>cbalLOB1MileagePVisitClinician4</vt:lpstr>
      <vt:lpstr>cbalLOB1MileagePVisitClinician5</vt:lpstr>
      <vt:lpstr>cbalLOB1MileagePVisitClinician6</vt:lpstr>
      <vt:lpstr>cbalLOB1MileagePVisitClinician7</vt:lpstr>
      <vt:lpstr>cbalLOB1MileagePVisitClinician8</vt:lpstr>
      <vt:lpstr>cbalLOB1MileagePVisitClinician9</vt:lpstr>
      <vt:lpstr>cbalLOB1NameClinician1</vt:lpstr>
      <vt:lpstr>cbalLOB1NameClinician10</vt:lpstr>
      <vt:lpstr>cbalLOB1NameClinician11</vt:lpstr>
      <vt:lpstr>cbalLOB1NameClinician12</vt:lpstr>
      <vt:lpstr>cbalLOB1NameClinician2</vt:lpstr>
      <vt:lpstr>cbalLOB1NameClinician3</vt:lpstr>
      <vt:lpstr>cbalLOB1NameClinician4</vt:lpstr>
      <vt:lpstr>cbalLOB1NameClinician5</vt:lpstr>
      <vt:lpstr>cbalLOB1NameClinician6</vt:lpstr>
      <vt:lpstr>cbalLOB1NameClinician7</vt:lpstr>
      <vt:lpstr>cbalLOB1NameClinician8</vt:lpstr>
      <vt:lpstr>cbalLOB1NameClinician9</vt:lpstr>
      <vt:lpstr>cbalLOB1NumProdClinician13</vt:lpstr>
      <vt:lpstr>cbalLOB1NumProdClinician14</vt:lpstr>
      <vt:lpstr>cbalLOB1NumProdClinician15</vt:lpstr>
      <vt:lpstr>cbalLOB1NumProdClinician16</vt:lpstr>
      <vt:lpstr>cbalLOB1PartEmpOverhead</vt:lpstr>
      <vt:lpstr>cbalLOB1Prod2Seg1Perc</vt:lpstr>
      <vt:lpstr>cbalLOB1Prod2Seg2Perc</vt:lpstr>
      <vt:lpstr>cbalLOB1Prod2Seg3Perc</vt:lpstr>
      <vt:lpstr>cbalLOB1Rev</vt:lpstr>
      <vt:lpstr>cbalLOB1RevGrowth</vt:lpstr>
      <vt:lpstr>cbalLOB1Seg1Perc</vt:lpstr>
      <vt:lpstr>cbalLOB1Seg2Perc</vt:lpstr>
      <vt:lpstr>cbalLOB1Seg3Perc</vt:lpstr>
      <vt:lpstr>cbalLOB1Stars</vt:lpstr>
      <vt:lpstr>cbalLOB2AddFullTime</vt:lpstr>
      <vt:lpstr>cbalLOB2AddPartTime</vt:lpstr>
      <vt:lpstr>cbalLOB2AdminTimeClinician1</vt:lpstr>
      <vt:lpstr>cbalLOB2AdminTimeClinician10</vt:lpstr>
      <vt:lpstr>cbalLOB2AdminTimeClinician11</vt:lpstr>
      <vt:lpstr>cbalLOB2AdminTimeClinician12</vt:lpstr>
      <vt:lpstr>cbalLOB2AdminTimeClinician2</vt:lpstr>
      <vt:lpstr>cbalLOB2AdminTimeClinician3</vt:lpstr>
      <vt:lpstr>cbalLOB2AdminTimeClinician4</vt:lpstr>
      <vt:lpstr>cbalLOB2AdminTimeClinician5</vt:lpstr>
      <vt:lpstr>cbalLOB2AdminTimeClinician6</vt:lpstr>
      <vt:lpstr>cbalLOB2AdminTimeClinician7</vt:lpstr>
      <vt:lpstr>cbalLOB2AdminTimeClinician8</vt:lpstr>
      <vt:lpstr>cbalLOB2AdminTimeClinician9</vt:lpstr>
      <vt:lpstr>cbalLOB2AvgBaseProdClinician11</vt:lpstr>
      <vt:lpstr>cbalLOB2AvgBaseProdClinician12</vt:lpstr>
      <vt:lpstr>cbalLOB2AvgMissPercClinician1</vt:lpstr>
      <vt:lpstr>cbalLOB2AvgMissPercClinician10</vt:lpstr>
      <vt:lpstr>cbalLOB2AvgMissPercClinician11</vt:lpstr>
      <vt:lpstr>cbalLOB2AvgMissPercClinician12</vt:lpstr>
      <vt:lpstr>cbalLOB2AvgMissPercClinician13</vt:lpstr>
      <vt:lpstr>cbalLOB2AvgMissPercClinician14</vt:lpstr>
      <vt:lpstr>cbalLOB2AvgMissPercClinician15</vt:lpstr>
      <vt:lpstr>cbalLOB2AvgMissPercClinician16</vt:lpstr>
      <vt:lpstr>cbalLOB2AvgMissPercClinician2</vt:lpstr>
      <vt:lpstr>cbalLOB2AvgMissPercClinician3</vt:lpstr>
      <vt:lpstr>cbalLOB2AvgMissPercClinician4</vt:lpstr>
      <vt:lpstr>cbalLOB2AvgMissPercClinician5</vt:lpstr>
      <vt:lpstr>cbalLOB2AvgMissPercClinician6</vt:lpstr>
      <vt:lpstr>cbalLOB2AvgMissPercClinician7</vt:lpstr>
      <vt:lpstr>cbalLOB2AvgMissPercClinician8</vt:lpstr>
      <vt:lpstr>cbalLOB2AvgMissPercClinician9</vt:lpstr>
      <vt:lpstr>cbalLOB2AvgProdClinician1</vt:lpstr>
      <vt:lpstr>cbalLOB2AvgProdClinician10</vt:lpstr>
      <vt:lpstr>cbalLOB2AvgProdClinician11</vt:lpstr>
      <vt:lpstr>cbalLOB2AvgProdClinician12</vt:lpstr>
      <vt:lpstr>cbalLOB2AvgProdClinician13</vt:lpstr>
      <vt:lpstr>cbalLOB2AvgProdClinician14</vt:lpstr>
      <vt:lpstr>cbalLOB2AvgProdClinician15</vt:lpstr>
      <vt:lpstr>cbalLOB2AvgProdClinician16</vt:lpstr>
      <vt:lpstr>cbalLOB2AvgProdClinician2</vt:lpstr>
      <vt:lpstr>cbalLOB2AvgProdClinician3</vt:lpstr>
      <vt:lpstr>cbalLOB2AvgProdClinician4</vt:lpstr>
      <vt:lpstr>cbalLOB2AvgProdClinician5</vt:lpstr>
      <vt:lpstr>cbalLOB2AvgProdClinician6</vt:lpstr>
      <vt:lpstr>cbalLOB2AvgProdClinician7</vt:lpstr>
      <vt:lpstr>cbalLOB2AvgProdClinician8</vt:lpstr>
      <vt:lpstr>cbalLOB2AvgProdClinician9</vt:lpstr>
      <vt:lpstr>cbalLOB2AvgUtilization</vt:lpstr>
      <vt:lpstr>cbalLOB2BaseProdClinician13</vt:lpstr>
      <vt:lpstr>cbalLOB2BaseProdClinician14</vt:lpstr>
      <vt:lpstr>cbalLOB2BaseProdClinician15</vt:lpstr>
      <vt:lpstr>cbalLOB2BaseProdClinician16</vt:lpstr>
      <vt:lpstr>cbalLOB2BDEngage</vt:lpstr>
      <vt:lpstr>cbalLOB2ClinicianAvgMissPerc</vt:lpstr>
      <vt:lpstr>cbalLOB2CSAT</vt:lpstr>
      <vt:lpstr>cbalLOB2Disc1Retention</vt:lpstr>
      <vt:lpstr>cbalLOB2Disc2Retention</vt:lpstr>
      <vt:lpstr>cbalLOB2Disc3Retention</vt:lpstr>
      <vt:lpstr>cbalLOB2Disc4Retention</vt:lpstr>
      <vt:lpstr>cbalLOB2DiscClinician1</vt:lpstr>
      <vt:lpstr>cbalLOB2DiscClinician10</vt:lpstr>
      <vt:lpstr>cbalLOB2DiscClinician11</vt:lpstr>
      <vt:lpstr>cbalLOB2DiscClinician12</vt:lpstr>
      <vt:lpstr>cbalLOB2DiscClinician13</vt:lpstr>
      <vt:lpstr>cbalLOB2DiscClinician14</vt:lpstr>
      <vt:lpstr>cbalLOB2DiscClinician15</vt:lpstr>
      <vt:lpstr>cbalLOB2DiscClinician16</vt:lpstr>
      <vt:lpstr>cbalLOB2DiscClinician2</vt:lpstr>
      <vt:lpstr>cbalLOB2DiscClinician3</vt:lpstr>
      <vt:lpstr>cbalLOB2DiscClinician4</vt:lpstr>
      <vt:lpstr>cbalLOB2DiscClinician5</vt:lpstr>
      <vt:lpstr>cbalLOB2DiscClinician6</vt:lpstr>
      <vt:lpstr>cbalLOB2DiscClinician7</vt:lpstr>
      <vt:lpstr>cbalLOB2DiscClinician8</vt:lpstr>
      <vt:lpstr>cbalLOB2DiscClinician9</vt:lpstr>
      <vt:lpstr>cbalLOB2DOOTime1</vt:lpstr>
      <vt:lpstr>cbalLOB2DOOTime2</vt:lpstr>
      <vt:lpstr>cbalLOB2DOOTime3</vt:lpstr>
      <vt:lpstr>cbalLOB2DOOTime4</vt:lpstr>
      <vt:lpstr>cbalLOB2DOOTime5</vt:lpstr>
      <vt:lpstr>cbalLOB2DOOTime6</vt:lpstr>
      <vt:lpstr>cbalLOB2DOOTotalTime</vt:lpstr>
      <vt:lpstr>cbalLOB2DOOUtilization</vt:lpstr>
      <vt:lpstr>cbalLOB2Emp1CostPVisit</vt:lpstr>
      <vt:lpstr>cbalLOB2Emp1Seg1RevPVisit</vt:lpstr>
      <vt:lpstr>cbalLOB2Emp1Seg2RevPVisit</vt:lpstr>
      <vt:lpstr>cbalLOB2Emp1Seg3RevPVisit</vt:lpstr>
      <vt:lpstr>cbalLOB2Emp1VisitPEp</vt:lpstr>
      <vt:lpstr>cbalLOB2Emp2CostPVisit</vt:lpstr>
      <vt:lpstr>cbalLOB2Emp2Seg1RevPVisit</vt:lpstr>
      <vt:lpstr>cbalLOB2Emp2Seg2RevPVisit</vt:lpstr>
      <vt:lpstr>cbalLOB2Emp2Seg3RevPVisit</vt:lpstr>
      <vt:lpstr>cbalLOB2Emp2VisitPEp</vt:lpstr>
      <vt:lpstr>cbalLOB2Emp3CostPVisit</vt:lpstr>
      <vt:lpstr>cbalLOB2Emp3Seg1RevPVisit</vt:lpstr>
      <vt:lpstr>cbalLOB2Emp3Seg2RevPVisit</vt:lpstr>
      <vt:lpstr>cbalLOB2Emp3Seg3RevPVisit</vt:lpstr>
      <vt:lpstr>cbalLOB2Emp3VisitPEp</vt:lpstr>
      <vt:lpstr>cbalLOB2EmpStatClinician1</vt:lpstr>
      <vt:lpstr>cbalLOB2EmpStatClinician10</vt:lpstr>
      <vt:lpstr>cbalLOB2EmpStatClinician11</vt:lpstr>
      <vt:lpstr>cbalLOB2EmpStatClinician12</vt:lpstr>
      <vt:lpstr>cbalLOB2EmpStatClinician13</vt:lpstr>
      <vt:lpstr>cbalLOB2EmpStatClinician14</vt:lpstr>
      <vt:lpstr>cbalLOB2EmpStatClinician15</vt:lpstr>
      <vt:lpstr>cbalLOB2EmpStatClinician16</vt:lpstr>
      <vt:lpstr>cbalLOB2EmpStatClinician2</vt:lpstr>
      <vt:lpstr>cbalLOB2EmpStatClinician3</vt:lpstr>
      <vt:lpstr>cbalLOB2EmpStatClinician4</vt:lpstr>
      <vt:lpstr>cbalLOB2EmpStatClinician5</vt:lpstr>
      <vt:lpstr>cbalLOB2EmpStatClinician6</vt:lpstr>
      <vt:lpstr>cbalLOB2EmpStatClinician7</vt:lpstr>
      <vt:lpstr>cbalLOB2EmpStatClinician8</vt:lpstr>
      <vt:lpstr>cbalLOB2EmpStatClinician9</vt:lpstr>
      <vt:lpstr>cbalLOB2ESAT</vt:lpstr>
      <vt:lpstr>cbalLOB2FullEmpOverhead</vt:lpstr>
      <vt:lpstr>cbalLOB2MarketShare</vt:lpstr>
      <vt:lpstr>cbalLOB2MileageClinician1</vt:lpstr>
      <vt:lpstr>cbalLOB2MileageClinician10</vt:lpstr>
      <vt:lpstr>cbalLOB2MileageClinician11</vt:lpstr>
      <vt:lpstr>cbalLOB2MileageClinician12</vt:lpstr>
      <vt:lpstr>cbalLOB2MileageClinician2</vt:lpstr>
      <vt:lpstr>cbalLOB2MileageClinician3</vt:lpstr>
      <vt:lpstr>cbalLOB2MileageClinician4</vt:lpstr>
      <vt:lpstr>cbalLOB2MileageClinician5</vt:lpstr>
      <vt:lpstr>cbalLOB2MileageClinician6</vt:lpstr>
      <vt:lpstr>cbalLOB2MileageClinician7</vt:lpstr>
      <vt:lpstr>cbalLOB2MileageClinician8</vt:lpstr>
      <vt:lpstr>cbalLOB2MileageClinician9</vt:lpstr>
      <vt:lpstr>cbalLOB2MileagePVisitClinician1</vt:lpstr>
      <vt:lpstr>cbalLOB2MileagePVisitClinician10</vt:lpstr>
      <vt:lpstr>cbalLOB2MileagePVisitClinician11</vt:lpstr>
      <vt:lpstr>cbalLOB2MileagePVisitClinician12</vt:lpstr>
      <vt:lpstr>cbalLOB2MileagePVisitClinician2</vt:lpstr>
      <vt:lpstr>cbalLOB2MileagePVisitClinician3</vt:lpstr>
      <vt:lpstr>cbalLOB2MileagePVisitClinician4</vt:lpstr>
      <vt:lpstr>cbalLOB2MileagePVisitClinician5</vt:lpstr>
      <vt:lpstr>cbalLOB2MileagePVisitClinician6</vt:lpstr>
      <vt:lpstr>cbalLOB2MileagePVisitClinician7</vt:lpstr>
      <vt:lpstr>cbalLOB2MileagePVisitClinician8</vt:lpstr>
      <vt:lpstr>cbalLOB2MileagePVisitClinician9</vt:lpstr>
      <vt:lpstr>cbalLOB2NameClinician1</vt:lpstr>
      <vt:lpstr>cbalLOB2NameClinician10</vt:lpstr>
      <vt:lpstr>cbalLOB2NameClinician11</vt:lpstr>
      <vt:lpstr>cbalLOB2NameClinician12</vt:lpstr>
      <vt:lpstr>cbalLOB2NameClinician2</vt:lpstr>
      <vt:lpstr>cbalLOB2NameClinician3</vt:lpstr>
      <vt:lpstr>cbalLOB2NameClinician4</vt:lpstr>
      <vt:lpstr>cbalLOB2NameClinician5</vt:lpstr>
      <vt:lpstr>cbalLOB2NameClinician6</vt:lpstr>
      <vt:lpstr>cbalLOB2NameClinician7</vt:lpstr>
      <vt:lpstr>cbalLOB2NameClinician8</vt:lpstr>
      <vt:lpstr>cbalLOB2NameClinician9</vt:lpstr>
      <vt:lpstr>cbalLOB2NumProdClinician13</vt:lpstr>
      <vt:lpstr>cbalLOB2NumProdClinician14</vt:lpstr>
      <vt:lpstr>cbalLOB2NumProdClinician15</vt:lpstr>
      <vt:lpstr>cbalLOB2NumProdClinician16</vt:lpstr>
      <vt:lpstr>cbalLOB2PartEmpOverhead</vt:lpstr>
      <vt:lpstr>cbalLOB2Prod2Seg1Perc</vt:lpstr>
      <vt:lpstr>cbalLOB2Prod2Seg2Perc</vt:lpstr>
      <vt:lpstr>cbalLOB2Prod2Seg3Perc</vt:lpstr>
      <vt:lpstr>cbalLOB2Rev</vt:lpstr>
      <vt:lpstr>cbalLOB2RevGrowth</vt:lpstr>
      <vt:lpstr>cbalLOB2Seg1Perc</vt:lpstr>
      <vt:lpstr>cbalLOB2Seg2Perc</vt:lpstr>
      <vt:lpstr>cbalLOB2Seg3Perc</vt:lpstr>
      <vt:lpstr>cbalLOB2Stars</vt:lpstr>
      <vt:lpstr>cbalR2_Paste</vt:lpstr>
      <vt:lpstr>cbalR2CSAT</vt:lpstr>
      <vt:lpstr>cbalR2ESAT</vt:lpstr>
      <vt:lpstr>cbalR2LOB1AddFullTime</vt:lpstr>
      <vt:lpstr>cbalR2LOB1AddPartTime</vt:lpstr>
      <vt:lpstr>cbalR2LOB1AdminTimeClinician1</vt:lpstr>
      <vt:lpstr>cbalR2LOB1AdminTimeClinician10</vt:lpstr>
      <vt:lpstr>cbalR2LOB1AdminTimeClinician11</vt:lpstr>
      <vt:lpstr>cbalR2LOB1AdminTimeClinician12</vt:lpstr>
      <vt:lpstr>cbalR2LOB1AdminTimeClinician2</vt:lpstr>
      <vt:lpstr>cbalR2LOB1AdminTimeClinician3</vt:lpstr>
      <vt:lpstr>cbalR2LOB1AdminTimeClinician4</vt:lpstr>
      <vt:lpstr>cbalR2LOB1AdminTimeClinician5</vt:lpstr>
      <vt:lpstr>cbalR2LOB1AdminTimeClinician6</vt:lpstr>
      <vt:lpstr>cbalR2LOB1AdminTimeClinician7</vt:lpstr>
      <vt:lpstr>cbalR2LOB1AdminTimeClinician8</vt:lpstr>
      <vt:lpstr>cbalR2LOB1AdminTimeClinician9</vt:lpstr>
      <vt:lpstr>cbalR2LOB1AvgBaseProdClinician11</vt:lpstr>
      <vt:lpstr>cbalR2LOB1AvgBaseProdClinician12</vt:lpstr>
      <vt:lpstr>cbalR2LOB1AvgMissClinician1</vt:lpstr>
      <vt:lpstr>cbalR2LOB1AvgMissClinician10</vt:lpstr>
      <vt:lpstr>cbalR2LOB1AvgMissClinician11</vt:lpstr>
      <vt:lpstr>cbalR2LOB1AvgMissClinician12</vt:lpstr>
      <vt:lpstr>cbalR2LOB1AvgMissClinician2</vt:lpstr>
      <vt:lpstr>cbalR2LOB1AvgMissClinician3</vt:lpstr>
      <vt:lpstr>cbalR2LOB1AvgMissClinician4</vt:lpstr>
      <vt:lpstr>cbalR2LOB1AvgMissClinician5</vt:lpstr>
      <vt:lpstr>cbalR2LOB1AvgMissClinician6</vt:lpstr>
      <vt:lpstr>cbalR2LOB1AvgMissClinician7</vt:lpstr>
      <vt:lpstr>cbalR2LOB1AvgMissClinician8</vt:lpstr>
      <vt:lpstr>cbalR2LOB1AvgMissClinician9</vt:lpstr>
      <vt:lpstr>cbalR2LOB1AvgMissPercClinician1</vt:lpstr>
      <vt:lpstr>cbalR2LOB1AvgMissPercClinician10</vt:lpstr>
      <vt:lpstr>cbalR2LOB1AvgMissPercClinician11</vt:lpstr>
      <vt:lpstr>cbalR2LOB1AvgMissPercClinician12</vt:lpstr>
      <vt:lpstr>cbalR2LOB1AvgMissPercClinician13</vt:lpstr>
      <vt:lpstr>cbalR2LOB1AvgMissPercClinician14</vt:lpstr>
      <vt:lpstr>cbalR2LOB1AvgMissPercClinician15</vt:lpstr>
      <vt:lpstr>cbalR2LOB1AvgMissPercClinician16</vt:lpstr>
      <vt:lpstr>cbalR2LOB1AvgMissPercClinician2</vt:lpstr>
      <vt:lpstr>cbalR2LOB1AvgMissPercClinician3</vt:lpstr>
      <vt:lpstr>cbalR2LOB1AvgMissPercClinician4</vt:lpstr>
      <vt:lpstr>cbalR2LOB1AvgMissPercClinician5</vt:lpstr>
      <vt:lpstr>cbalR2LOB1AvgMissPercClinician6</vt:lpstr>
      <vt:lpstr>cbalR2LOB1AvgMissPercClinician7</vt:lpstr>
      <vt:lpstr>cbalR2LOB1AvgMissPercClinician8</vt:lpstr>
      <vt:lpstr>cbalR2LOB1AvgMissPercClinician9</vt:lpstr>
      <vt:lpstr>cbalR2LOB1AvgProdClinician1</vt:lpstr>
      <vt:lpstr>cbalR2LOB1AvgProdClinician10</vt:lpstr>
      <vt:lpstr>cbalR2LOB1AvgProdClinician11</vt:lpstr>
      <vt:lpstr>cbalR2LOB1AvgProdClinician12</vt:lpstr>
      <vt:lpstr>cbalR2LOB1AvgProdClinician13</vt:lpstr>
      <vt:lpstr>cbalR2LOB1AvgProdClinician14</vt:lpstr>
      <vt:lpstr>cbalR2LOB1AvgProdClinician15</vt:lpstr>
      <vt:lpstr>cbalR2LOB1AvgProdClinician16</vt:lpstr>
      <vt:lpstr>cbalR2LOB1AvgProdClinician2</vt:lpstr>
      <vt:lpstr>cbalR2LOB1AvgProdClinician3</vt:lpstr>
      <vt:lpstr>cbalR2LOB1AvgProdClinician4</vt:lpstr>
      <vt:lpstr>cbalR2LOB1AvgProdClinician5</vt:lpstr>
      <vt:lpstr>cbalR2LOB1AvgProdClinician6</vt:lpstr>
      <vt:lpstr>cbalR2LOB1AvgProdClinician7</vt:lpstr>
      <vt:lpstr>cbalR2LOB1AvgProdClinician8</vt:lpstr>
      <vt:lpstr>cbalR2LOB1AvgProdClinician9</vt:lpstr>
      <vt:lpstr>cbalR2LOB1AvgUtilization</vt:lpstr>
      <vt:lpstr>cbalR2LOB1BaseProdClinician13</vt:lpstr>
      <vt:lpstr>cbalR2LOB1BaseProdClinician14</vt:lpstr>
      <vt:lpstr>cbalR2LOB1BaseProdClinician15</vt:lpstr>
      <vt:lpstr>cbalR2LOB1BaseProdClinician16</vt:lpstr>
      <vt:lpstr>cbalR2LOB1BDEngage</vt:lpstr>
      <vt:lpstr>cbalR2LOB1ClinicianAvgMissPerc</vt:lpstr>
      <vt:lpstr>cbalR2LOB1CSAT</vt:lpstr>
      <vt:lpstr>cbalR2LOB1Disc1Retention</vt:lpstr>
      <vt:lpstr>cbalR2LOB1Disc2Retention</vt:lpstr>
      <vt:lpstr>cbalR2LOB1Disc3Retention</vt:lpstr>
      <vt:lpstr>cbalR2LOB1Disc4Retention</vt:lpstr>
      <vt:lpstr>cbalR2LOB1DiscClinician1</vt:lpstr>
      <vt:lpstr>cbalR2LOB1DiscClinician10</vt:lpstr>
      <vt:lpstr>cbalR2LOB1DiscClinician11</vt:lpstr>
      <vt:lpstr>cbalR2LOB1DiscClinician12</vt:lpstr>
      <vt:lpstr>cbalR2LOB1DiscClinician13</vt:lpstr>
      <vt:lpstr>cbalR2LOB1DiscClinician14</vt:lpstr>
      <vt:lpstr>cbalR2LOB1DiscClinician15</vt:lpstr>
      <vt:lpstr>cbalR2LOB1DiscClinician16</vt:lpstr>
      <vt:lpstr>cbalR2LOB1DiscClinician2</vt:lpstr>
      <vt:lpstr>cbalR2LOB1DiscClinician3</vt:lpstr>
      <vt:lpstr>cbalR2LOB1DiscClinician4</vt:lpstr>
      <vt:lpstr>cbalR2LOB1DiscClinician5</vt:lpstr>
      <vt:lpstr>cbalR2LOB1DiscClinician6</vt:lpstr>
      <vt:lpstr>cbalR2LOB1DiscClinician7</vt:lpstr>
      <vt:lpstr>cbalR2LOB1DiscClinician8</vt:lpstr>
      <vt:lpstr>cbalR2LOB1DiscClinician9</vt:lpstr>
      <vt:lpstr>cbalR2LOB1DOOTime1</vt:lpstr>
      <vt:lpstr>cbalR2LOB1DOOTime2</vt:lpstr>
      <vt:lpstr>cbalR2LOB1DOOTime3</vt:lpstr>
      <vt:lpstr>cbalR2LOB1DOOTime4</vt:lpstr>
      <vt:lpstr>cbalR2LOB1DOOTime5</vt:lpstr>
      <vt:lpstr>cbalR2LOB1DOOTime6</vt:lpstr>
      <vt:lpstr>cbalR2LOB1DOOTotalTime</vt:lpstr>
      <vt:lpstr>cbalR2LOB1DOOUtilization</vt:lpstr>
      <vt:lpstr>cbalR2LOB1Emp1CostPVisit</vt:lpstr>
      <vt:lpstr>cbalR2LOB1Emp1Seg1RevPVisit</vt:lpstr>
      <vt:lpstr>cbalR2LOB1Emp1Seg2RevPVisit</vt:lpstr>
      <vt:lpstr>cbalR2LOB1Emp1Seg3RevPVisit</vt:lpstr>
      <vt:lpstr>cbalR2LOB1Emp1VisitPEp</vt:lpstr>
      <vt:lpstr>cbalR2LOB1Emp2CostPVisit</vt:lpstr>
      <vt:lpstr>cbalR2LOB1Emp2Seg1RevPVisit</vt:lpstr>
      <vt:lpstr>cbalR2LOB1Emp2Seg2RevPVisit</vt:lpstr>
      <vt:lpstr>cbalR2LOB1Emp2Seg3RevPVisit</vt:lpstr>
      <vt:lpstr>cbalR2LOB1Emp2VisitPEp</vt:lpstr>
      <vt:lpstr>cbalR2LOB1Emp3CostPVisit</vt:lpstr>
      <vt:lpstr>cbalR2LOB1Emp3Seg1RevPVisit</vt:lpstr>
      <vt:lpstr>cbalR2LOB1Emp3Seg2RevPVisit</vt:lpstr>
      <vt:lpstr>cbalR2LOB1Emp3Seg3RevPVisit</vt:lpstr>
      <vt:lpstr>cbalR2LOB1Emp3VisitPEp</vt:lpstr>
      <vt:lpstr>cbalR2LOB1EmpStatClinician1</vt:lpstr>
      <vt:lpstr>cbalR2LOB1EmpStatClinician10</vt:lpstr>
      <vt:lpstr>cbalR2LOB1EmpStatClinician11</vt:lpstr>
      <vt:lpstr>cbalR2LOB1EmpStatClinician12</vt:lpstr>
      <vt:lpstr>cbalR2LOB1EmpStatClinician13</vt:lpstr>
      <vt:lpstr>cbalR2LOB1EmpStatClinician14</vt:lpstr>
      <vt:lpstr>cbalR2LOB1EmpStatClinician15</vt:lpstr>
      <vt:lpstr>cbalR2LOB1EmpStatClinician16</vt:lpstr>
      <vt:lpstr>cbalR2LOB1EmpStatClinician2</vt:lpstr>
      <vt:lpstr>cbalR2LOB1EmpStatClinician3</vt:lpstr>
      <vt:lpstr>cbalR2LOB1EmpStatClinician4</vt:lpstr>
      <vt:lpstr>cbalR2LOB1EmpStatClinician5</vt:lpstr>
      <vt:lpstr>cbalR2LOB1EmpStatClinician6</vt:lpstr>
      <vt:lpstr>cbalR2LOB1EmpStatClinician7</vt:lpstr>
      <vt:lpstr>cbalR2LOB1EmpStatClinician8</vt:lpstr>
      <vt:lpstr>cbalR2LOB1EmpStatClinician9</vt:lpstr>
      <vt:lpstr>cbalR2LOB1ESAT</vt:lpstr>
      <vt:lpstr>cbalR2LOB1FullEmpOverhead</vt:lpstr>
      <vt:lpstr>cbalR2LOB1MarketShare</vt:lpstr>
      <vt:lpstr>cbalR2LOB1MileageClinician1</vt:lpstr>
      <vt:lpstr>cbalR2LOB1MileageClinician10</vt:lpstr>
      <vt:lpstr>cbalR2LOB1MileageClinician11</vt:lpstr>
      <vt:lpstr>cbalR2LOB1MileageClinician12</vt:lpstr>
      <vt:lpstr>cbalR2LOB1MileageClinician2</vt:lpstr>
      <vt:lpstr>cbalR2LOB1MileageClinician3</vt:lpstr>
      <vt:lpstr>cbalR2LOB1MileageClinician4</vt:lpstr>
      <vt:lpstr>cbalR2LOB1MileageClinician5</vt:lpstr>
      <vt:lpstr>cbalR2LOB1MileageClinician6</vt:lpstr>
      <vt:lpstr>cbalR2LOB1MileageClinician7</vt:lpstr>
      <vt:lpstr>cbalR2LOB1MileageClinician8</vt:lpstr>
      <vt:lpstr>cbalR2LOB1MileageClinician9</vt:lpstr>
      <vt:lpstr>cbalR2LOB1MileagePVisitClinician1</vt:lpstr>
      <vt:lpstr>cbalR2LOB1MileagePVisitClinician10</vt:lpstr>
      <vt:lpstr>cbalR2LOB1MileagePVisitClinician11</vt:lpstr>
      <vt:lpstr>cbalR2LOB1MileagePVisitClinician12</vt:lpstr>
      <vt:lpstr>cbalR2LOB1MileagePVisitClinician2</vt:lpstr>
      <vt:lpstr>cbalR2LOB1MileagePVisitClinician3</vt:lpstr>
      <vt:lpstr>cbalR2LOB1MileagePVisitClinician4</vt:lpstr>
      <vt:lpstr>cbalR2LOB1MileagePVisitClinician5</vt:lpstr>
      <vt:lpstr>cbalR2LOB1MileagePVisitClinician6</vt:lpstr>
      <vt:lpstr>cbalR2LOB1MileagePVisitClinician7</vt:lpstr>
      <vt:lpstr>cbalR2LOB1MileagePVisitClinician8</vt:lpstr>
      <vt:lpstr>cbalR2LOB1MileagePVisitClinician9</vt:lpstr>
      <vt:lpstr>cbalR2LOB1NameClinician1</vt:lpstr>
      <vt:lpstr>cbalR2LOB1NameClinician10</vt:lpstr>
      <vt:lpstr>cbalR2LOB1NameClinician11</vt:lpstr>
      <vt:lpstr>cbalR2LOB1NameClinician12</vt:lpstr>
      <vt:lpstr>cbalR2LOB1NameClinician2</vt:lpstr>
      <vt:lpstr>cbalR2LOB1NameClinician3</vt:lpstr>
      <vt:lpstr>cbalR2LOB1NameClinician4</vt:lpstr>
      <vt:lpstr>cbalR2LOB1NameClinician5</vt:lpstr>
      <vt:lpstr>cbalR2LOB1NameClinician6</vt:lpstr>
      <vt:lpstr>cbalR2LOB1NameClinician7</vt:lpstr>
      <vt:lpstr>cbalR2LOB1NameClinician8</vt:lpstr>
      <vt:lpstr>cbalR2LOB1NameClinician9</vt:lpstr>
      <vt:lpstr>cbalR2LOB1NumProdClinician13</vt:lpstr>
      <vt:lpstr>cbalR2LOB1NumProdClinician14</vt:lpstr>
      <vt:lpstr>cbalR2LOB1NumProdClinician15</vt:lpstr>
      <vt:lpstr>cbalR2LOB1NumProdClinician16</vt:lpstr>
      <vt:lpstr>cbalR2LOB1PartEmpOverhead</vt:lpstr>
      <vt:lpstr>cbalR2LOB1Prod2Seg1Perc</vt:lpstr>
      <vt:lpstr>cbalR2LOB1Prod2Seg2Perc</vt:lpstr>
      <vt:lpstr>cbalR2LOB1Prod2Seg3Perc</vt:lpstr>
      <vt:lpstr>cbalR2LOB1Rev</vt:lpstr>
      <vt:lpstr>cbalR2LOB1RevGrowth</vt:lpstr>
      <vt:lpstr>cbalR2LOB1Seg1Perc</vt:lpstr>
      <vt:lpstr>cbalR2LOB1Seg2Perc</vt:lpstr>
      <vt:lpstr>cbalR2LOB1Seg3Perc</vt:lpstr>
      <vt:lpstr>cbalR2LOB1Stars</vt:lpstr>
      <vt:lpstr>cbalR2LOB2AddFullTime</vt:lpstr>
      <vt:lpstr>cbalR2LOB2AddPartTime</vt:lpstr>
      <vt:lpstr>cbalR2LOB2AdminTimeClinician1</vt:lpstr>
      <vt:lpstr>cbalR2LOB2AdminTimeClinician10</vt:lpstr>
      <vt:lpstr>cbalR2LOB2AdminTimeClinician11</vt:lpstr>
      <vt:lpstr>cbalR2LOB2AdminTimeClinician12</vt:lpstr>
      <vt:lpstr>cbalR2LOB2AdminTimeClinician2</vt:lpstr>
      <vt:lpstr>cbalR2LOB2AdminTimeClinician3</vt:lpstr>
      <vt:lpstr>cbalR2LOB2AdminTimeClinician4</vt:lpstr>
      <vt:lpstr>cbalR2LOB2AdminTimeClinician5</vt:lpstr>
      <vt:lpstr>cbalR2LOB2AdminTimeClinician6</vt:lpstr>
      <vt:lpstr>cbalR2LOB2AdminTimeClinician7</vt:lpstr>
      <vt:lpstr>cbalR2LOB2AdminTimeClinician8</vt:lpstr>
      <vt:lpstr>cbalR2LOB2AdminTimeClinician9</vt:lpstr>
      <vt:lpstr>cbalR2LOB2AvgBaseProdClinician11</vt:lpstr>
      <vt:lpstr>cbalR2LOB2AvgBaseProdClinician12</vt:lpstr>
      <vt:lpstr>cbalR2LOB2AvgMissPercClinician1</vt:lpstr>
      <vt:lpstr>cbalR2LOB2AvgMissPercClinician10</vt:lpstr>
      <vt:lpstr>cbalR2LOB2AvgMissPercClinician11</vt:lpstr>
      <vt:lpstr>cbalR2LOB2AvgMissPercClinician12</vt:lpstr>
      <vt:lpstr>cbalR2LOB2AvgMissPercClinician13</vt:lpstr>
      <vt:lpstr>cbalR2LOB2AvgMissPercClinician14</vt:lpstr>
      <vt:lpstr>cbalR2LOB2AvgMissPercClinician15</vt:lpstr>
      <vt:lpstr>cbalR2LOB2AvgMissPercClinician16</vt:lpstr>
      <vt:lpstr>cbalR2LOB2AvgMissPercClinician2</vt:lpstr>
      <vt:lpstr>cbalR2LOB2AvgMissPercClinician3</vt:lpstr>
      <vt:lpstr>cbalR2LOB2AvgMissPercClinician4</vt:lpstr>
      <vt:lpstr>cbalR2LOB2AvgMissPercClinician5</vt:lpstr>
      <vt:lpstr>cbalR2LOB2AvgMissPercClinician6</vt:lpstr>
      <vt:lpstr>cbalR2LOB2AvgMissPercClinician7</vt:lpstr>
      <vt:lpstr>cbalR2LOB2AvgMissPercClinician8</vt:lpstr>
      <vt:lpstr>cbalR2LOB2AvgMissPercClinician9</vt:lpstr>
      <vt:lpstr>cbalR2LOB2AvgProdClinician1</vt:lpstr>
      <vt:lpstr>cbalR2LOB2AvgProdClinician10</vt:lpstr>
      <vt:lpstr>cbalR2LOB2AvgProdClinician11</vt:lpstr>
      <vt:lpstr>cbalR2LOB2AvgProdClinician12</vt:lpstr>
      <vt:lpstr>cbalR2LOB2AvgProdClinician13</vt:lpstr>
      <vt:lpstr>cbalR2LOB2AvgProdClinician14</vt:lpstr>
      <vt:lpstr>cbalR2LOB2AvgProdClinician15</vt:lpstr>
      <vt:lpstr>cbalR2LOB2AvgProdClinician16</vt:lpstr>
      <vt:lpstr>cbalR2LOB2AvgProdClinician2</vt:lpstr>
      <vt:lpstr>cbalR2LOB2AvgProdClinician3</vt:lpstr>
      <vt:lpstr>cbalR2LOB2AvgProdClinician4</vt:lpstr>
      <vt:lpstr>cbalR2LOB2AvgProdClinician5</vt:lpstr>
      <vt:lpstr>cbalR2LOB2AvgProdClinician6</vt:lpstr>
      <vt:lpstr>cbalR2LOB2AvgProdClinician7</vt:lpstr>
      <vt:lpstr>cbalR2LOB2AvgProdClinician8</vt:lpstr>
      <vt:lpstr>cbalR2LOB2AvgProdClinician9</vt:lpstr>
      <vt:lpstr>cbalR2LOB2AvgUtilization</vt:lpstr>
      <vt:lpstr>cbalR2LOB2BaseProdClinician13</vt:lpstr>
      <vt:lpstr>cbalR2LOB2BaseProdClinician14</vt:lpstr>
      <vt:lpstr>cbalR2LOB2BaseProdClinician15</vt:lpstr>
      <vt:lpstr>cbalR2LOB2BaseProdClinician16</vt:lpstr>
      <vt:lpstr>cbalR2LOB2BDEngage</vt:lpstr>
      <vt:lpstr>cbalR2LOB2ClinicianAvgMissPerc</vt:lpstr>
      <vt:lpstr>cbalR2LOB2CSAT</vt:lpstr>
      <vt:lpstr>cbalR2LOB2Disc1Retention</vt:lpstr>
      <vt:lpstr>cbalR2LOB2Disc2Retention</vt:lpstr>
      <vt:lpstr>cbalR2LOB2Disc3Retention</vt:lpstr>
      <vt:lpstr>cbalR2LOB2Disc4Retention</vt:lpstr>
      <vt:lpstr>cbalR2LOB2DiscClinician1</vt:lpstr>
      <vt:lpstr>cbalR2LOB2DiscClinician10</vt:lpstr>
      <vt:lpstr>cbalR2LOB2DiscClinician11</vt:lpstr>
      <vt:lpstr>cbalR2LOB2DiscClinician12</vt:lpstr>
      <vt:lpstr>cbalR2LOB2DiscClinician13</vt:lpstr>
      <vt:lpstr>cbalR2LOB2DiscClinician14</vt:lpstr>
      <vt:lpstr>cbalR2LOB2DiscClinician15</vt:lpstr>
      <vt:lpstr>cbalR2LOB2DiscClinician16</vt:lpstr>
      <vt:lpstr>cbalR2LOB2DiscClinician2</vt:lpstr>
      <vt:lpstr>cbalR2LOB2DiscClinician3</vt:lpstr>
      <vt:lpstr>cbalR2LOB2DiscClinician4</vt:lpstr>
      <vt:lpstr>cbalR2LOB2DiscClinician5</vt:lpstr>
      <vt:lpstr>cbalR2LOB2DiscClinician6</vt:lpstr>
      <vt:lpstr>cbalR2LOB2DiscClinician7</vt:lpstr>
      <vt:lpstr>cbalR2LOB2DiscClinician8</vt:lpstr>
      <vt:lpstr>cbalR2LOB2DiscClinician9</vt:lpstr>
      <vt:lpstr>cbalR2LOB2DOOTime1</vt:lpstr>
      <vt:lpstr>cbalR2LOB2DOOTime2</vt:lpstr>
      <vt:lpstr>cbalR2LOB2DOOTime3</vt:lpstr>
      <vt:lpstr>cbalR2LOB2DOOTime4</vt:lpstr>
      <vt:lpstr>cbalR2LOB2DOOTime5</vt:lpstr>
      <vt:lpstr>cbalR2LOB2DOOTime6</vt:lpstr>
      <vt:lpstr>cbalR2LOB2DOOTotalTime</vt:lpstr>
      <vt:lpstr>cbalR2LOB2DOOUtilization</vt:lpstr>
      <vt:lpstr>cbalR2LOB2Emp1CostPVisit</vt:lpstr>
      <vt:lpstr>cbalR2LOB2Emp1Seg1RevPVisit</vt:lpstr>
      <vt:lpstr>cbalR2LOB2Emp1Seg2RevPVisit</vt:lpstr>
      <vt:lpstr>cbalR2LOB2Emp1Seg3RevPVisit</vt:lpstr>
      <vt:lpstr>cbalR2LOB2Emp1VisitPEp</vt:lpstr>
      <vt:lpstr>cbalR2LOB2Emp2CostPVisit</vt:lpstr>
      <vt:lpstr>cbalR2LOB2Emp2Seg1RevPVisit</vt:lpstr>
      <vt:lpstr>cbalR2LOB2Emp2Seg2RevPVisit</vt:lpstr>
      <vt:lpstr>cbalR2LOB2Emp2Seg3RevPVisit</vt:lpstr>
      <vt:lpstr>cbalR2LOB2Emp2VisitPEp</vt:lpstr>
      <vt:lpstr>cbalR2LOB2Emp3CostPVisit</vt:lpstr>
      <vt:lpstr>cbalR2LOB2Emp3Seg1RevPVisit</vt:lpstr>
      <vt:lpstr>cbalR2LOB2Emp3Seg2RevPVisit</vt:lpstr>
      <vt:lpstr>cbalR2LOB2Emp3Seg3RevPVisit</vt:lpstr>
      <vt:lpstr>cbalR2LOB2Emp3VisitPEp</vt:lpstr>
      <vt:lpstr>cbalR2LOB2EmpStatClinician1</vt:lpstr>
      <vt:lpstr>cbalR2LOB2EmpStatClinician10</vt:lpstr>
      <vt:lpstr>cbalR2LOB2EmpStatClinician11</vt:lpstr>
      <vt:lpstr>cbalR2LOB2EmpStatClinician12</vt:lpstr>
      <vt:lpstr>cbalR2LOB2EmpStatClinician13</vt:lpstr>
      <vt:lpstr>cbalR2LOB2EmpStatClinician14</vt:lpstr>
      <vt:lpstr>cbalR2LOB2EmpStatClinician15</vt:lpstr>
      <vt:lpstr>cbalR2LOB2EmpStatClinician16</vt:lpstr>
      <vt:lpstr>cbalR2LOB2EmpStatClinician2</vt:lpstr>
      <vt:lpstr>cbalR2LOB2EmpStatClinician3</vt:lpstr>
      <vt:lpstr>cbalR2LOB2EmpStatClinician4</vt:lpstr>
      <vt:lpstr>cbalR2LOB2EmpStatClinician5</vt:lpstr>
      <vt:lpstr>cbalR2LOB2EmpStatClinician6</vt:lpstr>
      <vt:lpstr>cbalR2LOB2EmpStatClinician7</vt:lpstr>
      <vt:lpstr>cbalR2LOB2EmpStatClinician8</vt:lpstr>
      <vt:lpstr>cbalR2LOB2EmpStatClinician9</vt:lpstr>
      <vt:lpstr>cbalR2LOB2ESAT</vt:lpstr>
      <vt:lpstr>cbalR2LOB2FullEmpOverhead</vt:lpstr>
      <vt:lpstr>cbalR2LOB2MarketShare</vt:lpstr>
      <vt:lpstr>cbalR2LOB2MileageClinician1</vt:lpstr>
      <vt:lpstr>cbalR2LOB2MileageClinician10</vt:lpstr>
      <vt:lpstr>cbalR2LOB2MileageClinician11</vt:lpstr>
      <vt:lpstr>cbalR2LOB2MileageClinician12</vt:lpstr>
      <vt:lpstr>cbalR2LOB2MileageClinician2</vt:lpstr>
      <vt:lpstr>cbalR2LOB2MileageClinician3</vt:lpstr>
      <vt:lpstr>cbalR2LOB2MileageClinician4</vt:lpstr>
      <vt:lpstr>cbalR2LOB2MileageClinician5</vt:lpstr>
      <vt:lpstr>cbalR2LOB2MileageClinician6</vt:lpstr>
      <vt:lpstr>cbalR2LOB2MileageClinician7</vt:lpstr>
      <vt:lpstr>cbalR2LOB2MileageClinician8</vt:lpstr>
      <vt:lpstr>cbalR2LOB2MileageClinician9</vt:lpstr>
      <vt:lpstr>cbalR2LOB2MileagePVisitClinician1</vt:lpstr>
      <vt:lpstr>cbalR2LOB2MileagePVisitClinician10</vt:lpstr>
      <vt:lpstr>cbalR2LOB2MileagePVisitClinician11</vt:lpstr>
      <vt:lpstr>cbalR2LOB2MileagePVisitClinician12</vt:lpstr>
      <vt:lpstr>cbalR2LOB2MileagePVisitClinician2</vt:lpstr>
      <vt:lpstr>cbalR2LOB2MileagePVisitClinician3</vt:lpstr>
      <vt:lpstr>cbalR2LOB2MileagePVisitClinician4</vt:lpstr>
      <vt:lpstr>cbalR2LOB2MileagePVisitClinician5</vt:lpstr>
      <vt:lpstr>cbalR2LOB2MileagePVisitClinician6</vt:lpstr>
      <vt:lpstr>cbalR2LOB2MileagePVisitClinician7</vt:lpstr>
      <vt:lpstr>cbalR2LOB2MileagePVisitClinician8</vt:lpstr>
      <vt:lpstr>cbalR2LOB2MileagePVisitClinician9</vt:lpstr>
      <vt:lpstr>cbalR2LOB2NameClinician1</vt:lpstr>
      <vt:lpstr>cbalR2LOB2NameClinician10</vt:lpstr>
      <vt:lpstr>cbalR2LOB2NameClinician11</vt:lpstr>
      <vt:lpstr>cbalR2LOB2NameClinician12</vt:lpstr>
      <vt:lpstr>cbalR2LOB2NameClinician2</vt:lpstr>
      <vt:lpstr>cbalR2LOB2NameClinician3</vt:lpstr>
      <vt:lpstr>cbalR2LOB2NameClinician4</vt:lpstr>
      <vt:lpstr>cbalR2LOB2NameClinician5</vt:lpstr>
      <vt:lpstr>cbalR2LOB2NameClinician6</vt:lpstr>
      <vt:lpstr>cbalR2LOB2NameClinician7</vt:lpstr>
      <vt:lpstr>cbalR2LOB2NameClinician8</vt:lpstr>
      <vt:lpstr>cbalR2LOB2NameClinician9</vt:lpstr>
      <vt:lpstr>cbalR2LOB2NumProdClinician13</vt:lpstr>
      <vt:lpstr>cbalR2LOB2NumProdClinician14</vt:lpstr>
      <vt:lpstr>cbalR2LOB2NumProdClinician15</vt:lpstr>
      <vt:lpstr>cbalR2LOB2NumProdClinician16</vt:lpstr>
      <vt:lpstr>cbalR2LOB2PartEmpOverhead</vt:lpstr>
      <vt:lpstr>cbalR2LOB2Prod2Seg1Perc</vt:lpstr>
      <vt:lpstr>cbalR2LOB2Prod2Seg2Perc</vt:lpstr>
      <vt:lpstr>cbalR2LOB2Prod2Seg3Perc</vt:lpstr>
      <vt:lpstr>cbalR2LOB2Rev</vt:lpstr>
      <vt:lpstr>cbalR2LOB2RevGrowth</vt:lpstr>
      <vt:lpstr>cbalR2LOB2Seg1Perc</vt:lpstr>
      <vt:lpstr>cbalR2LOB2Seg2Perc</vt:lpstr>
      <vt:lpstr>cbalR2LOB2Seg3Perc</vt:lpstr>
      <vt:lpstr>cbalR2LOB2Stars</vt:lpstr>
      <vt:lpstr>cbalR2Rev</vt:lpstr>
      <vt:lpstr>cbalR2RevGrowth</vt:lpstr>
      <vt:lpstr>cbalR2SI1CodeR1</vt:lpstr>
      <vt:lpstr>cbalR2SI1CodeR2</vt:lpstr>
      <vt:lpstr>cbalR2SI1CodeR3</vt:lpstr>
      <vt:lpstr>cbalR2SI2CodeR1</vt:lpstr>
      <vt:lpstr>cbalR2SI2CodeR2</vt:lpstr>
      <vt:lpstr>cbalR2SI2CodeR3</vt:lpstr>
      <vt:lpstr>cbalR2SI3CodeR1</vt:lpstr>
      <vt:lpstr>cbalR2SI3CodeR2</vt:lpstr>
      <vt:lpstr>cbalR2SI3CodeR3</vt:lpstr>
      <vt:lpstr>cbalR2SI4CodeR1</vt:lpstr>
      <vt:lpstr>cbalR2SI4CodeR2</vt:lpstr>
      <vt:lpstr>cbalR2SI4CodeR3</vt:lpstr>
      <vt:lpstr>cbalR2SI5CodeR1</vt:lpstr>
      <vt:lpstr>cbalR2SI5CodeR2</vt:lpstr>
      <vt:lpstr>cbalR2SI5CodeR3</vt:lpstr>
      <vt:lpstr>cbalR2Stars</vt:lpstr>
      <vt:lpstr>cbalRev</vt:lpstr>
      <vt:lpstr>cbalRevGrowth</vt:lpstr>
      <vt:lpstr>cbalSI1CodeR1</vt:lpstr>
      <vt:lpstr>cbalSI1CodeR2</vt:lpstr>
      <vt:lpstr>cbalSI1CodeR3</vt:lpstr>
      <vt:lpstr>cbalSI2CodeR1</vt:lpstr>
      <vt:lpstr>cbalSI2CodeR2</vt:lpstr>
      <vt:lpstr>cbalSI2CodeR3</vt:lpstr>
      <vt:lpstr>cbalSI3CodeR1</vt:lpstr>
      <vt:lpstr>cbalSI3CodeR2</vt:lpstr>
      <vt:lpstr>cbalSI3CodeR3</vt:lpstr>
      <vt:lpstr>cbalSI4CodeR1</vt:lpstr>
      <vt:lpstr>cbalSI4CodeR2</vt:lpstr>
      <vt:lpstr>cbalSI4CodeR3</vt:lpstr>
      <vt:lpstr>cbalSI5CodeR1</vt:lpstr>
      <vt:lpstr>cbalSI5CodeR2</vt:lpstr>
      <vt:lpstr>cbalSI5CodeR3</vt:lpstr>
      <vt:lpstr>cbalStars</vt:lpstr>
      <vt:lpstr>cnstComma</vt:lpstr>
      <vt:lpstr>cnstDoubleQuote</vt:lpstr>
      <vt:lpstr>cnstMillion</vt:lpstr>
      <vt:lpstr>cnstSingleQuote</vt:lpstr>
      <vt:lpstr>core_FilePrefix</vt:lpstr>
      <vt:lpstr>dataMMLOB1UnitsNew</vt:lpstr>
      <vt:lpstr>dataMMLOB2UnitsNew</vt:lpstr>
      <vt:lpstr>dataTableCC1Staff</vt:lpstr>
      <vt:lpstr>dataTableCC2Staff</vt:lpstr>
      <vt:lpstr>dec_Round</vt:lpstr>
      <vt:lpstr>dec_TeamName</vt:lpstr>
      <vt:lpstr>dec_TeamNumber</vt:lpstr>
      <vt:lpstr>dec_ToolInputPrefix</vt:lpstr>
      <vt:lpstr>decLOB1Cln10Mtng_R1</vt:lpstr>
      <vt:lpstr>decLOB1Cln10Mtng_R2</vt:lpstr>
      <vt:lpstr>decLOB1Cln10Text_R1</vt:lpstr>
      <vt:lpstr>decLOB1Cln10Text_R2</vt:lpstr>
      <vt:lpstr>decLOB1Cln10WeekProdMod_R1</vt:lpstr>
      <vt:lpstr>decLOB1Cln10WeekProdMod_R2</vt:lpstr>
      <vt:lpstr>decLOB1Cln11Dis_R1</vt:lpstr>
      <vt:lpstr>decLOB1Cln11Dis_R2</vt:lpstr>
      <vt:lpstr>decLOB1Cln11Mtng_R1</vt:lpstr>
      <vt:lpstr>decLOB1Cln11Mtng_R2</vt:lpstr>
      <vt:lpstr>decLOB1Cln11Status_R1</vt:lpstr>
      <vt:lpstr>decLOB1Cln11Status_R2</vt:lpstr>
      <vt:lpstr>decLOB1Cln11Text_R1</vt:lpstr>
      <vt:lpstr>decLOB1Cln11Text_R2</vt:lpstr>
      <vt:lpstr>decLOB1Cln11WeekProdMod_R1</vt:lpstr>
      <vt:lpstr>decLOB1Cln11WeekProdMod_R2</vt:lpstr>
      <vt:lpstr>decLOB1Cln12Dis_R1</vt:lpstr>
      <vt:lpstr>decLOB1Cln12Dis_R2</vt:lpstr>
      <vt:lpstr>decLOB1Cln12Mtng_R1</vt:lpstr>
      <vt:lpstr>decLOB1Cln12Mtng_R2</vt:lpstr>
      <vt:lpstr>decLOB1Cln12Status_R1</vt:lpstr>
      <vt:lpstr>decLOB1Cln12Status_R2</vt:lpstr>
      <vt:lpstr>decLOB1Cln12Text_R1</vt:lpstr>
      <vt:lpstr>decLOB1Cln12Text_R2</vt:lpstr>
      <vt:lpstr>decLOB1Cln12WeekProdMod_R1</vt:lpstr>
      <vt:lpstr>decLOB1Cln12WeekProdMod_R2</vt:lpstr>
      <vt:lpstr>decLOB1Cln1Mtng_R1</vt:lpstr>
      <vt:lpstr>decLOB1Cln1Mtng_R2</vt:lpstr>
      <vt:lpstr>decLOB1Cln1Text_R1</vt:lpstr>
      <vt:lpstr>decLOB1Cln1Text_R2</vt:lpstr>
      <vt:lpstr>decLOB1Cln1WeekProdMod_R1</vt:lpstr>
      <vt:lpstr>decLOB1Cln1WeekProdMod_R2</vt:lpstr>
      <vt:lpstr>decLOB1Cln2Mtng_R1</vt:lpstr>
      <vt:lpstr>decLOB1Cln2Mtng_R2</vt:lpstr>
      <vt:lpstr>decLOB1Cln2Text_R1</vt:lpstr>
      <vt:lpstr>decLOB1Cln2Text_R2</vt:lpstr>
      <vt:lpstr>decLOB1Cln2WeekProdMod_R1</vt:lpstr>
      <vt:lpstr>decLOB1Cln2WeekProdMod_R2</vt:lpstr>
      <vt:lpstr>decLOB1Cln3Mtng_R1</vt:lpstr>
      <vt:lpstr>decLOB1Cln3Mtng_R2</vt:lpstr>
      <vt:lpstr>decLOB1Cln3Text_R1</vt:lpstr>
      <vt:lpstr>decLOB1Cln3Text_R2</vt:lpstr>
      <vt:lpstr>decLOB1Cln3WeekProdMod_R1</vt:lpstr>
      <vt:lpstr>decLOB1Cln3WeekProdMod_R2</vt:lpstr>
      <vt:lpstr>decLOB1Cln4Mtng_R1</vt:lpstr>
      <vt:lpstr>decLOB1Cln4Mtng_R2</vt:lpstr>
      <vt:lpstr>decLOB1Cln4Text_R1</vt:lpstr>
      <vt:lpstr>decLOB1Cln4Text_R2</vt:lpstr>
      <vt:lpstr>decLOB1Cln4WeekProdMod_R1</vt:lpstr>
      <vt:lpstr>decLOB1Cln4WeekProdMod_R2</vt:lpstr>
      <vt:lpstr>decLOB1Cln5Mtng_R1</vt:lpstr>
      <vt:lpstr>decLOB1Cln5Mtng_R2</vt:lpstr>
      <vt:lpstr>decLOB1Cln5Text_R1</vt:lpstr>
      <vt:lpstr>decLOB1Cln5Text_R2</vt:lpstr>
      <vt:lpstr>decLOB1Cln5WeekProdMod_R1</vt:lpstr>
      <vt:lpstr>decLOB1Cln5WeekProdMod_R2</vt:lpstr>
      <vt:lpstr>decLOB1Cln6Mtng_R1</vt:lpstr>
      <vt:lpstr>decLOB1Cln6Mtng_R2</vt:lpstr>
      <vt:lpstr>decLOB1Cln6Text_R1</vt:lpstr>
      <vt:lpstr>decLOB1Cln6Text_R2</vt:lpstr>
      <vt:lpstr>decLOB1Cln6WeekProdMod_R1</vt:lpstr>
      <vt:lpstr>decLOB1Cln6WeekProdMod_R2</vt:lpstr>
      <vt:lpstr>decLOB1Cln7Mtng_R1</vt:lpstr>
      <vt:lpstr>decLOB1Cln7Mtng_R2</vt:lpstr>
      <vt:lpstr>decLOB1Cln7Text_R1</vt:lpstr>
      <vt:lpstr>decLOB1Cln7Text_R2</vt:lpstr>
      <vt:lpstr>decLOB1Cln7WeekProdMod_R1</vt:lpstr>
      <vt:lpstr>decLOB1Cln7WeekProdMod_R2</vt:lpstr>
      <vt:lpstr>decLOB1Cln8Mtng_R1</vt:lpstr>
      <vt:lpstr>decLOB1Cln8Mtng_R2</vt:lpstr>
      <vt:lpstr>decLOB1Cln8Text_R1</vt:lpstr>
      <vt:lpstr>decLOB1Cln8Text_R2</vt:lpstr>
      <vt:lpstr>decLOB1Cln8WeekProdMod_R1</vt:lpstr>
      <vt:lpstr>decLOB1Cln8WeekProdMod_R2</vt:lpstr>
      <vt:lpstr>decLOB1Cln9Mtng_R1</vt:lpstr>
      <vt:lpstr>decLOB1Cln9Mtng_R2</vt:lpstr>
      <vt:lpstr>decLOB1Cln9Text_R1</vt:lpstr>
      <vt:lpstr>decLOB1Cln9Text_R2</vt:lpstr>
      <vt:lpstr>decLOB1Cln9WeekProdMod_R1</vt:lpstr>
      <vt:lpstr>decLOB1Cln9WeekProdMod_R2</vt:lpstr>
      <vt:lpstr>decLOB1DOOAdjTime1_R1</vt:lpstr>
      <vt:lpstr>decLOB1DOOAdjTime1_R2</vt:lpstr>
      <vt:lpstr>decLOB1DOOAdjTime2_R1</vt:lpstr>
      <vt:lpstr>decLOB1DOOAdjTime2_R2</vt:lpstr>
      <vt:lpstr>decLOB1DOOAdjTime3_R1</vt:lpstr>
      <vt:lpstr>decLOB1DOOAdjTime3_R2</vt:lpstr>
      <vt:lpstr>decLOB1DOOAdjTime4_R1</vt:lpstr>
      <vt:lpstr>decLOB1DOOAdjTime4_R2</vt:lpstr>
      <vt:lpstr>decLOB1DOOAdjTime5_R1</vt:lpstr>
      <vt:lpstr>decLOB1DOOAdjTime5_R2</vt:lpstr>
      <vt:lpstr>decLOB1DOOAdjTime6_R1</vt:lpstr>
      <vt:lpstr>decLOB1DOOAdjTime6_R2</vt:lpstr>
      <vt:lpstr>decLOB1Prod1Seg1Adj_R1</vt:lpstr>
      <vt:lpstr>decLOB1Prod1Seg1Adj_R2</vt:lpstr>
      <vt:lpstr>decLOB1Prod1Seg2Adj_R1</vt:lpstr>
      <vt:lpstr>decLOB1Prod1Seg2Adj_R2</vt:lpstr>
      <vt:lpstr>decLOB1Prod1Seg3Adj_R1</vt:lpstr>
      <vt:lpstr>decLOB1Prod1Seg3Adj_R2</vt:lpstr>
      <vt:lpstr>decLOB1Prod2Seg1Adj_R1</vt:lpstr>
      <vt:lpstr>decLOB1Prod2Seg1Adj_R2</vt:lpstr>
      <vt:lpstr>decLOB1Prod2Seg2Adj_R1</vt:lpstr>
      <vt:lpstr>decLOB1Prod2Seg2Adj_R2</vt:lpstr>
      <vt:lpstr>decLOB1Prod2Seg3Adj_R1</vt:lpstr>
      <vt:lpstr>decLOB1Prod2Seg3Adj_R2</vt:lpstr>
      <vt:lpstr>decLOB1SpecProg1_R1</vt:lpstr>
      <vt:lpstr>decLOB1SpecProg1_R2</vt:lpstr>
      <vt:lpstr>decLOB1SpecProg2_R1</vt:lpstr>
      <vt:lpstr>decLOB1SpecProg2_R2</vt:lpstr>
      <vt:lpstr>decLOB1SpecProg3_R1</vt:lpstr>
      <vt:lpstr>decLOB1SpecProg3_R2</vt:lpstr>
      <vt:lpstr>decLOB1SpecProg4_R1</vt:lpstr>
      <vt:lpstr>decLOB1SpecProg4_R2</vt:lpstr>
      <vt:lpstr>decLOB2Cln10Mtng_R1</vt:lpstr>
      <vt:lpstr>decLOB2Cln10Mtng_R2</vt:lpstr>
      <vt:lpstr>decLOB2Cln10Text_R1</vt:lpstr>
      <vt:lpstr>decLOB2Cln10Text_R2</vt:lpstr>
      <vt:lpstr>decLOB2Cln10WeekProdMod_R1</vt:lpstr>
      <vt:lpstr>decLOB2Cln10WeekProdMod_R2</vt:lpstr>
      <vt:lpstr>decLOB2Cln11Dis_R1</vt:lpstr>
      <vt:lpstr>decLOB2Cln11Dis_R2</vt:lpstr>
      <vt:lpstr>decLOB2Cln11Mtng_R1</vt:lpstr>
      <vt:lpstr>decLOB2Cln11Mtng_R2</vt:lpstr>
      <vt:lpstr>decLOB2Cln11Status_R1</vt:lpstr>
      <vt:lpstr>decLOB2Cln11Status_R2</vt:lpstr>
      <vt:lpstr>decLOB2Cln11Text_R1</vt:lpstr>
      <vt:lpstr>decLOB2Cln11Text_R2</vt:lpstr>
      <vt:lpstr>decLOB2Cln11WeekProdMod_R1</vt:lpstr>
      <vt:lpstr>decLOB2Cln11WeekProdMod_R2</vt:lpstr>
      <vt:lpstr>decLOB2Cln12Dis_R1</vt:lpstr>
      <vt:lpstr>decLOB2Cln12Dis_R2</vt:lpstr>
      <vt:lpstr>decLOB2Cln12Mtng_R1</vt:lpstr>
      <vt:lpstr>decLOB2Cln12Mtng_R2</vt:lpstr>
      <vt:lpstr>decLOB2Cln12Status_R1</vt:lpstr>
      <vt:lpstr>decLOB2Cln12Status_R2</vt:lpstr>
      <vt:lpstr>decLOB2Cln12Text_R1</vt:lpstr>
      <vt:lpstr>decLOB2Cln12Text_R2</vt:lpstr>
      <vt:lpstr>decLOB2Cln12WeekProdMod_R1</vt:lpstr>
      <vt:lpstr>decLOB2Cln12WeekProdMod_R2</vt:lpstr>
      <vt:lpstr>decLOB2Cln1Mtng_R1</vt:lpstr>
      <vt:lpstr>decLOB2Cln1Mtng_R2</vt:lpstr>
      <vt:lpstr>decLOB2Cln1Text_R1</vt:lpstr>
      <vt:lpstr>decLOB2Cln1Text_R2</vt:lpstr>
      <vt:lpstr>decLOB2Cln1WeekProdMod_R1</vt:lpstr>
      <vt:lpstr>decLOB2Cln1WeekProdMod_R2</vt:lpstr>
      <vt:lpstr>decLOB2Cln2Mtng_R1</vt:lpstr>
      <vt:lpstr>decLOB2Cln2Mtng_R2</vt:lpstr>
      <vt:lpstr>decLOB2Cln2Text_R1</vt:lpstr>
      <vt:lpstr>decLOB2Cln2Text_R2</vt:lpstr>
      <vt:lpstr>decLOB2Cln2WeekProdMod_R1</vt:lpstr>
      <vt:lpstr>decLOB2Cln2WeekProdMod_R2</vt:lpstr>
      <vt:lpstr>decLOB2Cln3Mtng_R1</vt:lpstr>
      <vt:lpstr>decLOB2Cln3Mtng_R2</vt:lpstr>
      <vt:lpstr>decLOB2Cln3Text_R1</vt:lpstr>
      <vt:lpstr>decLOB2Cln3Text_R2</vt:lpstr>
      <vt:lpstr>decLOB2Cln3WeekProdMod_R1</vt:lpstr>
      <vt:lpstr>decLOB2Cln3WeekProdMod_R2</vt:lpstr>
      <vt:lpstr>decLOB2Cln4Mtng_R1</vt:lpstr>
      <vt:lpstr>decLOB2Cln4Mtng_R2</vt:lpstr>
      <vt:lpstr>decLOB2Cln4Text_R1</vt:lpstr>
      <vt:lpstr>decLOB2Cln4Text_R2</vt:lpstr>
      <vt:lpstr>decLOB2Cln4WeekProdMod_R1</vt:lpstr>
      <vt:lpstr>decLOB2Cln4WeekProdMod_R2</vt:lpstr>
      <vt:lpstr>decLOB2Cln5Mtng_R1</vt:lpstr>
      <vt:lpstr>decLOB2Cln5Mtng_R2</vt:lpstr>
      <vt:lpstr>decLOB2Cln5Text_R1</vt:lpstr>
      <vt:lpstr>decLOB2Cln5Text_R2</vt:lpstr>
      <vt:lpstr>decLOB2Cln5WeekProdMod_R1</vt:lpstr>
      <vt:lpstr>decLOB2Cln5WeekProdMod_R2</vt:lpstr>
      <vt:lpstr>decLOB2Cln6Mtng_R1</vt:lpstr>
      <vt:lpstr>decLOB2Cln6Mtng_R2</vt:lpstr>
      <vt:lpstr>decLOB2Cln6Text_R1</vt:lpstr>
      <vt:lpstr>decLOB2Cln6Text_R2</vt:lpstr>
      <vt:lpstr>decLOB2Cln6WeekProdMod_R1</vt:lpstr>
      <vt:lpstr>decLOB2Cln6WeekProdMod_R2</vt:lpstr>
      <vt:lpstr>decLOB2Cln7Mtng_R1</vt:lpstr>
      <vt:lpstr>decLOB2Cln7Mtng_R2</vt:lpstr>
      <vt:lpstr>decLOB2Cln7Text_R1</vt:lpstr>
      <vt:lpstr>decLOB2Cln7Text_R2</vt:lpstr>
      <vt:lpstr>decLOB2Cln7WeekProdMod_R1</vt:lpstr>
      <vt:lpstr>decLOB2Cln7WeekProdMod_R2</vt:lpstr>
      <vt:lpstr>decLOB2Cln8Mtng_R1</vt:lpstr>
      <vt:lpstr>decLOB2Cln8Mtng_R2</vt:lpstr>
      <vt:lpstr>decLOB2Cln8Text_R1</vt:lpstr>
      <vt:lpstr>decLOB2Cln8Text_R2</vt:lpstr>
      <vt:lpstr>decLOB2Cln8WeekProdMod_R1</vt:lpstr>
      <vt:lpstr>decLOB2Cln8WeekProdMod_R2</vt:lpstr>
      <vt:lpstr>decLOB2Cln9Mtng_R1</vt:lpstr>
      <vt:lpstr>decLOB2Cln9Mtng_R2</vt:lpstr>
      <vt:lpstr>decLOB2Cln9Text_R1</vt:lpstr>
      <vt:lpstr>decLOB2Cln9Text_R2</vt:lpstr>
      <vt:lpstr>decLOB2Cln9WeekProdMod_R1</vt:lpstr>
      <vt:lpstr>decLOB2Cln9WeekProdMod_R2</vt:lpstr>
      <vt:lpstr>decLOB2DOOAdjTime1_R1</vt:lpstr>
      <vt:lpstr>decLOB2DOOAdjTime1_R2</vt:lpstr>
      <vt:lpstr>decLOB2DOOAdjTime2_R1</vt:lpstr>
      <vt:lpstr>decLOB2DOOAdjTime2_R2</vt:lpstr>
      <vt:lpstr>decLOB2DOOAdjTime3_R1</vt:lpstr>
      <vt:lpstr>decLOB2DOOAdjTime3_R2</vt:lpstr>
      <vt:lpstr>decLOB2DOOAdjTime4_R1</vt:lpstr>
      <vt:lpstr>decLOB2DOOAdjTime4_R2</vt:lpstr>
      <vt:lpstr>decLOB2DOOAdjTime5_R1</vt:lpstr>
      <vt:lpstr>decLOB2DOOAdjTime5_R2</vt:lpstr>
      <vt:lpstr>decLOB2DOOAdjTime6_R1</vt:lpstr>
      <vt:lpstr>decLOB2DOOAdjTime6_R2</vt:lpstr>
      <vt:lpstr>decLOB2Prod1Seg1Adj_R1</vt:lpstr>
      <vt:lpstr>decLOB2Prod1Seg1Adj_R2</vt:lpstr>
      <vt:lpstr>decLOB2Prod1Seg2Adj_R1</vt:lpstr>
      <vt:lpstr>decLOB2Prod1Seg2Adj_R2</vt:lpstr>
      <vt:lpstr>decLOB2Prod1Seg3Adj_R1</vt:lpstr>
      <vt:lpstr>decLOB2Prod1Seg3Adj_R2</vt:lpstr>
      <vt:lpstr>decLOB2Prod2Seg1Adj_R1</vt:lpstr>
      <vt:lpstr>decLOB2Prod2Seg1Adj_R2</vt:lpstr>
      <vt:lpstr>decLOB2Prod2Seg2Adj_R1</vt:lpstr>
      <vt:lpstr>decLOB2Prod2Seg2Adj_R2</vt:lpstr>
      <vt:lpstr>decLOB2Prod2Seg3Adj_R1</vt:lpstr>
      <vt:lpstr>decLOB2Prod2Seg3Adj_R2</vt:lpstr>
      <vt:lpstr>decLOB2SpecProg1_R1</vt:lpstr>
      <vt:lpstr>decLOB2SpecProg1_R2</vt:lpstr>
      <vt:lpstr>decLOB2SpecProg2_R1</vt:lpstr>
      <vt:lpstr>decLOB2SpecProg2_R2</vt:lpstr>
      <vt:lpstr>decLOB2SpecProg3_R1</vt:lpstr>
      <vt:lpstr>decLOB2SpecProg3_R2</vt:lpstr>
      <vt:lpstr>decLOB2SpecProg4_R1</vt:lpstr>
      <vt:lpstr>decLOB2SpecProg4_R2</vt:lpstr>
      <vt:lpstr>decR1Event1</vt:lpstr>
      <vt:lpstr>decR1Event2</vt:lpstr>
      <vt:lpstr>decR1Event3</vt:lpstr>
      <vt:lpstr>decR1Event4</vt:lpstr>
      <vt:lpstr>decR2Event1</vt:lpstr>
      <vt:lpstr>decR2Event2</vt:lpstr>
      <vt:lpstr>decR2Event3</vt:lpstr>
      <vt:lpstr>decR2Event4</vt:lpstr>
      <vt:lpstr>decR2Event5</vt:lpstr>
      <vt:lpstr>decR2TeamName</vt:lpstr>
      <vt:lpstr>decR2TeamNumber</vt:lpstr>
      <vt:lpstr>decR2TeamYear</vt:lpstr>
      <vt:lpstr>decTeamName</vt:lpstr>
      <vt:lpstr>decTeamNumber</vt:lpstr>
      <vt:lpstr>decTeamYear</vt:lpstr>
      <vt:lpstr>feedback_FeedbackFileName</vt:lpstr>
      <vt:lpstr>feedback_FeedbackSheetName</vt:lpstr>
      <vt:lpstr>feedback_TimeSeriesFeedbackSheetName</vt:lpstr>
      <vt:lpstr>finPNLEmp1Cost</vt:lpstr>
      <vt:lpstr>finPNLEmp2Cost</vt:lpstr>
      <vt:lpstr>finPNLEmp3Cost</vt:lpstr>
      <vt:lpstr>finPNLEmpOverhead</vt:lpstr>
      <vt:lpstr>finPNLFullEmpOverhead</vt:lpstr>
      <vt:lpstr>finPNLGrossMargin</vt:lpstr>
      <vt:lpstr>finPNLGrossProfit</vt:lpstr>
      <vt:lpstr>finPNLLOB1Emp1Cost</vt:lpstr>
      <vt:lpstr>finPNLLOB1Emp2Cost</vt:lpstr>
      <vt:lpstr>finPNLLOB1Emp3Cost</vt:lpstr>
      <vt:lpstr>finPNLLOB1EmpOverhead</vt:lpstr>
      <vt:lpstr>finPNLLOB1FullEmpOverhead</vt:lpstr>
      <vt:lpstr>finPNLLOB1GrossMargin</vt:lpstr>
      <vt:lpstr>finPNLLOB1GrossProfit</vt:lpstr>
      <vt:lpstr>finPNLLOB1OpMargin</vt:lpstr>
      <vt:lpstr>finPNLLOB1OpProfit</vt:lpstr>
      <vt:lpstr>finPNLLOB1PartEmpOverhead</vt:lpstr>
      <vt:lpstr>finPNLLOB1Rev</vt:lpstr>
      <vt:lpstr>finPNLLOB1Seg1Rev</vt:lpstr>
      <vt:lpstr>finPNLLOB1Seg1RevPEpisode</vt:lpstr>
      <vt:lpstr>finPNLLOB1Seg2Rev</vt:lpstr>
      <vt:lpstr>finPNLLOB1Seg2RevPEpisode</vt:lpstr>
      <vt:lpstr>finPNLLOB1Seg3Rev</vt:lpstr>
      <vt:lpstr>finPNLLOB1Seg3RevPEpisode</vt:lpstr>
      <vt:lpstr>finPNLLOB1ServiceCost</vt:lpstr>
      <vt:lpstr>finPNLLOB2Emp1Cost</vt:lpstr>
      <vt:lpstr>finPNLLOB2Emp2Cost</vt:lpstr>
      <vt:lpstr>finPNLLOB2Emp3Cost</vt:lpstr>
      <vt:lpstr>finPNLLOB2EmpOverhead</vt:lpstr>
      <vt:lpstr>finPNLLOB2FullEmpOverhead</vt:lpstr>
      <vt:lpstr>finPNLLOB2GrossMargin</vt:lpstr>
      <vt:lpstr>finPNLLOB2GrossProfit</vt:lpstr>
      <vt:lpstr>finPNLLOB2OpMargin</vt:lpstr>
      <vt:lpstr>finPNLLOB2OpProfit</vt:lpstr>
      <vt:lpstr>finPNLLOB2PartEmpOverhead</vt:lpstr>
      <vt:lpstr>finPNLLOB2Rev</vt:lpstr>
      <vt:lpstr>finPNLLOB2Seg1Rev</vt:lpstr>
      <vt:lpstr>finPNLLOB2Seg1RevPEpisode</vt:lpstr>
      <vt:lpstr>finPNLLOB2Seg2Rev</vt:lpstr>
      <vt:lpstr>finPNLLOB2Seg2RevPEpisode</vt:lpstr>
      <vt:lpstr>finPNLLOB2Seg3Rev</vt:lpstr>
      <vt:lpstr>finPNLLOB2Seg3RevPEpisode</vt:lpstr>
      <vt:lpstr>finPNLLOB2ServiceCost</vt:lpstr>
      <vt:lpstr>finPNLOpMargin</vt:lpstr>
      <vt:lpstr>finPNLOpProfit</vt:lpstr>
      <vt:lpstr>finPNLPartEmpOverhead</vt:lpstr>
      <vt:lpstr>finPNLRev</vt:lpstr>
      <vt:lpstr>finPNLSeg1Rev</vt:lpstr>
      <vt:lpstr>finPNLSeg2Rev</vt:lpstr>
      <vt:lpstr>finPNLSeg3Rev</vt:lpstr>
      <vt:lpstr>finPNLServiceCost</vt:lpstr>
      <vt:lpstr>finR2PNLEmp1Cost</vt:lpstr>
      <vt:lpstr>finR2PNLEmp2Cost</vt:lpstr>
      <vt:lpstr>finR2PNLEmp3Cost</vt:lpstr>
      <vt:lpstr>finR2PNLEmpOverhead</vt:lpstr>
      <vt:lpstr>finR2PNLFullEmpOverhead</vt:lpstr>
      <vt:lpstr>finR2PNLGrossMargin</vt:lpstr>
      <vt:lpstr>finR2PNLGrossProfit</vt:lpstr>
      <vt:lpstr>finR2PNLLOB1Emp1Cost</vt:lpstr>
      <vt:lpstr>finR2PNLLOB1Emp2Cost</vt:lpstr>
      <vt:lpstr>finR2PNLLOB1Emp3Cost</vt:lpstr>
      <vt:lpstr>finR2PNLLOB1EmpOverhead</vt:lpstr>
      <vt:lpstr>finR2PNLLOB1FullEmpOverhead</vt:lpstr>
      <vt:lpstr>finR2PNLLOB1GrossMargin</vt:lpstr>
      <vt:lpstr>finR2PNLLOB1GrossProfit</vt:lpstr>
      <vt:lpstr>finR2PNLLOB1OpMargin</vt:lpstr>
      <vt:lpstr>finR2PNLLOB1OpProfit</vt:lpstr>
      <vt:lpstr>finR2PNLLOB1PartEmpOverhead</vt:lpstr>
      <vt:lpstr>finR2PNLLOB1Prod1Seg1Rev</vt:lpstr>
      <vt:lpstr>finR2PNLLOB1Prod1Seg2Rev</vt:lpstr>
      <vt:lpstr>finR2PNLLOB1Prod1Seg3Rev</vt:lpstr>
      <vt:lpstr>finR2PNLLOB1Prod2Seg1Rev</vt:lpstr>
      <vt:lpstr>finR2PNLLOB1Prod2Seg2Rev</vt:lpstr>
      <vt:lpstr>finR2PNLLOB1Prod2Seg3Rev</vt:lpstr>
      <vt:lpstr>finR2PNLLOB1Rev</vt:lpstr>
      <vt:lpstr>finR2PNLLOB1Seg1Rev</vt:lpstr>
      <vt:lpstr>finR2PNLLOB1Seg1RevPEpisode</vt:lpstr>
      <vt:lpstr>finR2PNLLOB1Seg2Rev</vt:lpstr>
      <vt:lpstr>finR2PNLLOB1Seg2RevPEpisode</vt:lpstr>
      <vt:lpstr>finR2PNLLOB1Seg3Rev</vt:lpstr>
      <vt:lpstr>finR2PNLLOB1Seg3RevPEpisode</vt:lpstr>
      <vt:lpstr>finR2PNLLOB1ServiceCost</vt:lpstr>
      <vt:lpstr>finR2PNLLOB2Emp1Cost</vt:lpstr>
      <vt:lpstr>finR2PNLLOB2Emp2Cost</vt:lpstr>
      <vt:lpstr>finR2PNLLOB2Emp3Cost</vt:lpstr>
      <vt:lpstr>finR2PNLLOB2EmpOverhead</vt:lpstr>
      <vt:lpstr>finR2PNLLOB2FullEmpOverhead</vt:lpstr>
      <vt:lpstr>finR2PNLLOB2GrossMargin</vt:lpstr>
      <vt:lpstr>finR2PNLLOB2GrossProfit</vt:lpstr>
      <vt:lpstr>finR2PNLLOB2OpMargin</vt:lpstr>
      <vt:lpstr>finR2PNLLOB2OpProfit</vt:lpstr>
      <vt:lpstr>finR2PNLLOB2PartEmpOverhead</vt:lpstr>
      <vt:lpstr>finR2PNLLOB2Prod1Seg1Rev</vt:lpstr>
      <vt:lpstr>finR2PNLLOB2Prod1Seg2Rev</vt:lpstr>
      <vt:lpstr>finR2PNLLOB2Prod1Seg3Rev</vt:lpstr>
      <vt:lpstr>finR2PNLLOB2Prod2Seg1Rev</vt:lpstr>
      <vt:lpstr>finR2PNLLOB2Prod2Seg2Rev</vt:lpstr>
      <vt:lpstr>finR2PNLLOB2Prod2Seg3Rev</vt:lpstr>
      <vt:lpstr>finR2PNLLOB2Rev</vt:lpstr>
      <vt:lpstr>finR2PNLLOB2Seg1Rev</vt:lpstr>
      <vt:lpstr>finR2PNLLOB2Seg1RevPEpisode</vt:lpstr>
      <vt:lpstr>finR2PNLLOB2Seg2Rev</vt:lpstr>
      <vt:lpstr>finR2PNLLOB2Seg2RevPEpisode</vt:lpstr>
      <vt:lpstr>finR2PNLLOB2Seg3Rev</vt:lpstr>
      <vt:lpstr>finR2PNLLOB2Seg3RevPEpisode</vt:lpstr>
      <vt:lpstr>finR2PNLLOB2ServiceCost</vt:lpstr>
      <vt:lpstr>finR2PNLOpMargin</vt:lpstr>
      <vt:lpstr>finR2PNLOpProfit</vt:lpstr>
      <vt:lpstr>finR2PNLPartEmpOverhead</vt:lpstr>
      <vt:lpstr>finR2PNLRev</vt:lpstr>
      <vt:lpstr>finR2PNLSeg1Rev</vt:lpstr>
      <vt:lpstr>finR2PNLSeg2Rev</vt:lpstr>
      <vt:lpstr>finR2PNLSeg3Rev</vt:lpstr>
      <vt:lpstr>finR2PNLServiceCost</vt:lpstr>
      <vt:lpstr>glossaryLanguage</vt:lpstr>
      <vt:lpstr>HideRows</vt:lpstr>
      <vt:lpstr>hood_OnHoodCloseGoTo</vt:lpstr>
      <vt:lpstr>hood_ToolPrefix</vt:lpstr>
      <vt:lpstr>LOB1FocusAreas_DecR1</vt:lpstr>
      <vt:lpstr>LOB1FocusAreas_DecR2</vt:lpstr>
      <vt:lpstr>LOB2FocusAreas_DecR1</vt:lpstr>
      <vt:lpstr>LOB2FocusAreas_DecR2</vt:lpstr>
      <vt:lpstr>make_percentage</vt:lpstr>
      <vt:lpstr>mmLOB1Driver1Explain</vt:lpstr>
      <vt:lpstr>mmLOB1Driver2Explain</vt:lpstr>
      <vt:lpstr>mmLOB1Driver3Explain</vt:lpstr>
      <vt:lpstr>mmLOB1ImpactTable</vt:lpstr>
      <vt:lpstr>mmLOB1MarketShare</vt:lpstr>
      <vt:lpstr>mmLOB1UnitsNew</vt:lpstr>
      <vt:lpstr>mmLOB2Driver1Explain</vt:lpstr>
      <vt:lpstr>mmLOB2Driver2Explain</vt:lpstr>
      <vt:lpstr>mmLOB2Driver3Explain</vt:lpstr>
      <vt:lpstr>mmLOB2ImpactTable</vt:lpstr>
      <vt:lpstr>mmLOB2MarketShare</vt:lpstr>
      <vt:lpstr>mmLOB2UnitsNew</vt:lpstr>
      <vt:lpstr>mmR2LOB1Driver1Explain</vt:lpstr>
      <vt:lpstr>mmR2LOB1Driver2Explain</vt:lpstr>
      <vt:lpstr>mmR2LOB1Driver3Explain</vt:lpstr>
      <vt:lpstr>mmR2LOB1ImpactTable</vt:lpstr>
      <vt:lpstr>mmR2LOB1MarketShare</vt:lpstr>
      <vt:lpstr>mmR2LOB1UnitsNew</vt:lpstr>
      <vt:lpstr>mmR2LOB2Driver1Explain</vt:lpstr>
      <vt:lpstr>mmR2LOB2Driver2Explain</vt:lpstr>
      <vt:lpstr>mmR2LOB2Driver3Explain</vt:lpstr>
      <vt:lpstr>mmR2LOB2ImpactTable</vt:lpstr>
      <vt:lpstr>mmR2LOB2MarketShare</vt:lpstr>
      <vt:lpstr>mmR2LOB2UnitsNew</vt:lpstr>
      <vt:lpstr>nmCOGS</vt:lpstr>
      <vt:lpstr>nmDisc1</vt:lpstr>
      <vt:lpstr>nmDisc2</vt:lpstr>
      <vt:lpstr>nmDisc3</vt:lpstr>
      <vt:lpstr>nmDisc4</vt:lpstr>
      <vt:lpstr>nmEmp1</vt:lpstr>
      <vt:lpstr>nmEmp2</vt:lpstr>
      <vt:lpstr>nmEmp3</vt:lpstr>
      <vt:lpstr>nmForecast</vt:lpstr>
      <vt:lpstr>nmGrossMargin</vt:lpstr>
      <vt:lpstr>nmGrossProfit</vt:lpstr>
      <vt:lpstr>nmInitiatives</vt:lpstr>
      <vt:lpstr>nmLOB1</vt:lpstr>
      <vt:lpstr>nmLOB2</vt:lpstr>
      <vt:lpstr>nmMarketing</vt:lpstr>
      <vt:lpstr>nmMillion</vt:lpstr>
      <vt:lpstr>nmPrice</vt:lpstr>
      <vt:lpstr>nmProd1</vt:lpstr>
      <vt:lpstr>nmProd2</vt:lpstr>
      <vt:lpstr>nmProgramSubtitle</vt:lpstr>
      <vt:lpstr>nmProgramTitle</vt:lpstr>
      <vt:lpstr>nmRevenue</vt:lpstr>
      <vt:lpstr>nmRound</vt:lpstr>
      <vt:lpstr>nmSeg1</vt:lpstr>
      <vt:lpstr>nmSeg2</vt:lpstr>
      <vt:lpstr>nmSeg3</vt:lpstr>
      <vt:lpstr>nmTeamName</vt:lpstr>
      <vt:lpstr>nmTeamNumber</vt:lpstr>
      <vt:lpstr>obal_End</vt:lpstr>
      <vt:lpstr>obalCSAT</vt:lpstr>
      <vt:lpstr>obalESAT</vt:lpstr>
      <vt:lpstr>obalLOB1AddFullTime</vt:lpstr>
      <vt:lpstr>obalLOB1AddPartTime</vt:lpstr>
      <vt:lpstr>obalLOB1AdminTimeClinician1</vt:lpstr>
      <vt:lpstr>obalLOB1AdminTimeClinician10</vt:lpstr>
      <vt:lpstr>obalLOB1AdminTimeClinician11</vt:lpstr>
      <vt:lpstr>obalLOB1AdminTimeClinician12</vt:lpstr>
      <vt:lpstr>obalLOB1AdminTimeClinician2</vt:lpstr>
      <vt:lpstr>obalLOB1AdminTimeClinician3</vt:lpstr>
      <vt:lpstr>obalLOB1AdminTimeClinician4</vt:lpstr>
      <vt:lpstr>obalLOB1AdminTimeClinician5</vt:lpstr>
      <vt:lpstr>obalLOB1AdminTimeClinician6</vt:lpstr>
      <vt:lpstr>obalLOB1AdminTimeClinician7</vt:lpstr>
      <vt:lpstr>obalLOB1AdminTimeClinician8</vt:lpstr>
      <vt:lpstr>obalLOB1AdminTimeClinician9</vt:lpstr>
      <vt:lpstr>obalLOB1AvgBaseProdClinician11</vt:lpstr>
      <vt:lpstr>obalLOB1AvgBaseProdClinician12</vt:lpstr>
      <vt:lpstr>obalLOB1AvgMissClinician1</vt:lpstr>
      <vt:lpstr>obalLOB1AvgMissClinician10</vt:lpstr>
      <vt:lpstr>obalLOB1AvgMissClinician11</vt:lpstr>
      <vt:lpstr>obalLOB1AvgMissClinician12</vt:lpstr>
      <vt:lpstr>obalLOB1AvgMissClinician2</vt:lpstr>
      <vt:lpstr>obalLOB1AvgMissClinician3</vt:lpstr>
      <vt:lpstr>obalLOB1AvgMissClinician4</vt:lpstr>
      <vt:lpstr>obalLOB1AvgMissClinician5</vt:lpstr>
      <vt:lpstr>obalLOB1AvgMissClinician6</vt:lpstr>
      <vt:lpstr>obalLOB1AvgMissClinician7</vt:lpstr>
      <vt:lpstr>obalLOB1AvgMissClinician8</vt:lpstr>
      <vt:lpstr>obalLOB1AvgMissClinician9</vt:lpstr>
      <vt:lpstr>obalLOB1AvgMissPercClinician1</vt:lpstr>
      <vt:lpstr>obalLOB1AvgMissPercClinician10</vt:lpstr>
      <vt:lpstr>obalLOB1AvgMissPercClinician11</vt:lpstr>
      <vt:lpstr>obalLOB1AvgMissPercClinician12</vt:lpstr>
      <vt:lpstr>obalLOB1AvgMissPercClinician13</vt:lpstr>
      <vt:lpstr>obalLOB1AvgMissPercClinician14</vt:lpstr>
      <vt:lpstr>obalLOB1AvgMissPercClinician15</vt:lpstr>
      <vt:lpstr>obalLOB1AvgMissPercClinician16</vt:lpstr>
      <vt:lpstr>obalLOB1AvgMissPercClinician2</vt:lpstr>
      <vt:lpstr>obalLOB1AvgMissPercClinician3</vt:lpstr>
      <vt:lpstr>obalLOB1AvgMissPercClinician4</vt:lpstr>
      <vt:lpstr>obalLOB1AvgMissPercClinician5</vt:lpstr>
      <vt:lpstr>obalLOB1AvgMissPercClinician6</vt:lpstr>
      <vt:lpstr>obalLOB1AvgMissPercClinician7</vt:lpstr>
      <vt:lpstr>obalLOB1AvgMissPercClinician8</vt:lpstr>
      <vt:lpstr>obalLOB1AvgMissPercClinician9</vt:lpstr>
      <vt:lpstr>obalLOB1AvgProdClinician1</vt:lpstr>
      <vt:lpstr>obalLOB1AvgProdClinician10</vt:lpstr>
      <vt:lpstr>obalLOB1AvgProdClinician11</vt:lpstr>
      <vt:lpstr>obalLOB1AvgProdClinician12</vt:lpstr>
      <vt:lpstr>obalLOB1AvgProdClinician13</vt:lpstr>
      <vt:lpstr>obalLOB1AvgProdClinician14</vt:lpstr>
      <vt:lpstr>obalLOB1AvgProdClinician15</vt:lpstr>
      <vt:lpstr>obalLOB1AvgProdClinician16</vt:lpstr>
      <vt:lpstr>obalLOB1AvgProdClinician2</vt:lpstr>
      <vt:lpstr>obalLOB1AvgProdClinician3</vt:lpstr>
      <vt:lpstr>obalLOB1AvgProdClinician4</vt:lpstr>
      <vt:lpstr>obalLOB1AvgProdClinician5</vt:lpstr>
      <vt:lpstr>obalLOB1AvgProdClinician6</vt:lpstr>
      <vt:lpstr>obalLOB1AvgProdClinician7</vt:lpstr>
      <vt:lpstr>obalLOB1AvgProdClinician8</vt:lpstr>
      <vt:lpstr>obalLOB1AvgProdClinician9</vt:lpstr>
      <vt:lpstr>obalLOB1AvgUtilization</vt:lpstr>
      <vt:lpstr>obalLOB1BaseProdClinician13</vt:lpstr>
      <vt:lpstr>obalLOB1BaseProdClinician14</vt:lpstr>
      <vt:lpstr>obalLOB1BaseProdClinician15</vt:lpstr>
      <vt:lpstr>obalLOB1BaseProdClinician16</vt:lpstr>
      <vt:lpstr>obalLOB1BDEngage</vt:lpstr>
      <vt:lpstr>obalLOB1ClinicianAvgMissPerc</vt:lpstr>
      <vt:lpstr>obalLOB1CSAT</vt:lpstr>
      <vt:lpstr>obalLOB1Disc1Retention</vt:lpstr>
      <vt:lpstr>obalLOB1Disc2Retention</vt:lpstr>
      <vt:lpstr>obalLOB1Disc3Retention</vt:lpstr>
      <vt:lpstr>obalLOB1Disc4Retention</vt:lpstr>
      <vt:lpstr>obalLOB1DiscClinician1</vt:lpstr>
      <vt:lpstr>obalLOB1DiscClinician10</vt:lpstr>
      <vt:lpstr>obalLOB1DiscClinician11</vt:lpstr>
      <vt:lpstr>obalLOB1DiscClinician12</vt:lpstr>
      <vt:lpstr>obalLOB1DiscClinician13</vt:lpstr>
      <vt:lpstr>obalLOB1DiscClinician14</vt:lpstr>
      <vt:lpstr>obalLOB1DiscClinician15</vt:lpstr>
      <vt:lpstr>obalLOB1DiscClinician16</vt:lpstr>
      <vt:lpstr>obalLOB1DiscClinician2</vt:lpstr>
      <vt:lpstr>obalLOB1DiscClinician3</vt:lpstr>
      <vt:lpstr>obalLOB1DiscClinician4</vt:lpstr>
      <vt:lpstr>obalLOB1DiscClinician5</vt:lpstr>
      <vt:lpstr>obalLOB1DiscClinician6</vt:lpstr>
      <vt:lpstr>obalLOB1DiscClinician7</vt:lpstr>
      <vt:lpstr>obalLOB1DiscClinician8</vt:lpstr>
      <vt:lpstr>obalLOB1DiscClinician9</vt:lpstr>
      <vt:lpstr>obalLOB1DOOTime1</vt:lpstr>
      <vt:lpstr>obalLOB1DOOTime2</vt:lpstr>
      <vt:lpstr>obalLOB1DOOTime3</vt:lpstr>
      <vt:lpstr>obalLOB1DOOTime4</vt:lpstr>
      <vt:lpstr>obalLOB1DOOTime5</vt:lpstr>
      <vt:lpstr>obalLOB1DOOTime6</vt:lpstr>
      <vt:lpstr>obalLOB1DOOTotalTime</vt:lpstr>
      <vt:lpstr>obalLOB1DOOUtilization</vt:lpstr>
      <vt:lpstr>obalLOB1Emp1CostPVisit</vt:lpstr>
      <vt:lpstr>obalLOB1Emp1Seg1RevPVisit</vt:lpstr>
      <vt:lpstr>obalLOB1Emp1Seg2RevPVisit</vt:lpstr>
      <vt:lpstr>obalLOB1Emp1Seg3RevPVisit</vt:lpstr>
      <vt:lpstr>obalLOB1Emp1VisitPEp</vt:lpstr>
      <vt:lpstr>obalLOB1Emp2CostPVisit</vt:lpstr>
      <vt:lpstr>obalLOB1Emp2Seg1RevPVisit</vt:lpstr>
      <vt:lpstr>obalLOB1Emp2Seg2RevPVisit</vt:lpstr>
      <vt:lpstr>obalLOB1Emp2Seg3RevPVisit</vt:lpstr>
      <vt:lpstr>obalLOB1Emp2VisitPEp</vt:lpstr>
      <vt:lpstr>obalLOB1Emp3CostPVisit</vt:lpstr>
      <vt:lpstr>obalLOB1Emp3Seg1RevPVisit</vt:lpstr>
      <vt:lpstr>obalLOB1Emp3Seg2RevPVisit</vt:lpstr>
      <vt:lpstr>obalLOB1Emp3Seg3RevPVisit</vt:lpstr>
      <vt:lpstr>obalLOB1Emp3VisitPEp</vt:lpstr>
      <vt:lpstr>obalLOB1EmpStatClinician1</vt:lpstr>
      <vt:lpstr>obalLOB1EmpStatClinician10</vt:lpstr>
      <vt:lpstr>obalLOB1EmpStatClinician11</vt:lpstr>
      <vt:lpstr>obalLOB1EmpStatClinician12</vt:lpstr>
      <vt:lpstr>obalLOB1EmpStatClinician13</vt:lpstr>
      <vt:lpstr>obalLOB1EmpStatClinician14</vt:lpstr>
      <vt:lpstr>obalLOB1EmpStatClinician15</vt:lpstr>
      <vt:lpstr>obalLOB1EmpStatClinician16</vt:lpstr>
      <vt:lpstr>obalLOB1EmpStatClinician2</vt:lpstr>
      <vt:lpstr>obalLOB1EmpStatClinician3</vt:lpstr>
      <vt:lpstr>obalLOB1EmpStatClinician4</vt:lpstr>
      <vt:lpstr>obalLOB1EmpStatClinician5</vt:lpstr>
      <vt:lpstr>obalLOB1EmpStatClinician6</vt:lpstr>
      <vt:lpstr>obalLOB1EmpStatClinician7</vt:lpstr>
      <vt:lpstr>obalLOB1EmpStatClinician8</vt:lpstr>
      <vt:lpstr>obalLOB1EmpStatClinician9</vt:lpstr>
      <vt:lpstr>obalLOB1ESAT</vt:lpstr>
      <vt:lpstr>obalLOB1FullEmpOverhead</vt:lpstr>
      <vt:lpstr>obalLOB1MarketShare</vt:lpstr>
      <vt:lpstr>obalLOB1MileageClinician1</vt:lpstr>
      <vt:lpstr>obalLOB1MileageClinician10</vt:lpstr>
      <vt:lpstr>obalLOB1MileageClinician11</vt:lpstr>
      <vt:lpstr>obalLOB1MileageClinician12</vt:lpstr>
      <vt:lpstr>obalLOB1MileageClinician2</vt:lpstr>
      <vt:lpstr>obalLOB1MileageClinician3</vt:lpstr>
      <vt:lpstr>obalLOB1MileageClinician4</vt:lpstr>
      <vt:lpstr>obalLOB1MileageClinician5</vt:lpstr>
      <vt:lpstr>obalLOB1MileageClinician6</vt:lpstr>
      <vt:lpstr>obalLOB1MileageClinician7</vt:lpstr>
      <vt:lpstr>obalLOB1MileageClinician8</vt:lpstr>
      <vt:lpstr>obalLOB1MileageClinician9</vt:lpstr>
      <vt:lpstr>obalLOB1MileagePVisitClinician1</vt:lpstr>
      <vt:lpstr>obalLOB1MileagePVisitClinician10</vt:lpstr>
      <vt:lpstr>obalLOB1MileagePVisitClinician11</vt:lpstr>
      <vt:lpstr>obalLOB1MileagePVisitClinician12</vt:lpstr>
      <vt:lpstr>obalLOB1MileagePVisitClinician2</vt:lpstr>
      <vt:lpstr>obalLOB1MileagePVisitClinician3</vt:lpstr>
      <vt:lpstr>obalLOB1MileagePVisitClinician4</vt:lpstr>
      <vt:lpstr>obalLOB1MileagePVisitClinician5</vt:lpstr>
      <vt:lpstr>obalLOB1MileagePVisitClinician6</vt:lpstr>
      <vt:lpstr>obalLOB1MileagePVisitClinician7</vt:lpstr>
      <vt:lpstr>obalLOB1MileagePVisitClinician8</vt:lpstr>
      <vt:lpstr>obalLOB1MileagePVisitClinician9</vt:lpstr>
      <vt:lpstr>obalLOB1NameClinician1</vt:lpstr>
      <vt:lpstr>obalLOB1NameClinician10</vt:lpstr>
      <vt:lpstr>obalLOB1NameClinician11</vt:lpstr>
      <vt:lpstr>obalLOB1NameClinician12</vt:lpstr>
      <vt:lpstr>obalLOB1NameClinician2</vt:lpstr>
      <vt:lpstr>obalLOB1NameClinician3</vt:lpstr>
      <vt:lpstr>obalLOB1NameClinician4</vt:lpstr>
      <vt:lpstr>obalLOB1NameClinician5</vt:lpstr>
      <vt:lpstr>obalLOB1NameClinician6</vt:lpstr>
      <vt:lpstr>obalLOB1NameClinician7</vt:lpstr>
      <vt:lpstr>obalLOB1NameClinician8</vt:lpstr>
      <vt:lpstr>obalLOB1NameClinician9</vt:lpstr>
      <vt:lpstr>obalLOB1NumProdClinician13</vt:lpstr>
      <vt:lpstr>obalLOB1NumProdClinician14</vt:lpstr>
      <vt:lpstr>obalLOB1NumProdClinician15</vt:lpstr>
      <vt:lpstr>obalLOB1NumProdClinician16</vt:lpstr>
      <vt:lpstr>obalLOB1PartEmpOverhead</vt:lpstr>
      <vt:lpstr>obalLOB1Prod2Seg1Perc</vt:lpstr>
      <vt:lpstr>obalLOB1Prod2Seg2Perc</vt:lpstr>
      <vt:lpstr>obalLOB1Prod2Seg3Perc</vt:lpstr>
      <vt:lpstr>obalLOB1Rev</vt:lpstr>
      <vt:lpstr>obalLOB1RevGrowth</vt:lpstr>
      <vt:lpstr>obalLOB1Seg1Perc</vt:lpstr>
      <vt:lpstr>obalLOB1Seg2Perc</vt:lpstr>
      <vt:lpstr>obalLOB1Seg3Perc</vt:lpstr>
      <vt:lpstr>obalLOB1Stars</vt:lpstr>
      <vt:lpstr>obalLOB2AddFullTime</vt:lpstr>
      <vt:lpstr>obalLOB2AddPartTime</vt:lpstr>
      <vt:lpstr>obalLOB2AdminTimeClinician1</vt:lpstr>
      <vt:lpstr>obalLOB2AdminTimeClinician10</vt:lpstr>
      <vt:lpstr>obalLOB2AdminTimeClinician11</vt:lpstr>
      <vt:lpstr>obalLOB2AdminTimeClinician12</vt:lpstr>
      <vt:lpstr>obalLOB2AdminTimeClinician2</vt:lpstr>
      <vt:lpstr>obalLOB2AdminTimeClinician3</vt:lpstr>
      <vt:lpstr>obalLOB2AdminTimeClinician4</vt:lpstr>
      <vt:lpstr>obalLOB2AdminTimeClinician5</vt:lpstr>
      <vt:lpstr>obalLOB2AdminTimeClinician6</vt:lpstr>
      <vt:lpstr>obalLOB2AdminTimeClinician7</vt:lpstr>
      <vt:lpstr>obalLOB2AdminTimeClinician8</vt:lpstr>
      <vt:lpstr>obalLOB2AdminTimeClinician9</vt:lpstr>
      <vt:lpstr>obalLOB2AvgBaseProdClinician11</vt:lpstr>
      <vt:lpstr>obalLOB2AvgBaseProdClinician12</vt:lpstr>
      <vt:lpstr>obalLOB2AvgMissPercClinician1</vt:lpstr>
      <vt:lpstr>obalLOB2AvgMissPercClinician10</vt:lpstr>
      <vt:lpstr>obalLOB2AvgMissPercClinician11</vt:lpstr>
      <vt:lpstr>obalLOB2AvgMissPercClinician12</vt:lpstr>
      <vt:lpstr>obalLOB2AvgMissPercClinician13</vt:lpstr>
      <vt:lpstr>obalLOB2AvgMissPercClinician14</vt:lpstr>
      <vt:lpstr>obalLOB2AvgMissPercClinician15</vt:lpstr>
      <vt:lpstr>obalLOB2AvgMissPercClinician16</vt:lpstr>
      <vt:lpstr>obalLOB2AvgMissPercClinician2</vt:lpstr>
      <vt:lpstr>obalLOB2AvgMissPercClinician3</vt:lpstr>
      <vt:lpstr>obalLOB2AvgMissPercClinician4</vt:lpstr>
      <vt:lpstr>obalLOB2AvgMissPercClinician5</vt:lpstr>
      <vt:lpstr>obalLOB2AvgMissPercClinician6</vt:lpstr>
      <vt:lpstr>obalLOB2AvgMissPercClinician7</vt:lpstr>
      <vt:lpstr>obalLOB2AvgMissPercClinician8</vt:lpstr>
      <vt:lpstr>obalLOB2AvgMissPercClinician9</vt:lpstr>
      <vt:lpstr>obalLOB2AvgProdClinician1</vt:lpstr>
      <vt:lpstr>obalLOB2AvgProdClinician10</vt:lpstr>
      <vt:lpstr>obalLOB2AvgProdClinician11</vt:lpstr>
      <vt:lpstr>obalLOB2AvgProdClinician12</vt:lpstr>
      <vt:lpstr>obalLOB2AvgProdClinician13</vt:lpstr>
      <vt:lpstr>obalLOB2AvgProdClinician14</vt:lpstr>
      <vt:lpstr>obalLOB2AvgProdClinician15</vt:lpstr>
      <vt:lpstr>obalLOB2AvgProdClinician16</vt:lpstr>
      <vt:lpstr>obalLOB2AvgProdClinician2</vt:lpstr>
      <vt:lpstr>obalLOB2AvgProdClinician3</vt:lpstr>
      <vt:lpstr>obalLOB2AvgProdClinician4</vt:lpstr>
      <vt:lpstr>obalLOB2AvgProdClinician5</vt:lpstr>
      <vt:lpstr>obalLOB2AvgProdClinician6</vt:lpstr>
      <vt:lpstr>obalLOB2AvgProdClinician7</vt:lpstr>
      <vt:lpstr>obalLOB2AvgProdClinician8</vt:lpstr>
      <vt:lpstr>obalLOB2AvgProdClinician9</vt:lpstr>
      <vt:lpstr>obalLOB2AvgUtilization</vt:lpstr>
      <vt:lpstr>obalLOB2BaseProdClinician13</vt:lpstr>
      <vt:lpstr>obalLOB2BaseProdClinician14</vt:lpstr>
      <vt:lpstr>obalLOB2BaseProdClinician15</vt:lpstr>
      <vt:lpstr>obalLOB2BaseProdClinician16</vt:lpstr>
      <vt:lpstr>obalLOB2BDEngage</vt:lpstr>
      <vt:lpstr>obalLOB2ClinicianAvgMissPerc</vt:lpstr>
      <vt:lpstr>obalLOB2CSAT</vt:lpstr>
      <vt:lpstr>obalLOB2Disc1Retention</vt:lpstr>
      <vt:lpstr>obalLOB2Disc2Retention</vt:lpstr>
      <vt:lpstr>obalLOB2Disc3Retention</vt:lpstr>
      <vt:lpstr>obalLOB2Disc4Retention</vt:lpstr>
      <vt:lpstr>obalLOB2DiscClinician1</vt:lpstr>
      <vt:lpstr>obalLOB2DiscClinician10</vt:lpstr>
      <vt:lpstr>obalLOB2DiscClinician11</vt:lpstr>
      <vt:lpstr>obalLOB2DiscClinician12</vt:lpstr>
      <vt:lpstr>obalLOB2DiscClinician13</vt:lpstr>
      <vt:lpstr>obalLOB2DiscClinician14</vt:lpstr>
      <vt:lpstr>obalLOB2DiscClinician15</vt:lpstr>
      <vt:lpstr>obalLOB2DiscClinician16</vt:lpstr>
      <vt:lpstr>obalLOB2DiscClinician2</vt:lpstr>
      <vt:lpstr>obalLOB2DiscClinician3</vt:lpstr>
      <vt:lpstr>obalLOB2DiscClinician4</vt:lpstr>
      <vt:lpstr>obalLOB2DiscClinician5</vt:lpstr>
      <vt:lpstr>obalLOB2DiscClinician6</vt:lpstr>
      <vt:lpstr>obalLOB2DiscClinician7</vt:lpstr>
      <vt:lpstr>obalLOB2DiscClinician8</vt:lpstr>
      <vt:lpstr>obalLOB2DiscClinician9</vt:lpstr>
      <vt:lpstr>obalLOB2DOOTime1</vt:lpstr>
      <vt:lpstr>obalLOB2DOOTime2</vt:lpstr>
      <vt:lpstr>obalLOB2DOOTime3</vt:lpstr>
      <vt:lpstr>obalLOB2DOOTime4</vt:lpstr>
      <vt:lpstr>obalLOB2DOOTime5</vt:lpstr>
      <vt:lpstr>obalLOB2DOOTime6</vt:lpstr>
      <vt:lpstr>obalLOB2DOOTotalTime</vt:lpstr>
      <vt:lpstr>obalLOB2DOOUtilization</vt:lpstr>
      <vt:lpstr>obalLOB2Emp1CostPVisit</vt:lpstr>
      <vt:lpstr>obalLOB2Emp1Seg1RevPVisit</vt:lpstr>
      <vt:lpstr>obalLOB2Emp1Seg2RevPVisit</vt:lpstr>
      <vt:lpstr>obalLOB2Emp1Seg3RevPVisit</vt:lpstr>
      <vt:lpstr>obalLOB2Emp1VisitPEp</vt:lpstr>
      <vt:lpstr>obalLOB2Emp2CostPVisit</vt:lpstr>
      <vt:lpstr>obalLOB2Emp2Seg1RevPVisit</vt:lpstr>
      <vt:lpstr>obalLOB2Emp2Seg2RevPVisit</vt:lpstr>
      <vt:lpstr>obalLOB2Emp2Seg3RevPVisit</vt:lpstr>
      <vt:lpstr>obalLOB2Emp2VisitPEp</vt:lpstr>
      <vt:lpstr>obalLOB2Emp3CostPVisit</vt:lpstr>
      <vt:lpstr>obalLOB2Emp3Seg1RevPVisit</vt:lpstr>
      <vt:lpstr>obalLOB2Emp3Seg2RevPVisit</vt:lpstr>
      <vt:lpstr>obalLOB2Emp3Seg3RevPVisit</vt:lpstr>
      <vt:lpstr>obalLOB2Emp3VisitPEp</vt:lpstr>
      <vt:lpstr>obalLOB2EmpStatClinician1</vt:lpstr>
      <vt:lpstr>obalLOB2EmpStatClinician10</vt:lpstr>
      <vt:lpstr>obalLOB2EmpStatClinician11</vt:lpstr>
      <vt:lpstr>obalLOB2EmpStatClinician12</vt:lpstr>
      <vt:lpstr>obalLOB2EmpStatClinician13</vt:lpstr>
      <vt:lpstr>obalLOB2EmpStatClinician14</vt:lpstr>
      <vt:lpstr>obalLOB2EmpStatClinician15</vt:lpstr>
      <vt:lpstr>obalLOB2EmpStatClinician16</vt:lpstr>
      <vt:lpstr>obalLOB2EmpStatClinician2</vt:lpstr>
      <vt:lpstr>obalLOB2EmpStatClinician3</vt:lpstr>
      <vt:lpstr>obalLOB2EmpStatClinician4</vt:lpstr>
      <vt:lpstr>obalLOB2EmpStatClinician5</vt:lpstr>
      <vt:lpstr>obalLOB2EmpStatClinician6</vt:lpstr>
      <vt:lpstr>obalLOB2EmpStatClinician7</vt:lpstr>
      <vt:lpstr>obalLOB2EmpStatClinician8</vt:lpstr>
      <vt:lpstr>obalLOB2EmpStatClinician9</vt:lpstr>
      <vt:lpstr>obalLOB2ESAT</vt:lpstr>
      <vt:lpstr>obalLOB2FullEmpOverhead</vt:lpstr>
      <vt:lpstr>obalLOB2MarketShare</vt:lpstr>
      <vt:lpstr>obalLOB2MileageClinician1</vt:lpstr>
      <vt:lpstr>obalLOB2MileageClinician10</vt:lpstr>
      <vt:lpstr>obalLOB2MileageClinician11</vt:lpstr>
      <vt:lpstr>obalLOB2MileageClinician12</vt:lpstr>
      <vt:lpstr>obalLOB2MileageClinician2</vt:lpstr>
      <vt:lpstr>obalLOB2MileageClinician3</vt:lpstr>
      <vt:lpstr>obalLOB2MileageClinician4</vt:lpstr>
      <vt:lpstr>obalLOB2MileageClinician5</vt:lpstr>
      <vt:lpstr>obalLOB2MileageClinician6</vt:lpstr>
      <vt:lpstr>obalLOB2MileageClinician7</vt:lpstr>
      <vt:lpstr>obalLOB2MileageClinician8</vt:lpstr>
      <vt:lpstr>obalLOB2MileageClinician9</vt:lpstr>
      <vt:lpstr>obalLOB2MileagePVisitClinician1</vt:lpstr>
      <vt:lpstr>obalLOB2MileagePVisitClinician10</vt:lpstr>
      <vt:lpstr>obalLOB2MileagePVisitClinician11</vt:lpstr>
      <vt:lpstr>obalLOB2MileagePVisitClinician12</vt:lpstr>
      <vt:lpstr>obalLOB2MileagePVisitClinician2</vt:lpstr>
      <vt:lpstr>obalLOB2MileagePVisitClinician3</vt:lpstr>
      <vt:lpstr>obalLOB2MileagePVisitClinician4</vt:lpstr>
      <vt:lpstr>obalLOB2MileagePVisitClinician5</vt:lpstr>
      <vt:lpstr>obalLOB2MileagePVisitClinician6</vt:lpstr>
      <vt:lpstr>obalLOB2MileagePVisitClinician7</vt:lpstr>
      <vt:lpstr>obalLOB2MileagePVisitClinician8</vt:lpstr>
      <vt:lpstr>obalLOB2MileagePVisitClinician9</vt:lpstr>
      <vt:lpstr>obalLOB2NameClinician1</vt:lpstr>
      <vt:lpstr>obalLOB2NameClinician10</vt:lpstr>
      <vt:lpstr>obalLOB2NameClinician11</vt:lpstr>
      <vt:lpstr>obalLOB2NameClinician12</vt:lpstr>
      <vt:lpstr>obalLOB2NameClinician2</vt:lpstr>
      <vt:lpstr>obalLOB2NameClinician3</vt:lpstr>
      <vt:lpstr>obalLOB2NameClinician4</vt:lpstr>
      <vt:lpstr>obalLOB2NameClinician5</vt:lpstr>
      <vt:lpstr>obalLOB2NameClinician6</vt:lpstr>
      <vt:lpstr>obalLOB2NameClinician7</vt:lpstr>
      <vt:lpstr>obalLOB2NameClinician8</vt:lpstr>
      <vt:lpstr>obalLOB2NameClinician9</vt:lpstr>
      <vt:lpstr>obalLOB2NumProdClinician13</vt:lpstr>
      <vt:lpstr>obalLOB2NumProdClinician14</vt:lpstr>
      <vt:lpstr>obalLOB2NumProdClinician15</vt:lpstr>
      <vt:lpstr>obalLOB2NumProdClinician16</vt:lpstr>
      <vt:lpstr>obalLOB2PartEmpOverhead</vt:lpstr>
      <vt:lpstr>obalLOB2Prod2Seg1Perc</vt:lpstr>
      <vt:lpstr>obalLOB2Prod2Seg2Perc</vt:lpstr>
      <vt:lpstr>obalLOB2Prod2Seg3Perc</vt:lpstr>
      <vt:lpstr>obalLOB2Rev</vt:lpstr>
      <vt:lpstr>obalLOB2RevGrowth</vt:lpstr>
      <vt:lpstr>obalLOB2Seg1Perc</vt:lpstr>
      <vt:lpstr>obalLOB2Seg2Perc</vt:lpstr>
      <vt:lpstr>obalLOB2Seg3Perc</vt:lpstr>
      <vt:lpstr>obalLOB2Stars</vt:lpstr>
      <vt:lpstr>obalR2_Paste</vt:lpstr>
      <vt:lpstr>obalR2CSAT</vt:lpstr>
      <vt:lpstr>obalR2ESAT</vt:lpstr>
      <vt:lpstr>obalR2LOB1AddFullTime</vt:lpstr>
      <vt:lpstr>obalR2LOB1AddPartTime</vt:lpstr>
      <vt:lpstr>obalR2LOB1AdminTimeClinician1</vt:lpstr>
      <vt:lpstr>obalR2LOB1AdminTimeClinician10</vt:lpstr>
      <vt:lpstr>obalR2LOB1AdminTimeClinician11</vt:lpstr>
      <vt:lpstr>obalR2LOB1AdminTimeClinician12</vt:lpstr>
      <vt:lpstr>obalR2LOB1AdminTimeClinician2</vt:lpstr>
      <vt:lpstr>obalR2LOB1AdminTimeClinician3</vt:lpstr>
      <vt:lpstr>obalR2LOB1AdminTimeClinician4</vt:lpstr>
      <vt:lpstr>obalR2LOB1AdminTimeClinician5</vt:lpstr>
      <vt:lpstr>obalR2LOB1AdminTimeClinician6</vt:lpstr>
      <vt:lpstr>obalR2LOB1AdminTimeClinician7</vt:lpstr>
      <vt:lpstr>obalR2LOB1AdminTimeClinician8</vt:lpstr>
      <vt:lpstr>obalR2LOB1AdminTimeClinician9</vt:lpstr>
      <vt:lpstr>obalR2LOB1AvgBaseProdClinician11</vt:lpstr>
      <vt:lpstr>obalR2LOB1AvgBaseProdClinician12</vt:lpstr>
      <vt:lpstr>obalR2LOB1AvgMissClinician1</vt:lpstr>
      <vt:lpstr>obalR2LOB1AvgMissClinician10</vt:lpstr>
      <vt:lpstr>obalR2LOB1AvgMissClinician11</vt:lpstr>
      <vt:lpstr>obalR2LOB1AvgMissClinician12</vt:lpstr>
      <vt:lpstr>obalR2LOB1AvgMissClinician2</vt:lpstr>
      <vt:lpstr>obalR2LOB1AvgMissClinician3</vt:lpstr>
      <vt:lpstr>obalR2LOB1AvgMissClinician4</vt:lpstr>
      <vt:lpstr>obalR2LOB1AvgMissClinician5</vt:lpstr>
      <vt:lpstr>obalR2LOB1AvgMissClinician6</vt:lpstr>
      <vt:lpstr>obalR2LOB1AvgMissClinician7</vt:lpstr>
      <vt:lpstr>obalR2LOB1AvgMissClinician8</vt:lpstr>
      <vt:lpstr>obalR2LOB1AvgMissClinician9</vt:lpstr>
      <vt:lpstr>obalR2LOB1AvgMissPercClinician1</vt:lpstr>
      <vt:lpstr>obalR2LOB1AvgMissPercClinician10</vt:lpstr>
      <vt:lpstr>obalR2LOB1AvgMissPercClinician11</vt:lpstr>
      <vt:lpstr>obalR2LOB1AvgMissPercClinician12</vt:lpstr>
      <vt:lpstr>obalR2LOB1AvgMissPercClinician13</vt:lpstr>
      <vt:lpstr>obalR2LOB1AvgMissPercClinician14</vt:lpstr>
      <vt:lpstr>obalR2LOB1AvgMissPercClinician15</vt:lpstr>
      <vt:lpstr>obalR2LOB1AvgMissPercClinician16</vt:lpstr>
      <vt:lpstr>obalR2LOB1AvgMissPercClinician2</vt:lpstr>
      <vt:lpstr>obalR2LOB1AvgMissPercClinician3</vt:lpstr>
      <vt:lpstr>obalR2LOB1AvgMissPercClinician4</vt:lpstr>
      <vt:lpstr>obalR2LOB1AvgMissPercClinician5</vt:lpstr>
      <vt:lpstr>obalR2LOB1AvgMissPercClinician6</vt:lpstr>
      <vt:lpstr>obalR2LOB1AvgMissPercClinician7</vt:lpstr>
      <vt:lpstr>obalR2LOB1AvgMissPercClinician8</vt:lpstr>
      <vt:lpstr>obalR2LOB1AvgMissPercClinician9</vt:lpstr>
      <vt:lpstr>obalR2LOB1AvgProdClinician1</vt:lpstr>
      <vt:lpstr>obalR2LOB1AvgProdClinician10</vt:lpstr>
      <vt:lpstr>obalR2LOB1AvgProdClinician11</vt:lpstr>
      <vt:lpstr>obalR2LOB1AvgProdClinician12</vt:lpstr>
      <vt:lpstr>obalR2LOB1AvgProdClinician13</vt:lpstr>
      <vt:lpstr>obalR2LOB1AvgProdClinician14</vt:lpstr>
      <vt:lpstr>obalR2LOB1AvgProdClinician15</vt:lpstr>
      <vt:lpstr>obalR2LOB1AvgProdClinician16</vt:lpstr>
      <vt:lpstr>obalR2LOB1AvgProdClinician2</vt:lpstr>
      <vt:lpstr>obalR2LOB1AvgProdClinician3</vt:lpstr>
      <vt:lpstr>obalR2LOB1AvgProdClinician4</vt:lpstr>
      <vt:lpstr>obalR2LOB1AvgProdClinician5</vt:lpstr>
      <vt:lpstr>obalR2LOB1AvgProdClinician6</vt:lpstr>
      <vt:lpstr>obalR2LOB1AvgProdClinician7</vt:lpstr>
      <vt:lpstr>obalR2LOB1AvgProdClinician8</vt:lpstr>
      <vt:lpstr>obalR2LOB1AvgProdClinician9</vt:lpstr>
      <vt:lpstr>obalR2LOB1AvgUtilization</vt:lpstr>
      <vt:lpstr>obalR2LOB1BaseProdClinician13</vt:lpstr>
      <vt:lpstr>obalR2LOB1BaseProdClinician14</vt:lpstr>
      <vt:lpstr>obalR2LOB1BaseProdClinician15</vt:lpstr>
      <vt:lpstr>obalR2LOB1BaseProdClinician16</vt:lpstr>
      <vt:lpstr>obalR2LOB1BDEngage</vt:lpstr>
      <vt:lpstr>obalR2LOB1ClinicianAvgMissPerc</vt:lpstr>
      <vt:lpstr>obalR2LOB1CSAT</vt:lpstr>
      <vt:lpstr>obalR2LOB1Disc1Retention</vt:lpstr>
      <vt:lpstr>obalR2LOB1Disc2Retention</vt:lpstr>
      <vt:lpstr>obalR2LOB1Disc3Retention</vt:lpstr>
      <vt:lpstr>obalR2LOB1Disc4Retention</vt:lpstr>
      <vt:lpstr>obalR2LOB1DiscClinician1</vt:lpstr>
      <vt:lpstr>obalR2LOB1DiscClinician10</vt:lpstr>
      <vt:lpstr>obalR2LOB1DiscClinician11</vt:lpstr>
      <vt:lpstr>obalR2LOB1DiscClinician12</vt:lpstr>
      <vt:lpstr>obalR2LOB1DiscClinician13</vt:lpstr>
      <vt:lpstr>obalR2LOB1DiscClinician14</vt:lpstr>
      <vt:lpstr>obalR2LOB1DiscClinician15</vt:lpstr>
      <vt:lpstr>obalR2LOB1DiscClinician16</vt:lpstr>
      <vt:lpstr>obalR2LOB1DiscClinician2</vt:lpstr>
      <vt:lpstr>obalR2LOB1DiscClinician3</vt:lpstr>
      <vt:lpstr>obalR2LOB1DiscClinician4</vt:lpstr>
      <vt:lpstr>obalR2LOB1DiscClinician5</vt:lpstr>
      <vt:lpstr>obalR2LOB1DiscClinician6</vt:lpstr>
      <vt:lpstr>obalR2LOB1DiscClinician7</vt:lpstr>
      <vt:lpstr>obalR2LOB1DiscClinician8</vt:lpstr>
      <vt:lpstr>obalR2LOB1DiscClinician9</vt:lpstr>
      <vt:lpstr>obalR2LOB1DOOTime1</vt:lpstr>
      <vt:lpstr>obalR2LOB1DOOTime2</vt:lpstr>
      <vt:lpstr>obalR2LOB1DOOTime3</vt:lpstr>
      <vt:lpstr>obalR2LOB1DOOTime4</vt:lpstr>
      <vt:lpstr>obalR2LOB1DOOTime5</vt:lpstr>
      <vt:lpstr>obalR2LOB1DOOTime6</vt:lpstr>
      <vt:lpstr>obalR2LOB1DOOTotalTime</vt:lpstr>
      <vt:lpstr>obalR2LOB1DOOUtilization</vt:lpstr>
      <vt:lpstr>obalR2LOB1Emp1CostPVisit</vt:lpstr>
      <vt:lpstr>obalR2LOB1Emp1Seg1RevPVisit</vt:lpstr>
      <vt:lpstr>obalR2LOB1Emp1Seg2RevPVisit</vt:lpstr>
      <vt:lpstr>obalR2LOB1Emp1Seg3RevPVisit</vt:lpstr>
      <vt:lpstr>obalR2LOB1Emp1VisitPEp</vt:lpstr>
      <vt:lpstr>obalR2LOB1Emp2CostPVisit</vt:lpstr>
      <vt:lpstr>obalR2LOB1Emp2Seg1RevPVisit</vt:lpstr>
      <vt:lpstr>obalR2LOB1Emp2Seg2RevPVisit</vt:lpstr>
      <vt:lpstr>obalR2LOB1Emp2Seg3RevPVisit</vt:lpstr>
      <vt:lpstr>obalR2LOB1Emp2VisitPEp</vt:lpstr>
      <vt:lpstr>obalR2LOB1Emp3CostPVisit</vt:lpstr>
      <vt:lpstr>obalR2LOB1Emp3Seg1RevPVisit</vt:lpstr>
      <vt:lpstr>obalR2LOB1Emp3Seg2RevPVisit</vt:lpstr>
      <vt:lpstr>obalR2LOB1Emp3Seg3RevPVisit</vt:lpstr>
      <vt:lpstr>obalR2LOB1Emp3VisitPEp</vt:lpstr>
      <vt:lpstr>obalR2LOB1EmpStatClinician1</vt:lpstr>
      <vt:lpstr>obalR2LOB1EmpStatClinician10</vt:lpstr>
      <vt:lpstr>obalR2LOB1EmpStatClinician11</vt:lpstr>
      <vt:lpstr>obalR2LOB1EmpStatClinician12</vt:lpstr>
      <vt:lpstr>obalR2LOB1EmpStatClinician13</vt:lpstr>
      <vt:lpstr>obalR2LOB1EmpStatClinician14</vt:lpstr>
      <vt:lpstr>obalR2LOB1EmpStatClinician15</vt:lpstr>
      <vt:lpstr>obalR2LOB1EmpStatClinician16</vt:lpstr>
      <vt:lpstr>obalR2LOB1EmpStatClinician2</vt:lpstr>
      <vt:lpstr>obalR2LOB1EmpStatClinician3</vt:lpstr>
      <vt:lpstr>obalR2LOB1EmpStatClinician4</vt:lpstr>
      <vt:lpstr>obalR2LOB1EmpStatClinician5</vt:lpstr>
      <vt:lpstr>obalR2LOB1EmpStatClinician6</vt:lpstr>
      <vt:lpstr>obalR2LOB1EmpStatClinician7</vt:lpstr>
      <vt:lpstr>obalR2LOB1EmpStatClinician8</vt:lpstr>
      <vt:lpstr>obalR2LOB1EmpStatClinician9</vt:lpstr>
      <vt:lpstr>obalR2LOB1ESAT</vt:lpstr>
      <vt:lpstr>obalR2LOB1FullEmpOverhead</vt:lpstr>
      <vt:lpstr>obalR2LOB1MarketShare</vt:lpstr>
      <vt:lpstr>obalR2LOB1MileageClinician1</vt:lpstr>
      <vt:lpstr>obalR2LOB1MileageClinician10</vt:lpstr>
      <vt:lpstr>obalR2LOB1MileageClinician11</vt:lpstr>
      <vt:lpstr>obalR2LOB1MileageClinician12</vt:lpstr>
      <vt:lpstr>obalR2LOB1MileageClinician2</vt:lpstr>
      <vt:lpstr>obalR2LOB1MileageClinician3</vt:lpstr>
      <vt:lpstr>obalR2LOB1MileageClinician4</vt:lpstr>
      <vt:lpstr>obalR2LOB1MileageClinician5</vt:lpstr>
      <vt:lpstr>obalR2LOB1MileageClinician6</vt:lpstr>
      <vt:lpstr>obalR2LOB1MileageClinician7</vt:lpstr>
      <vt:lpstr>obalR2LOB1MileageClinician8</vt:lpstr>
      <vt:lpstr>obalR2LOB1MileageClinician9</vt:lpstr>
      <vt:lpstr>obalR2LOB1MileagePVisitClinician1</vt:lpstr>
      <vt:lpstr>obalR2LOB1MileagePVisitClinician10</vt:lpstr>
      <vt:lpstr>obalR2LOB1MileagePVisitClinician11</vt:lpstr>
      <vt:lpstr>obalR2LOB1MileagePVisitClinician12</vt:lpstr>
      <vt:lpstr>obalR2LOB1MileagePVisitClinician2</vt:lpstr>
      <vt:lpstr>obalR2LOB1MileagePVisitClinician3</vt:lpstr>
      <vt:lpstr>obalR2LOB1MileagePVisitClinician4</vt:lpstr>
      <vt:lpstr>obalR2LOB1MileagePVisitClinician5</vt:lpstr>
      <vt:lpstr>obalR2LOB1MileagePVisitClinician6</vt:lpstr>
      <vt:lpstr>obalR2LOB1MileagePVisitClinician7</vt:lpstr>
      <vt:lpstr>obalR2LOB1MileagePVisitClinician8</vt:lpstr>
      <vt:lpstr>obalR2LOB1MileagePVisitClinician9</vt:lpstr>
      <vt:lpstr>obalR2LOB1NameClinician1</vt:lpstr>
      <vt:lpstr>obalR2LOB1NameClinician10</vt:lpstr>
      <vt:lpstr>obalR2LOB1NameClinician11</vt:lpstr>
      <vt:lpstr>obalR2LOB1NameClinician12</vt:lpstr>
      <vt:lpstr>obalR2LOB1NameClinician2</vt:lpstr>
      <vt:lpstr>obalR2LOB1NameClinician3</vt:lpstr>
      <vt:lpstr>obalR2LOB1NameClinician4</vt:lpstr>
      <vt:lpstr>obalR2LOB1NameClinician5</vt:lpstr>
      <vt:lpstr>obalR2LOB1NameClinician6</vt:lpstr>
      <vt:lpstr>obalR2LOB1NameClinician7</vt:lpstr>
      <vt:lpstr>obalR2LOB1NameClinician8</vt:lpstr>
      <vt:lpstr>obalR2LOB1NameClinician9</vt:lpstr>
      <vt:lpstr>obalR2LOB1NumProdClinician13</vt:lpstr>
      <vt:lpstr>obalR2LOB1NumProdClinician14</vt:lpstr>
      <vt:lpstr>obalR2LOB1NumProdClinician15</vt:lpstr>
      <vt:lpstr>obalR2LOB1NumProdClinician16</vt:lpstr>
      <vt:lpstr>obalR2LOB1PartEmpOverhead</vt:lpstr>
      <vt:lpstr>obalR2LOB1Prod2Seg1Perc</vt:lpstr>
      <vt:lpstr>obalR2LOB1Prod2Seg2Perc</vt:lpstr>
      <vt:lpstr>obalR2LOB1Prod2Seg3Perc</vt:lpstr>
      <vt:lpstr>obalR2LOB1Rev</vt:lpstr>
      <vt:lpstr>obalR2LOB1RevGrowth</vt:lpstr>
      <vt:lpstr>obalR2LOB1Seg1Perc</vt:lpstr>
      <vt:lpstr>obalR2LOB1Seg2Perc</vt:lpstr>
      <vt:lpstr>obalR2LOB1Seg3Perc</vt:lpstr>
      <vt:lpstr>obalR2LOB1Stars</vt:lpstr>
      <vt:lpstr>obalR2LOB2AddFullTime</vt:lpstr>
      <vt:lpstr>obalR2LOB2AddPartTime</vt:lpstr>
      <vt:lpstr>obalR2LOB2AdminTimeClinician1</vt:lpstr>
      <vt:lpstr>obalR2LOB2AdminTimeClinician10</vt:lpstr>
      <vt:lpstr>obalR2LOB2AdminTimeClinician11</vt:lpstr>
      <vt:lpstr>obalR2LOB2AdminTimeClinician12</vt:lpstr>
      <vt:lpstr>obalR2LOB2AdminTimeClinician2</vt:lpstr>
      <vt:lpstr>obalR2LOB2AdminTimeClinician3</vt:lpstr>
      <vt:lpstr>obalR2LOB2AdminTimeClinician4</vt:lpstr>
      <vt:lpstr>obalR2LOB2AdminTimeClinician5</vt:lpstr>
      <vt:lpstr>obalR2LOB2AdminTimeClinician6</vt:lpstr>
      <vt:lpstr>obalR2LOB2AdminTimeClinician7</vt:lpstr>
      <vt:lpstr>obalR2LOB2AdminTimeClinician8</vt:lpstr>
      <vt:lpstr>obalR2LOB2AdminTimeClinician9</vt:lpstr>
      <vt:lpstr>obalR2LOB2AvgBaseProdClinician11</vt:lpstr>
      <vt:lpstr>obalR2LOB2AvgBaseProdClinician12</vt:lpstr>
      <vt:lpstr>obalR2LOB2AvgMissPercClinician1</vt:lpstr>
      <vt:lpstr>obalR2LOB2AvgMissPercClinician10</vt:lpstr>
      <vt:lpstr>obalR2LOB2AvgMissPercClinician11</vt:lpstr>
      <vt:lpstr>obalR2LOB2AvgMissPercClinician12</vt:lpstr>
      <vt:lpstr>obalR2LOB2AvgMissPercClinician13</vt:lpstr>
      <vt:lpstr>obalR2LOB2AvgMissPercClinician14</vt:lpstr>
      <vt:lpstr>obalR2LOB2AvgMissPercClinician15</vt:lpstr>
      <vt:lpstr>obalR2LOB2AvgMissPercClinician16</vt:lpstr>
      <vt:lpstr>obalR2LOB2AvgMissPercClinician2</vt:lpstr>
      <vt:lpstr>obalR2LOB2AvgMissPercClinician3</vt:lpstr>
      <vt:lpstr>obalR2LOB2AvgMissPercClinician4</vt:lpstr>
      <vt:lpstr>obalR2LOB2AvgMissPercClinician5</vt:lpstr>
      <vt:lpstr>obalR2LOB2AvgMissPercClinician6</vt:lpstr>
      <vt:lpstr>obalR2LOB2AvgMissPercClinician7</vt:lpstr>
      <vt:lpstr>obalR2LOB2AvgMissPercClinician8</vt:lpstr>
      <vt:lpstr>obalR2LOB2AvgMissPercClinician9</vt:lpstr>
      <vt:lpstr>obalR2LOB2AvgProdClinician1</vt:lpstr>
      <vt:lpstr>obalR2LOB2AvgProdClinician10</vt:lpstr>
      <vt:lpstr>obalR2LOB2AvgProdClinician11</vt:lpstr>
      <vt:lpstr>obalR2LOB2AvgProdClinician12</vt:lpstr>
      <vt:lpstr>obalR2LOB2AvgProdClinician13</vt:lpstr>
      <vt:lpstr>obalR2LOB2AvgProdClinician14</vt:lpstr>
      <vt:lpstr>obalR2LOB2AvgProdClinician15</vt:lpstr>
      <vt:lpstr>obalR2LOB2AvgProdClinician16</vt:lpstr>
      <vt:lpstr>obalR2LOB2AvgProdClinician2</vt:lpstr>
      <vt:lpstr>obalR2LOB2AvgProdClinician3</vt:lpstr>
      <vt:lpstr>obalR2LOB2AvgProdClinician4</vt:lpstr>
      <vt:lpstr>obalR2LOB2AvgProdClinician5</vt:lpstr>
      <vt:lpstr>obalR2LOB2AvgProdClinician6</vt:lpstr>
      <vt:lpstr>obalR2LOB2AvgProdClinician7</vt:lpstr>
      <vt:lpstr>obalR2LOB2AvgProdClinician8</vt:lpstr>
      <vt:lpstr>obalR2LOB2AvgProdClinician9</vt:lpstr>
      <vt:lpstr>obalR2LOB2AvgUtilization</vt:lpstr>
      <vt:lpstr>obalR2LOB2BaseProdClinician13</vt:lpstr>
      <vt:lpstr>obalR2LOB2BaseProdClinician14</vt:lpstr>
      <vt:lpstr>obalR2LOB2BaseProdClinician15</vt:lpstr>
      <vt:lpstr>obalR2LOB2BaseProdClinician16</vt:lpstr>
      <vt:lpstr>obalR2LOB2BDEngage</vt:lpstr>
      <vt:lpstr>obalR2LOB2ClinicianAvgMissPerc</vt:lpstr>
      <vt:lpstr>obalR2LOB2CSAT</vt:lpstr>
      <vt:lpstr>obalR2LOB2Disc1Retention</vt:lpstr>
      <vt:lpstr>obalR2LOB2Disc2Retention</vt:lpstr>
      <vt:lpstr>obalR2LOB2Disc3Retention</vt:lpstr>
      <vt:lpstr>obalR2LOB2Disc4Retention</vt:lpstr>
      <vt:lpstr>obalR2LOB2DiscClinician1</vt:lpstr>
      <vt:lpstr>obalR2LOB2DiscClinician10</vt:lpstr>
      <vt:lpstr>obalR2LOB2DiscClinician11</vt:lpstr>
      <vt:lpstr>obalR2LOB2DiscClinician12</vt:lpstr>
      <vt:lpstr>obalR2LOB2DiscClinician13</vt:lpstr>
      <vt:lpstr>obalR2LOB2DiscClinician14</vt:lpstr>
      <vt:lpstr>obalR2LOB2DiscClinician15</vt:lpstr>
      <vt:lpstr>obalR2LOB2DiscClinician16</vt:lpstr>
      <vt:lpstr>obalR2LOB2DiscClinician2</vt:lpstr>
      <vt:lpstr>obalR2LOB2DiscClinician3</vt:lpstr>
      <vt:lpstr>obalR2LOB2DiscClinician4</vt:lpstr>
      <vt:lpstr>obalR2LOB2DiscClinician5</vt:lpstr>
      <vt:lpstr>obalR2LOB2DiscClinician6</vt:lpstr>
      <vt:lpstr>obalR2LOB2DiscClinician7</vt:lpstr>
      <vt:lpstr>obalR2LOB2DiscClinician8</vt:lpstr>
      <vt:lpstr>obalR2LOB2DiscClinician9</vt:lpstr>
      <vt:lpstr>obalR2LOB2DOOTime1</vt:lpstr>
      <vt:lpstr>obalR2LOB2DOOTime2</vt:lpstr>
      <vt:lpstr>obalR2LOB2DOOTime3</vt:lpstr>
      <vt:lpstr>obalR2LOB2DOOTime4</vt:lpstr>
      <vt:lpstr>obalR2LOB2DOOTime5</vt:lpstr>
      <vt:lpstr>obalR2LOB2DOOTime6</vt:lpstr>
      <vt:lpstr>obalR2LOB2DOOTotalTime</vt:lpstr>
      <vt:lpstr>obalR2LOB2DOOUtilization</vt:lpstr>
      <vt:lpstr>obalR2LOB2Emp1CostPVisit</vt:lpstr>
      <vt:lpstr>obalR2LOB2Emp1Seg1RevPVisit</vt:lpstr>
      <vt:lpstr>obalR2LOB2Emp1Seg2RevPVisit</vt:lpstr>
      <vt:lpstr>obalR2LOB2Emp1Seg3RevPVisit</vt:lpstr>
      <vt:lpstr>obalR2LOB2Emp1VisitPEp</vt:lpstr>
      <vt:lpstr>obalR2LOB2Emp2CostPVisit</vt:lpstr>
      <vt:lpstr>obalR2LOB2Emp2Seg1RevPVisit</vt:lpstr>
      <vt:lpstr>obalR2LOB2Emp2Seg2RevPVisit</vt:lpstr>
      <vt:lpstr>obalR2LOB2Emp2Seg3RevPVisit</vt:lpstr>
      <vt:lpstr>obalR2LOB2Emp2VisitPEp</vt:lpstr>
      <vt:lpstr>obalR2LOB2Emp3CostPVisit</vt:lpstr>
      <vt:lpstr>obalR2LOB2Emp3Seg1RevPVisit</vt:lpstr>
      <vt:lpstr>obalR2LOB2Emp3Seg2RevPVisit</vt:lpstr>
      <vt:lpstr>obalR2LOB2Emp3Seg3RevPVisit</vt:lpstr>
      <vt:lpstr>obalR2LOB2Emp3VisitPEp</vt:lpstr>
      <vt:lpstr>obalR2LOB2EmpStatClinician1</vt:lpstr>
      <vt:lpstr>obalR2LOB2EmpStatClinician10</vt:lpstr>
      <vt:lpstr>obalR2LOB2EmpStatClinician11</vt:lpstr>
      <vt:lpstr>obalR2LOB2EmpStatClinician12</vt:lpstr>
      <vt:lpstr>obalR2LOB2EmpStatClinician13</vt:lpstr>
      <vt:lpstr>obalR2LOB2EmpStatClinician14</vt:lpstr>
      <vt:lpstr>obalR2LOB2EmpStatClinician15</vt:lpstr>
      <vt:lpstr>obalR2LOB2EmpStatClinician16</vt:lpstr>
      <vt:lpstr>obalR2LOB2EmpStatClinician2</vt:lpstr>
      <vt:lpstr>obalR2LOB2EmpStatClinician3</vt:lpstr>
      <vt:lpstr>obalR2LOB2EmpStatClinician4</vt:lpstr>
      <vt:lpstr>obalR2LOB2EmpStatClinician5</vt:lpstr>
      <vt:lpstr>obalR2LOB2EmpStatClinician6</vt:lpstr>
      <vt:lpstr>obalR2LOB2EmpStatClinician7</vt:lpstr>
      <vt:lpstr>obalR2LOB2EmpStatClinician8</vt:lpstr>
      <vt:lpstr>obalR2LOB2EmpStatClinician9</vt:lpstr>
      <vt:lpstr>obalR2LOB2ESAT</vt:lpstr>
      <vt:lpstr>obalR2LOB2FullEmpOverhead</vt:lpstr>
      <vt:lpstr>obalR2LOB2MarketShare</vt:lpstr>
      <vt:lpstr>obalR2LOB2MileageClinician1</vt:lpstr>
      <vt:lpstr>obalR2LOB2MileageClinician10</vt:lpstr>
      <vt:lpstr>obalR2LOB2MileageClinician11</vt:lpstr>
      <vt:lpstr>obalR2LOB2MileageClinician12</vt:lpstr>
      <vt:lpstr>obalR2LOB2MileageClinician2</vt:lpstr>
      <vt:lpstr>obalR2LOB2MileageClinician3</vt:lpstr>
      <vt:lpstr>obalR2LOB2MileageClinician4</vt:lpstr>
      <vt:lpstr>obalR2LOB2MileageClinician5</vt:lpstr>
      <vt:lpstr>obalR2LOB2MileageClinician6</vt:lpstr>
      <vt:lpstr>obalR2LOB2MileageClinician7</vt:lpstr>
      <vt:lpstr>obalR2LOB2MileageClinician8</vt:lpstr>
      <vt:lpstr>obalR2LOB2MileageClinician9</vt:lpstr>
      <vt:lpstr>obalR2LOB2MileagePVisitClinician1</vt:lpstr>
      <vt:lpstr>obalR2LOB2MileagePVisitClinician10</vt:lpstr>
      <vt:lpstr>obalR2LOB2MileagePVisitClinician11</vt:lpstr>
      <vt:lpstr>obalR2LOB2MileagePVisitClinician12</vt:lpstr>
      <vt:lpstr>obalR2LOB2MileagePVisitClinician2</vt:lpstr>
      <vt:lpstr>obalR2LOB2MileagePVisitClinician3</vt:lpstr>
      <vt:lpstr>obalR2LOB2MileagePVisitClinician4</vt:lpstr>
      <vt:lpstr>obalR2LOB2MileagePVisitClinician5</vt:lpstr>
      <vt:lpstr>obalR2LOB2MileagePVisitClinician6</vt:lpstr>
      <vt:lpstr>obalR2LOB2MileagePVisitClinician7</vt:lpstr>
      <vt:lpstr>obalR2LOB2MileagePVisitClinician8</vt:lpstr>
      <vt:lpstr>obalR2LOB2MileagePVisitClinician9</vt:lpstr>
      <vt:lpstr>obalR2LOB2NameClinician1</vt:lpstr>
      <vt:lpstr>obalR2LOB2NameClinician10</vt:lpstr>
      <vt:lpstr>obalR2LOB2NameClinician11</vt:lpstr>
      <vt:lpstr>obalR2LOB2NameClinician12</vt:lpstr>
      <vt:lpstr>obalR2LOB2NameClinician2</vt:lpstr>
      <vt:lpstr>obalR2LOB2NameClinician3</vt:lpstr>
      <vt:lpstr>obalR2LOB2NameClinician4</vt:lpstr>
      <vt:lpstr>obalR2LOB2NameClinician5</vt:lpstr>
      <vt:lpstr>obalR2LOB2NameClinician6</vt:lpstr>
      <vt:lpstr>obalR2LOB2NameClinician7</vt:lpstr>
      <vt:lpstr>obalR2LOB2NameClinician8</vt:lpstr>
      <vt:lpstr>obalR2LOB2NameClinician9</vt:lpstr>
      <vt:lpstr>obalR2LOB2NumProdClinician13</vt:lpstr>
      <vt:lpstr>obalR2LOB2NumProdClinician14</vt:lpstr>
      <vt:lpstr>obalR2LOB2NumProdClinician15</vt:lpstr>
      <vt:lpstr>obalR2LOB2NumProdClinician16</vt:lpstr>
      <vt:lpstr>obalR2LOB2PartEmpOverhead</vt:lpstr>
      <vt:lpstr>obalR2LOB2Prod2Seg1Perc</vt:lpstr>
      <vt:lpstr>obalR2LOB2Prod2Seg2Perc</vt:lpstr>
      <vt:lpstr>obalR2LOB2Prod2Seg3Perc</vt:lpstr>
      <vt:lpstr>obalR2LOB2Rev</vt:lpstr>
      <vt:lpstr>obalR2LOB2RevGrowth</vt:lpstr>
      <vt:lpstr>obalR2LOB2Seg1Perc</vt:lpstr>
      <vt:lpstr>obalR2LOB2Seg2Perc</vt:lpstr>
      <vt:lpstr>obalR2LOB2Seg3Perc</vt:lpstr>
      <vt:lpstr>obalR2LOB2Stars</vt:lpstr>
      <vt:lpstr>obalR2Rev</vt:lpstr>
      <vt:lpstr>obalR2RevGrowth</vt:lpstr>
      <vt:lpstr>obalR2SI1CodeR1</vt:lpstr>
      <vt:lpstr>obalR2SI1CodeR2</vt:lpstr>
      <vt:lpstr>obalR2SI1CodeR3</vt:lpstr>
      <vt:lpstr>obalR2SI2CodeR1</vt:lpstr>
      <vt:lpstr>obalR2SI2CodeR2</vt:lpstr>
      <vt:lpstr>obalR2SI2CodeR3</vt:lpstr>
      <vt:lpstr>obalR2SI3CodeR1</vt:lpstr>
      <vt:lpstr>obalR2SI3CodeR2</vt:lpstr>
      <vt:lpstr>obalR2SI3CodeR3</vt:lpstr>
      <vt:lpstr>obalR2SI4CodeR1</vt:lpstr>
      <vt:lpstr>obalR2SI4CodeR2</vt:lpstr>
      <vt:lpstr>obalR2SI4CodeR3</vt:lpstr>
      <vt:lpstr>obalR2SI5CodeR1</vt:lpstr>
      <vt:lpstr>obalR2SI5CodeR2</vt:lpstr>
      <vt:lpstr>obalR2SI5CodeR3</vt:lpstr>
      <vt:lpstr>obalR2Stars</vt:lpstr>
      <vt:lpstr>obalRev</vt:lpstr>
      <vt:lpstr>obalRevGrowth</vt:lpstr>
      <vt:lpstr>obalSI1CodeR1</vt:lpstr>
      <vt:lpstr>obalSI1CodeR2</vt:lpstr>
      <vt:lpstr>obalSI1CodeR3</vt:lpstr>
      <vt:lpstr>obalSI2CodeR1</vt:lpstr>
      <vt:lpstr>obalSI2CodeR2</vt:lpstr>
      <vt:lpstr>obalSI2CodeR3</vt:lpstr>
      <vt:lpstr>obalSI3CodeR1</vt:lpstr>
      <vt:lpstr>obalSI3CodeR2</vt:lpstr>
      <vt:lpstr>obalSI3CodeR3</vt:lpstr>
      <vt:lpstr>obalSI4CodeR1</vt:lpstr>
      <vt:lpstr>obalSI4CodeR2</vt:lpstr>
      <vt:lpstr>obalSI4CodeR3</vt:lpstr>
      <vt:lpstr>obalSI5CodeR1</vt:lpstr>
      <vt:lpstr>obalSI5CodeR2</vt:lpstr>
      <vt:lpstr>obalSI5CodeR3</vt:lpstr>
      <vt:lpstr>obalStars</vt:lpstr>
      <vt:lpstr>paramLOB1BDEngagement</vt:lpstr>
      <vt:lpstr>paramLOB1BDProductivity</vt:lpstr>
      <vt:lpstr>paramLOB1Clinician10Admin</vt:lpstr>
      <vt:lpstr>paramLOB1Clinician10Meetings</vt:lpstr>
      <vt:lpstr>paramLOB1Clinician10Mileage</vt:lpstr>
      <vt:lpstr>paramLOB1Clinician10Missed</vt:lpstr>
      <vt:lpstr>paramLOB1Clinician11Admin</vt:lpstr>
      <vt:lpstr>paramLOB1Clinician11Meetings</vt:lpstr>
      <vt:lpstr>paramLOB1Clinician11Mileage</vt:lpstr>
      <vt:lpstr>paramLOB1Clinician11Missed</vt:lpstr>
      <vt:lpstr>paramLOB1Clinician12Admin</vt:lpstr>
      <vt:lpstr>paramLOB1Clinician12Meetings</vt:lpstr>
      <vt:lpstr>paramLOB1Clinician12Mileage</vt:lpstr>
      <vt:lpstr>paramLOB1Clinician12Missed</vt:lpstr>
      <vt:lpstr>paramLOB1Clinician1Admin</vt:lpstr>
      <vt:lpstr>paramLOB1Clinician1Meetings</vt:lpstr>
      <vt:lpstr>paramLOB1Clinician1Mileage</vt:lpstr>
      <vt:lpstr>paramLOB1Clinician1Missed</vt:lpstr>
      <vt:lpstr>paramLOB1Clinician2Admin</vt:lpstr>
      <vt:lpstr>paramLOB1Clinician2Meetings</vt:lpstr>
      <vt:lpstr>paramLOB1Clinician2Mileage</vt:lpstr>
      <vt:lpstr>paramLOB1Clinician2Missed</vt:lpstr>
      <vt:lpstr>paramLOB1Clinician3Admin</vt:lpstr>
      <vt:lpstr>paramLOB1Clinician3Meetings</vt:lpstr>
      <vt:lpstr>paramLOB1Clinician3Mileage</vt:lpstr>
      <vt:lpstr>paramLOB1Clinician3Missed</vt:lpstr>
      <vt:lpstr>paramLOB1Clinician4Admin</vt:lpstr>
      <vt:lpstr>paramLOB1Clinician4Meetings</vt:lpstr>
      <vt:lpstr>paramLOB1Clinician4Mileage</vt:lpstr>
      <vt:lpstr>paramLOB1Clinician4Missed</vt:lpstr>
      <vt:lpstr>paramLOB1Clinician5Admin</vt:lpstr>
      <vt:lpstr>paramLOB1Clinician5Meetings</vt:lpstr>
      <vt:lpstr>paramLOB1Clinician5Mileage</vt:lpstr>
      <vt:lpstr>paramLOB1Clinician5Missed</vt:lpstr>
      <vt:lpstr>paramLOB1Clinician6Admin</vt:lpstr>
      <vt:lpstr>paramLOB1Clinician6Meetings</vt:lpstr>
      <vt:lpstr>paramLOB1Clinician6Mileage</vt:lpstr>
      <vt:lpstr>paramLOB1Clinician6Missed</vt:lpstr>
      <vt:lpstr>paramLOB1Clinician7Admin</vt:lpstr>
      <vt:lpstr>paramLOB1Clinician7Meetings</vt:lpstr>
      <vt:lpstr>paramLOB1Clinician7Mileage</vt:lpstr>
      <vt:lpstr>paramLOB1Clinician7Missed</vt:lpstr>
      <vt:lpstr>paramLOB1Clinician8Admin</vt:lpstr>
      <vt:lpstr>paramLOB1Clinician8Meetings</vt:lpstr>
      <vt:lpstr>paramLOB1Clinician8Mileage</vt:lpstr>
      <vt:lpstr>paramLOB1Clinician8Missed</vt:lpstr>
      <vt:lpstr>paramLOB1Clinician9Admin</vt:lpstr>
      <vt:lpstr>paramLOB1Clinician9Meetings</vt:lpstr>
      <vt:lpstr>paramLOB1Clinician9Mileage</vt:lpstr>
      <vt:lpstr>paramLOB1Clinician9Missed</vt:lpstr>
      <vt:lpstr>paramLOB1ClinicianRecruitment</vt:lpstr>
      <vt:lpstr>paramLOB1ClnAdminTime</vt:lpstr>
      <vt:lpstr>paramLOB1Disc1Meetings</vt:lpstr>
      <vt:lpstr>paramLOB1Disc1Missed</vt:lpstr>
      <vt:lpstr>paramLOB1Disc1Productivity</vt:lpstr>
      <vt:lpstr>paramLOB1Disc2Meetings</vt:lpstr>
      <vt:lpstr>paramLOB1Disc2Missed</vt:lpstr>
      <vt:lpstr>paramLOB1Disc2Productivity</vt:lpstr>
      <vt:lpstr>paramLOB1Disc3Meetings</vt:lpstr>
      <vt:lpstr>paramLOB1Disc3Missed</vt:lpstr>
      <vt:lpstr>paramLOB1Disc3Productivity</vt:lpstr>
      <vt:lpstr>paramLOB1Disc4Meetings</vt:lpstr>
      <vt:lpstr>paramLOB1Disc4Missed</vt:lpstr>
      <vt:lpstr>paramLOB1Disc4Productivity</vt:lpstr>
      <vt:lpstr>paramLOB1DOOProductivity</vt:lpstr>
      <vt:lpstr>paramLOB1DOOTime1</vt:lpstr>
      <vt:lpstr>paramLOB1DOOTime2</vt:lpstr>
      <vt:lpstr>paramLOB1DOOTime3</vt:lpstr>
      <vt:lpstr>paramLOB1DOOTime4</vt:lpstr>
      <vt:lpstr>paramLOB1DOOTime5</vt:lpstr>
      <vt:lpstr>paramLOB1DOOTime6</vt:lpstr>
      <vt:lpstr>paramLOB1Emp1VisitsPEmp</vt:lpstr>
      <vt:lpstr>paramLOB1Emp2VisitsPEmp</vt:lpstr>
      <vt:lpstr>paramLOB1Emp3VisitsPEmp</vt:lpstr>
      <vt:lpstr>paramLOB1EmployeeEngagement</vt:lpstr>
      <vt:lpstr>paramLOB1EmployeeProductivity</vt:lpstr>
      <vt:lpstr>paramLOB1Meetings</vt:lpstr>
      <vt:lpstr>paramLOB1Overhead</vt:lpstr>
      <vt:lpstr>paramLOB1Prod1Seg1RRM1</vt:lpstr>
      <vt:lpstr>paramLOB1Prod1Seg1RRM2</vt:lpstr>
      <vt:lpstr>paramLOB1Prod1Seg1RRM3</vt:lpstr>
      <vt:lpstr>paramLOB1Prod1Seg2RRM1</vt:lpstr>
      <vt:lpstr>paramLOB1Prod1Seg2RRM2</vt:lpstr>
      <vt:lpstr>paramLOB1Prod1Seg2RRM3</vt:lpstr>
      <vt:lpstr>paramLOB1Prod1Seg3RRM1</vt:lpstr>
      <vt:lpstr>paramLOB1Prod1Seg3RRM2</vt:lpstr>
      <vt:lpstr>paramLOB1Prod1Seg3RRM3</vt:lpstr>
      <vt:lpstr>paramLOB1Prod2Seg1RRM1</vt:lpstr>
      <vt:lpstr>paramLOB1Prod2Seg1RRM2</vt:lpstr>
      <vt:lpstr>paramLOB1Prod2Seg1RRM3</vt:lpstr>
      <vt:lpstr>paramLOB1Prod2Seg2RRM1</vt:lpstr>
      <vt:lpstr>paramLOB1Prod2Seg2RRM2</vt:lpstr>
      <vt:lpstr>paramLOB1Prod2Seg2RRM3</vt:lpstr>
      <vt:lpstr>paramLOB1Prod2Seg3RRM1</vt:lpstr>
      <vt:lpstr>paramLOB1Prod2Seg3RRM2</vt:lpstr>
      <vt:lpstr>paramLOB1Prod2Seg3RRM3</vt:lpstr>
      <vt:lpstr>paramLOB1ReferralSatisfaction</vt:lpstr>
      <vt:lpstr>paramLOB1ReferralVolume</vt:lpstr>
      <vt:lpstr>paramLOB1Stars</vt:lpstr>
      <vt:lpstr>paramLOB2BDEngagement</vt:lpstr>
      <vt:lpstr>paramLOB2BDProductivity</vt:lpstr>
      <vt:lpstr>paramLOB2Clinician10Admin</vt:lpstr>
      <vt:lpstr>paramLOB2Clinician10Meetings</vt:lpstr>
      <vt:lpstr>paramLOB2Clinician10Mileage</vt:lpstr>
      <vt:lpstr>paramLOB2Clinician10Missed</vt:lpstr>
      <vt:lpstr>paramLOB2Clinician11Admin</vt:lpstr>
      <vt:lpstr>paramLOB2Clinician11Meetings</vt:lpstr>
      <vt:lpstr>paramLOB2Clinician11Mileage</vt:lpstr>
      <vt:lpstr>paramLOB2Clinician11Missed</vt:lpstr>
      <vt:lpstr>paramLOB2Clinician12Admin</vt:lpstr>
      <vt:lpstr>paramLOB2Clinician12Meetings</vt:lpstr>
      <vt:lpstr>paramLOB2Clinician12Mileage</vt:lpstr>
      <vt:lpstr>paramLOB2Clinician12Missed</vt:lpstr>
      <vt:lpstr>paramLOB2Clinician1Admin</vt:lpstr>
      <vt:lpstr>paramLOB2Clinician1Meetings</vt:lpstr>
      <vt:lpstr>paramLOB2Clinician1Mileage</vt:lpstr>
      <vt:lpstr>paramLOB2Clinician1Missed</vt:lpstr>
      <vt:lpstr>paramLOB2Clinician2Admin</vt:lpstr>
      <vt:lpstr>paramLOB2Clinician2Meetings</vt:lpstr>
      <vt:lpstr>paramLOB2Clinician2Mileage</vt:lpstr>
      <vt:lpstr>paramLOB2Clinician2Missed</vt:lpstr>
      <vt:lpstr>paramLOB2Clinician3Admin</vt:lpstr>
      <vt:lpstr>paramLOB2Clinician3Meetings</vt:lpstr>
      <vt:lpstr>paramLOB2Clinician3Mileage</vt:lpstr>
      <vt:lpstr>paramLOB2Clinician3Missed</vt:lpstr>
      <vt:lpstr>paramLOB2Clinician4Admin</vt:lpstr>
      <vt:lpstr>paramLOB2Clinician4Meetings</vt:lpstr>
      <vt:lpstr>paramLOB2Clinician4Mileage</vt:lpstr>
      <vt:lpstr>paramLOB2Clinician4Missed</vt:lpstr>
      <vt:lpstr>paramLOB2Clinician5Admin</vt:lpstr>
      <vt:lpstr>paramLOB2Clinician5Meetings</vt:lpstr>
      <vt:lpstr>paramLOB2Clinician5Mileage</vt:lpstr>
      <vt:lpstr>paramLOB2Clinician5Missed</vt:lpstr>
      <vt:lpstr>paramLOB2Clinician6Admin</vt:lpstr>
      <vt:lpstr>paramLOB2Clinician6Meetings</vt:lpstr>
      <vt:lpstr>paramLOB2Clinician6Mileage</vt:lpstr>
      <vt:lpstr>paramLOB2Clinician6Missed</vt:lpstr>
      <vt:lpstr>paramLOB2Clinician7Admin</vt:lpstr>
      <vt:lpstr>paramLOB2Clinician7Meetings</vt:lpstr>
      <vt:lpstr>paramLOB2Clinician7Mileage</vt:lpstr>
      <vt:lpstr>paramLOB2Clinician7Missed</vt:lpstr>
      <vt:lpstr>paramLOB2Clinician8Admin</vt:lpstr>
      <vt:lpstr>paramLOB2Clinician8Meetings</vt:lpstr>
      <vt:lpstr>paramLOB2Clinician8Mileage</vt:lpstr>
      <vt:lpstr>paramLOB2Clinician8Missed</vt:lpstr>
      <vt:lpstr>paramLOB2Clinician9Admin</vt:lpstr>
      <vt:lpstr>paramLOB2Clinician9Meetings</vt:lpstr>
      <vt:lpstr>paramLOB2Clinician9Mileage</vt:lpstr>
      <vt:lpstr>paramLOB2Clinician9Missed</vt:lpstr>
      <vt:lpstr>paramLOB2ClinicianRecruitment</vt:lpstr>
      <vt:lpstr>paramLOB2ClnAdminTime</vt:lpstr>
      <vt:lpstr>paramLOB2Disc1Meetings</vt:lpstr>
      <vt:lpstr>paramLOB2Disc1Missed</vt:lpstr>
      <vt:lpstr>paramLOB2Disc1Productivity</vt:lpstr>
      <vt:lpstr>paramLOB2Disc2Meetings</vt:lpstr>
      <vt:lpstr>paramLOB2Disc2Missed</vt:lpstr>
      <vt:lpstr>paramLOB2Disc2Productivity</vt:lpstr>
      <vt:lpstr>paramLOB2Disc3Meetings</vt:lpstr>
      <vt:lpstr>paramLOB2Disc3Missed</vt:lpstr>
      <vt:lpstr>paramLOB2Disc3Productivity</vt:lpstr>
      <vt:lpstr>paramLOB2Disc4Meetings</vt:lpstr>
      <vt:lpstr>paramLOB2Disc4Missed</vt:lpstr>
      <vt:lpstr>paramLOB2Disc4Productivity</vt:lpstr>
      <vt:lpstr>paramLOB2DOOProductivity</vt:lpstr>
      <vt:lpstr>paramLOB2DOOTime1</vt:lpstr>
      <vt:lpstr>paramLOB2DOOTime2</vt:lpstr>
      <vt:lpstr>paramLOB2DOOTime3</vt:lpstr>
      <vt:lpstr>paramLOB2DOOTime4</vt:lpstr>
      <vt:lpstr>paramLOB2DOOTime5</vt:lpstr>
      <vt:lpstr>paramLOB2DOOTime6</vt:lpstr>
      <vt:lpstr>paramLOB2Emp1VisitsPEmp</vt:lpstr>
      <vt:lpstr>paramLOB2Emp2VisitsPEmp</vt:lpstr>
      <vt:lpstr>paramLOB2Emp3VisitsPEmp</vt:lpstr>
      <vt:lpstr>paramLOB2EmployeeEngagement</vt:lpstr>
      <vt:lpstr>paramLOB2EmployeeProductivity</vt:lpstr>
      <vt:lpstr>paramLOB2Meetings</vt:lpstr>
      <vt:lpstr>paramLOB2Overhead</vt:lpstr>
      <vt:lpstr>paramLOB2Prod1Seg1RRM1</vt:lpstr>
      <vt:lpstr>paramLOB2Prod1Seg1RRM2</vt:lpstr>
      <vt:lpstr>paramLOB2Prod1Seg1RRM3</vt:lpstr>
      <vt:lpstr>paramLOB2Prod1Seg2RRM1</vt:lpstr>
      <vt:lpstr>paramLOB2Prod1Seg2RRM2</vt:lpstr>
      <vt:lpstr>paramLOB2Prod1Seg2RRM3</vt:lpstr>
      <vt:lpstr>paramLOB2Prod1Seg3RRM1</vt:lpstr>
      <vt:lpstr>paramLOB2Prod1Seg3RRM2</vt:lpstr>
      <vt:lpstr>paramLOB2Prod1Seg3RRM3</vt:lpstr>
      <vt:lpstr>paramLOB2Prod2Seg1RRM1</vt:lpstr>
      <vt:lpstr>paramLOB2Prod2Seg1RRM2</vt:lpstr>
      <vt:lpstr>paramLOB2Prod2Seg1RRM3</vt:lpstr>
      <vt:lpstr>paramLOB2Prod2Seg2RRM1</vt:lpstr>
      <vt:lpstr>paramLOB2Prod2Seg2RRM2</vt:lpstr>
      <vt:lpstr>paramLOB2Prod2Seg2RRM3</vt:lpstr>
      <vt:lpstr>paramLOB2Prod2Seg3RRM1</vt:lpstr>
      <vt:lpstr>paramLOB2Prod2Seg3RRM2</vt:lpstr>
      <vt:lpstr>paramLOB2Prod2Seg3RRM3</vt:lpstr>
      <vt:lpstr>paramLOB2ReferralSatisfaction</vt:lpstr>
      <vt:lpstr>paramLOB2ReferralVolume</vt:lpstr>
      <vt:lpstr>paramLOB2Stars</vt:lpstr>
      <vt:lpstr>paramR2LOB1BDEngagement</vt:lpstr>
      <vt:lpstr>paramR2LOB1BDProductivity</vt:lpstr>
      <vt:lpstr>paramR2LOB1Clinician10Admin</vt:lpstr>
      <vt:lpstr>paramR2LOB1Clinician10Meetings</vt:lpstr>
      <vt:lpstr>paramR2LOB1Clinician10Mileage</vt:lpstr>
      <vt:lpstr>paramR2LOB1Clinician10Missed</vt:lpstr>
      <vt:lpstr>paramR2LOB1Clinician11Admin</vt:lpstr>
      <vt:lpstr>paramR2LOB1Clinician11Meetings</vt:lpstr>
      <vt:lpstr>paramR2LOB1Clinician11Mileage</vt:lpstr>
      <vt:lpstr>paramR2LOB1Clinician11Missed</vt:lpstr>
      <vt:lpstr>paramR2LOB1Clinician12Admin</vt:lpstr>
      <vt:lpstr>paramR2LOB1Clinician12Meetings</vt:lpstr>
      <vt:lpstr>paramR2LOB1Clinician12Mileage</vt:lpstr>
      <vt:lpstr>paramR2LOB1Clinician12Missed</vt:lpstr>
      <vt:lpstr>paramR2LOB1Clinician1Admin</vt:lpstr>
      <vt:lpstr>paramR2LOB1Clinician1Meetings</vt:lpstr>
      <vt:lpstr>paramR2LOB1Clinician1Mileage</vt:lpstr>
      <vt:lpstr>paramR2LOB1Clinician1Missed</vt:lpstr>
      <vt:lpstr>paramR2LOB1Clinician2Admin</vt:lpstr>
      <vt:lpstr>paramR2LOB1Clinician2Meetings</vt:lpstr>
      <vt:lpstr>paramR2LOB1Clinician2Mileage</vt:lpstr>
      <vt:lpstr>paramR2LOB1Clinician2Missed</vt:lpstr>
      <vt:lpstr>paramR2LOB1Clinician3Admin</vt:lpstr>
      <vt:lpstr>paramR2LOB1Clinician3Meetings</vt:lpstr>
      <vt:lpstr>paramR2LOB1Clinician3Mileage</vt:lpstr>
      <vt:lpstr>paramR2LOB1Clinician3Missed</vt:lpstr>
      <vt:lpstr>paramR2LOB1Clinician4Admin</vt:lpstr>
      <vt:lpstr>paramR2LOB1Clinician4Meetings</vt:lpstr>
      <vt:lpstr>paramR2LOB1Clinician4Mileage</vt:lpstr>
      <vt:lpstr>paramR2LOB1Clinician4Missed</vt:lpstr>
      <vt:lpstr>paramR2LOB1Clinician5Admin</vt:lpstr>
      <vt:lpstr>paramR2LOB1Clinician5Meetings</vt:lpstr>
      <vt:lpstr>paramR2LOB1Clinician5Mileage</vt:lpstr>
      <vt:lpstr>paramR2LOB1Clinician5Missed</vt:lpstr>
      <vt:lpstr>paramR2LOB1Clinician6Admin</vt:lpstr>
      <vt:lpstr>paramR2LOB1Clinician6Meetings</vt:lpstr>
      <vt:lpstr>paramR2LOB1Clinician6Mileage</vt:lpstr>
      <vt:lpstr>paramR2LOB1Clinician6Missed</vt:lpstr>
      <vt:lpstr>paramR2LOB1Clinician7Admin</vt:lpstr>
      <vt:lpstr>paramR2LOB1Clinician7Meetings</vt:lpstr>
      <vt:lpstr>paramR2LOB1Clinician7Mileage</vt:lpstr>
      <vt:lpstr>paramR2LOB1Clinician7Missed</vt:lpstr>
      <vt:lpstr>paramR2LOB1Clinician8Admin</vt:lpstr>
      <vt:lpstr>paramR2LOB1Clinician8Meetings</vt:lpstr>
      <vt:lpstr>paramR2LOB1Clinician8Mileage</vt:lpstr>
      <vt:lpstr>paramR2LOB1Clinician8Missed</vt:lpstr>
      <vt:lpstr>paramR2LOB1Clinician9Admin</vt:lpstr>
      <vt:lpstr>paramR2LOB1Clinician9Meetings</vt:lpstr>
      <vt:lpstr>paramR2LOB1Clinician9Mileage</vt:lpstr>
      <vt:lpstr>paramR2LOB1Clinician9Missed</vt:lpstr>
      <vt:lpstr>paramR2LOB1ClinicianRecruitment</vt:lpstr>
      <vt:lpstr>paramR2LOB1ClnAdminTime</vt:lpstr>
      <vt:lpstr>paramR2LOB1Disc1Meetings</vt:lpstr>
      <vt:lpstr>paramR2LOB1Disc1Missed</vt:lpstr>
      <vt:lpstr>paramR2LOB1Disc1Productivity</vt:lpstr>
      <vt:lpstr>paramR2LOB1Disc2Meetings</vt:lpstr>
      <vt:lpstr>paramR2LOB1Disc2Missed</vt:lpstr>
      <vt:lpstr>paramR2LOB1Disc2Productivity</vt:lpstr>
      <vt:lpstr>paramR2LOB1Disc3Meetings</vt:lpstr>
      <vt:lpstr>paramR2LOB1Disc3Missed</vt:lpstr>
      <vt:lpstr>paramR2LOB1Disc3Productivity</vt:lpstr>
      <vt:lpstr>paramR2LOB1Disc4Meetings</vt:lpstr>
      <vt:lpstr>paramR2LOB1Disc4Missed</vt:lpstr>
      <vt:lpstr>paramR2LOB1Disc4Productivity</vt:lpstr>
      <vt:lpstr>paramR2LOB1DOOProductivity</vt:lpstr>
      <vt:lpstr>paramR2LOB1DOOTime1</vt:lpstr>
      <vt:lpstr>paramR2LOB1DOOTime2</vt:lpstr>
      <vt:lpstr>paramR2LOB1DOOTime3</vt:lpstr>
      <vt:lpstr>paramR2LOB1DOOTime4</vt:lpstr>
      <vt:lpstr>paramR2LOB1DOOTime5</vt:lpstr>
      <vt:lpstr>paramR2LOB1DOOTime6</vt:lpstr>
      <vt:lpstr>paramR2LOB1Emp1VisitsPEmp</vt:lpstr>
      <vt:lpstr>paramR2LOB1Emp2VisitsPEmp</vt:lpstr>
      <vt:lpstr>paramR2LOB1Emp3VisitsPEmp</vt:lpstr>
      <vt:lpstr>paramR2LOB1EmployeeEngagement</vt:lpstr>
      <vt:lpstr>paramR2LOB1EmployeeProductivity</vt:lpstr>
      <vt:lpstr>paramR2LOB1Meetings</vt:lpstr>
      <vt:lpstr>paramR2LOB1Overhead</vt:lpstr>
      <vt:lpstr>paramR2LOB1Prod1Seg1RRM1</vt:lpstr>
      <vt:lpstr>paramR2LOB1Prod1Seg1RRM2</vt:lpstr>
      <vt:lpstr>paramR2LOB1Prod1Seg1RRM3</vt:lpstr>
      <vt:lpstr>paramR2LOB1Prod1Seg2RRM1</vt:lpstr>
      <vt:lpstr>paramR2LOB1Prod1Seg2RRM2</vt:lpstr>
      <vt:lpstr>paramR2LOB1Prod1Seg2RRM3</vt:lpstr>
      <vt:lpstr>paramR2LOB1Prod1Seg3RRM1</vt:lpstr>
      <vt:lpstr>paramR2LOB1Prod1Seg3RRM2</vt:lpstr>
      <vt:lpstr>paramR2LOB1Prod1Seg3RRM3</vt:lpstr>
      <vt:lpstr>paramR2LOB1Prod2Seg1RRM1</vt:lpstr>
      <vt:lpstr>paramR2LOB1Prod2Seg1RRM2</vt:lpstr>
      <vt:lpstr>paramR2LOB1Prod2Seg1RRM3</vt:lpstr>
      <vt:lpstr>paramR2LOB1Prod2Seg2RRM1</vt:lpstr>
      <vt:lpstr>paramR2LOB1Prod2Seg2RRM2</vt:lpstr>
      <vt:lpstr>paramR2LOB1Prod2Seg2RRM3</vt:lpstr>
      <vt:lpstr>paramR2LOB1Prod2Seg3RRM1</vt:lpstr>
      <vt:lpstr>paramR2LOB1Prod2Seg3RRM2</vt:lpstr>
      <vt:lpstr>paramR2LOB1Prod2Seg3RRM3</vt:lpstr>
      <vt:lpstr>paramR2LOB1ReferralSatisfaction</vt:lpstr>
      <vt:lpstr>paramR2LOB1ReferralVolume</vt:lpstr>
      <vt:lpstr>paramR2LOB1Stars</vt:lpstr>
      <vt:lpstr>paramR2LOB2BDEngagement</vt:lpstr>
      <vt:lpstr>paramR2LOB2BDProductivity</vt:lpstr>
      <vt:lpstr>paramR2LOB2Clinician10Admin</vt:lpstr>
      <vt:lpstr>paramR2LOB2Clinician10Meetings</vt:lpstr>
      <vt:lpstr>paramR2LOB2Clinician10Mileage</vt:lpstr>
      <vt:lpstr>paramR2LOB2Clinician10Missed</vt:lpstr>
      <vt:lpstr>paramR2LOB2Clinician11Admin</vt:lpstr>
      <vt:lpstr>paramR2LOB2Clinician11Meetings</vt:lpstr>
      <vt:lpstr>paramR2LOB2Clinician11Mileage</vt:lpstr>
      <vt:lpstr>paramR2LOB2Clinician11Missed</vt:lpstr>
      <vt:lpstr>paramR2LOB2Clinician12Admin</vt:lpstr>
      <vt:lpstr>paramR2LOB2Clinician12Meetings</vt:lpstr>
      <vt:lpstr>paramR2LOB2Clinician12Mileage</vt:lpstr>
      <vt:lpstr>paramR2LOB2Clinician12Missed</vt:lpstr>
      <vt:lpstr>paramR2LOB2Clinician1Admin</vt:lpstr>
      <vt:lpstr>paramR2LOB2Clinician1Meetings</vt:lpstr>
      <vt:lpstr>paramR2LOB2Clinician1Mileage</vt:lpstr>
      <vt:lpstr>paramR2LOB2Clinician1Missed</vt:lpstr>
      <vt:lpstr>paramR2LOB2Clinician2Admin</vt:lpstr>
      <vt:lpstr>paramR2LOB2Clinician2Meetings</vt:lpstr>
      <vt:lpstr>paramR2LOB2Clinician2Mileage</vt:lpstr>
      <vt:lpstr>paramR2LOB2Clinician2Missed</vt:lpstr>
      <vt:lpstr>paramR2LOB2Clinician3Admin</vt:lpstr>
      <vt:lpstr>paramR2LOB2Clinician3Meetings</vt:lpstr>
      <vt:lpstr>paramR2LOB2Clinician3Mileage</vt:lpstr>
      <vt:lpstr>paramR2LOB2Clinician3Missed</vt:lpstr>
      <vt:lpstr>paramR2LOB2Clinician4Admin</vt:lpstr>
      <vt:lpstr>paramR2LOB2Clinician4Meetings</vt:lpstr>
      <vt:lpstr>paramR2LOB2Clinician4Mileage</vt:lpstr>
      <vt:lpstr>paramR2LOB2Clinician4Missed</vt:lpstr>
      <vt:lpstr>paramR2LOB2Clinician5Admin</vt:lpstr>
      <vt:lpstr>paramR2LOB2Clinician5Meetings</vt:lpstr>
      <vt:lpstr>paramR2LOB2Clinician5Mileage</vt:lpstr>
      <vt:lpstr>paramR2LOB2Clinician5Missed</vt:lpstr>
      <vt:lpstr>paramR2LOB2Clinician6Admin</vt:lpstr>
      <vt:lpstr>paramR2LOB2Clinician6Meetings</vt:lpstr>
      <vt:lpstr>paramR2LOB2Clinician6Mileage</vt:lpstr>
      <vt:lpstr>paramR2LOB2Clinician6Missed</vt:lpstr>
      <vt:lpstr>paramR2LOB2Clinician7Admin</vt:lpstr>
      <vt:lpstr>paramR2LOB2Clinician7Meetings</vt:lpstr>
      <vt:lpstr>paramR2LOB2Clinician7Mileage</vt:lpstr>
      <vt:lpstr>paramR2LOB2Clinician7Missed</vt:lpstr>
      <vt:lpstr>paramR2LOB2Clinician8Admin</vt:lpstr>
      <vt:lpstr>paramR2LOB2Clinician8Meetings</vt:lpstr>
      <vt:lpstr>paramR2LOB2Clinician8Mileage</vt:lpstr>
      <vt:lpstr>paramR2LOB2Clinician8Missed</vt:lpstr>
      <vt:lpstr>paramR2LOB2Clinician9Admin</vt:lpstr>
      <vt:lpstr>paramR2LOB2Clinician9Meetings</vt:lpstr>
      <vt:lpstr>paramR2LOB2Clinician9Mileage</vt:lpstr>
      <vt:lpstr>paramR2LOB2Clinician9Missed</vt:lpstr>
      <vt:lpstr>paramR2LOB2ClinicianRecruitment</vt:lpstr>
      <vt:lpstr>paramR2LOB2ClnAdminTime</vt:lpstr>
      <vt:lpstr>paramR2LOB2Disc1Meetings</vt:lpstr>
      <vt:lpstr>paramR2LOB2Disc1Missed</vt:lpstr>
      <vt:lpstr>paramR2LOB2Disc1Productivity</vt:lpstr>
      <vt:lpstr>paramR2LOB2Disc2Meetings</vt:lpstr>
      <vt:lpstr>paramR2LOB2Disc2Missed</vt:lpstr>
      <vt:lpstr>paramR2LOB2Disc2Productivity</vt:lpstr>
      <vt:lpstr>paramR2LOB2Disc3Meetings</vt:lpstr>
      <vt:lpstr>paramR2LOB2Disc3Missed</vt:lpstr>
      <vt:lpstr>paramR2LOB2Disc3Productivity</vt:lpstr>
      <vt:lpstr>paramR2LOB2Disc4Meetings</vt:lpstr>
      <vt:lpstr>paramR2LOB2Disc4Missed</vt:lpstr>
      <vt:lpstr>paramR2LOB2Disc4Productivity</vt:lpstr>
      <vt:lpstr>paramR2LOB2DOOProductivity</vt:lpstr>
      <vt:lpstr>paramR2LOB2DOOTime1</vt:lpstr>
      <vt:lpstr>paramR2LOB2DOOTime2</vt:lpstr>
      <vt:lpstr>paramR2LOB2DOOTime3</vt:lpstr>
      <vt:lpstr>paramR2LOB2DOOTime4</vt:lpstr>
      <vt:lpstr>paramR2LOB2DOOTime5</vt:lpstr>
      <vt:lpstr>paramR2LOB2DOOTime6</vt:lpstr>
      <vt:lpstr>paramR2LOB2Emp1VisitsPEmp</vt:lpstr>
      <vt:lpstr>paramR2LOB2Emp2VisitsPEmp</vt:lpstr>
      <vt:lpstr>paramR2LOB2Emp3VisitsPEmp</vt:lpstr>
      <vt:lpstr>paramR2LOB2EmployeeEngagement</vt:lpstr>
      <vt:lpstr>paramR2LOB2EmployeeProductivity</vt:lpstr>
      <vt:lpstr>paramR2LOB2Meetings</vt:lpstr>
      <vt:lpstr>paramR2LOB2Overhead</vt:lpstr>
      <vt:lpstr>paramR2LOB2Prod1Seg1RRM1</vt:lpstr>
      <vt:lpstr>paramR2LOB2Prod1Seg1RRM2</vt:lpstr>
      <vt:lpstr>paramR2LOB2Prod1Seg1RRM3</vt:lpstr>
      <vt:lpstr>paramR2LOB2Prod1Seg2RRM1</vt:lpstr>
      <vt:lpstr>paramR2LOB2Prod1Seg2RRM2</vt:lpstr>
      <vt:lpstr>paramR2LOB2Prod1Seg2RRM3</vt:lpstr>
      <vt:lpstr>paramR2LOB2Prod1Seg3RRM1</vt:lpstr>
      <vt:lpstr>paramR2LOB2Prod1Seg3RRM2</vt:lpstr>
      <vt:lpstr>paramR2LOB2Prod1Seg3RRM3</vt:lpstr>
      <vt:lpstr>paramR2LOB2Prod2Seg1RRM1</vt:lpstr>
      <vt:lpstr>paramR2LOB2Prod2Seg1RRM2</vt:lpstr>
      <vt:lpstr>paramR2LOB2Prod2Seg1RRM3</vt:lpstr>
      <vt:lpstr>paramR2LOB2Prod2Seg2RRM1</vt:lpstr>
      <vt:lpstr>paramR2LOB2Prod2Seg2RRM2</vt:lpstr>
      <vt:lpstr>paramR2LOB2Prod2Seg2RRM3</vt:lpstr>
      <vt:lpstr>paramR2LOB2Prod2Seg3RRM1</vt:lpstr>
      <vt:lpstr>paramR2LOB2Prod2Seg3RRM2</vt:lpstr>
      <vt:lpstr>paramR2LOB2Prod2Seg3RRM3</vt:lpstr>
      <vt:lpstr>paramR2LOB2ReferralSatisfaction</vt:lpstr>
      <vt:lpstr>paramR2LOB2ReferralVolume</vt:lpstr>
      <vt:lpstr>paramR2LOB2Stars</vt:lpstr>
      <vt:lpstr>paramR2TimeConversion</vt:lpstr>
      <vt:lpstr>paramR2WorkWeeksPYear</vt:lpstr>
      <vt:lpstr>paramTimeConversion</vt:lpstr>
      <vt:lpstr>paramWorkWeeksPYear</vt:lpstr>
      <vt:lpstr>CasePnL!Print_Area</vt:lpstr>
      <vt:lpstr>tlIntro!Screen</vt:lpstr>
      <vt:lpstr>sim_OnResetGoTo</vt:lpstr>
      <vt:lpstr>simulation_Type</vt:lpstr>
      <vt:lpstr>tblMMLOB1Drivers</vt:lpstr>
      <vt:lpstr>tblMMLOB2Drivers</vt:lpstr>
      <vt:lpstr>tlInputLOB1Cln10Mtng_R1</vt:lpstr>
      <vt:lpstr>tlInputLOB1Cln10Mtng_R2</vt:lpstr>
      <vt:lpstr>tlInputLOB1Cln10Text_R1</vt:lpstr>
      <vt:lpstr>tlInputLOB1Cln10Text_R2</vt:lpstr>
      <vt:lpstr>tlInputLOB1Cln10WeekProdMod_R1</vt:lpstr>
      <vt:lpstr>tlInputLOB1Cln10WeekProdMod_R2</vt:lpstr>
      <vt:lpstr>tlInputLOB1Cln11Dis_R1</vt:lpstr>
      <vt:lpstr>tlInputLOB1Cln11Dis_R2</vt:lpstr>
      <vt:lpstr>tlInputLOB1Cln11Mtng_R1</vt:lpstr>
      <vt:lpstr>tlInputLOB1Cln11Mtng_R2</vt:lpstr>
      <vt:lpstr>tlInputLOB1Cln11Status_R1</vt:lpstr>
      <vt:lpstr>tlInputLOB1Cln11Status_R2</vt:lpstr>
      <vt:lpstr>tlInputLOB1Cln11Text_R1</vt:lpstr>
      <vt:lpstr>tlInputLOB1Cln11Text_R2</vt:lpstr>
      <vt:lpstr>tlInputLOB1Cln11WeekProdMod_R1</vt:lpstr>
      <vt:lpstr>tlInputLOB1Cln11WeekProdMod_R2</vt:lpstr>
      <vt:lpstr>tlInputLOB1Cln12Dis_R1</vt:lpstr>
      <vt:lpstr>tlInputLOB1Cln12Dis_R2</vt:lpstr>
      <vt:lpstr>tlInputLOB1Cln12Mtng_R1</vt:lpstr>
      <vt:lpstr>tlInputLOB1Cln12Mtng_R2</vt:lpstr>
      <vt:lpstr>tlInputLOB1Cln12Status_R1</vt:lpstr>
      <vt:lpstr>tlInputLOB1Cln12Status_R2</vt:lpstr>
      <vt:lpstr>tlInputLOB1Cln12Text_R1</vt:lpstr>
      <vt:lpstr>tlInputLOB1Cln12Text_R2</vt:lpstr>
      <vt:lpstr>tlInputLOB1Cln12WeekProdMod_R1</vt:lpstr>
      <vt:lpstr>tlInputLOB1Cln12WeekProdMod_R2</vt:lpstr>
      <vt:lpstr>tlInputLOB1Cln1Mtng_R1</vt:lpstr>
      <vt:lpstr>tlInputLOB1Cln1Mtng_R2</vt:lpstr>
      <vt:lpstr>tlInputLOB1Cln1Text_R1</vt:lpstr>
      <vt:lpstr>tlInputLOB1Cln1Text_R2</vt:lpstr>
      <vt:lpstr>tlInputLOB1Cln1WeekProdMod_R1</vt:lpstr>
      <vt:lpstr>tlInputLOB1Cln1WeekProdMod_R2</vt:lpstr>
      <vt:lpstr>tlInputLOB1Cln2Mtng_R1</vt:lpstr>
      <vt:lpstr>tlInputLOB1Cln2Mtng_R2</vt:lpstr>
      <vt:lpstr>tlInputLOB1Cln2Text_R1</vt:lpstr>
      <vt:lpstr>tlInputLOB1Cln2Text_R2</vt:lpstr>
      <vt:lpstr>tlInputLOB1Cln2WeekProdMod_R1</vt:lpstr>
      <vt:lpstr>tlInputLOB1Cln2WeekProdMod_R2</vt:lpstr>
      <vt:lpstr>tlInputLOB1Cln3Mtng_R1</vt:lpstr>
      <vt:lpstr>tlInputLOB1Cln3Mtng_R2</vt:lpstr>
      <vt:lpstr>tlInputLOB1Cln3Text_R1</vt:lpstr>
      <vt:lpstr>tlInputLOB1Cln3Text_R2</vt:lpstr>
      <vt:lpstr>tlInputLOB1Cln3WeekProdMod_R1</vt:lpstr>
      <vt:lpstr>tlInputLOB1Cln3WeekProdMod_R2</vt:lpstr>
      <vt:lpstr>tlInputLOB1Cln4Mtng_R1</vt:lpstr>
      <vt:lpstr>tlInputLOB1Cln4Mtng_R2</vt:lpstr>
      <vt:lpstr>tlInputLOB1Cln4Text_R1</vt:lpstr>
      <vt:lpstr>tlInputLOB1Cln4Text_R2</vt:lpstr>
      <vt:lpstr>tlInputLOB1Cln4WeekProdMod_R1</vt:lpstr>
      <vt:lpstr>tlInputLOB1Cln4WeekProdMod_R2</vt:lpstr>
      <vt:lpstr>tlInputLOB1Cln5Mtng_R1</vt:lpstr>
      <vt:lpstr>tlInputLOB1Cln5Mtng_R2</vt:lpstr>
      <vt:lpstr>tlInputLOB1Cln5Text_R1</vt:lpstr>
      <vt:lpstr>tlInputLOB1Cln5Text_R2</vt:lpstr>
      <vt:lpstr>tlInputLOB1Cln5WeekProdMod_R1</vt:lpstr>
      <vt:lpstr>tlInputLOB1Cln5WeekProdMod_R2</vt:lpstr>
      <vt:lpstr>tlInputLOB1Cln6Mtng_R1</vt:lpstr>
      <vt:lpstr>tlInputLOB1Cln6Mtng_R2</vt:lpstr>
      <vt:lpstr>tlInputLOB1Cln6Text_R1</vt:lpstr>
      <vt:lpstr>tlInputLOB1Cln6Text_R2</vt:lpstr>
      <vt:lpstr>tlInputLOB1Cln6WeekProdMod_R1</vt:lpstr>
      <vt:lpstr>tlInputLOB1Cln6WeekProdMod_R2</vt:lpstr>
      <vt:lpstr>tlInputLOB1Cln7Mtng_R1</vt:lpstr>
      <vt:lpstr>tlInputLOB1Cln7Mtng_R2</vt:lpstr>
      <vt:lpstr>tlInputLOB1Cln7Text_R1</vt:lpstr>
      <vt:lpstr>tlInputLOB1Cln7Text_R2</vt:lpstr>
      <vt:lpstr>tlInputLOB1Cln7WeekProdMod_R1</vt:lpstr>
      <vt:lpstr>tlInputLOB1Cln7WeekProdMod_R2</vt:lpstr>
      <vt:lpstr>tlInputLOB1Cln8Mtng_R1</vt:lpstr>
      <vt:lpstr>tlInputLOB1Cln8Mtng_R2</vt:lpstr>
      <vt:lpstr>tlInputLOB1Cln8Text_R1</vt:lpstr>
      <vt:lpstr>tlInputLOB1Cln8Text_R2</vt:lpstr>
      <vt:lpstr>tlInputLOB1Cln8WeekProdMod_R1</vt:lpstr>
      <vt:lpstr>tlInputLOB1Cln8WeekProdMod_R2</vt:lpstr>
      <vt:lpstr>tlInputLOB1Cln9Mtng_R1</vt:lpstr>
      <vt:lpstr>tlInputLOB1Cln9Mtng_R2</vt:lpstr>
      <vt:lpstr>tlInputLOB1Cln9Text_R1</vt:lpstr>
      <vt:lpstr>tlInputLOB1Cln9Text_R2</vt:lpstr>
      <vt:lpstr>tlInputLOB1Cln9WeekProdMod_R1</vt:lpstr>
      <vt:lpstr>tlInputLOB1Cln9WeekProdMod_R2</vt:lpstr>
      <vt:lpstr>tlInputLOB1DOOAdjTime1_R1</vt:lpstr>
      <vt:lpstr>tlInputLOB1DOOAdjTime1_R2</vt:lpstr>
      <vt:lpstr>tlInputLOB1DOOAdjTime2_R1</vt:lpstr>
      <vt:lpstr>tlInputLOB1DOOAdjTime2_R2</vt:lpstr>
      <vt:lpstr>tlInputLOB1DOOAdjTime3_R1</vt:lpstr>
      <vt:lpstr>tlInputLOB1DOOAdjTime3_R2</vt:lpstr>
      <vt:lpstr>tlInputLOB1DOOAdjTime4_R1</vt:lpstr>
      <vt:lpstr>tlInputLOB1DOOAdjTime4_R2</vt:lpstr>
      <vt:lpstr>tlInputLOB1DOOAdjTime5_R1</vt:lpstr>
      <vt:lpstr>tlInputLOB1DOOAdjTime5_R2</vt:lpstr>
      <vt:lpstr>tlInputLOB1DOOAdjTime6_R1</vt:lpstr>
      <vt:lpstr>tlInputLOB1DOOAdjTime6_R2</vt:lpstr>
      <vt:lpstr>tlInputLOB1DOOFocusDecisionMade_R1</vt:lpstr>
      <vt:lpstr>tlInputLOB1DOOFocusDecisionMade_R2</vt:lpstr>
      <vt:lpstr>tlInputLOB1ForecastDecisionMade_R1</vt:lpstr>
      <vt:lpstr>tlInputLOB1ForecastDecisionMade_R2</vt:lpstr>
      <vt:lpstr>tlInputLOB1MaxSpecProg_R1</vt:lpstr>
      <vt:lpstr>tlInputLOB1MaxSpecProg_R2</vt:lpstr>
      <vt:lpstr>tlInputLOB1Prod1Seg1Adj_R1</vt:lpstr>
      <vt:lpstr>tlInputLOB1Prod1Seg1Adj_R2</vt:lpstr>
      <vt:lpstr>tlInputLOB1Prod1Seg2Adj_R1</vt:lpstr>
      <vt:lpstr>tlInputLOB1Prod1Seg2Adj_R2</vt:lpstr>
      <vt:lpstr>tlInputLOB1Prod1Seg3Adj_R1</vt:lpstr>
      <vt:lpstr>tlInputLOB1Prod1Seg3Adj_R2</vt:lpstr>
      <vt:lpstr>tlInputLOB1Prod2Seg1Adj_R1</vt:lpstr>
      <vt:lpstr>tlInputLOB1Prod2Seg1Adj_R2</vt:lpstr>
      <vt:lpstr>tlInputLOB1Prod2Seg2Adj_R1</vt:lpstr>
      <vt:lpstr>tlInputLOB1Prod2Seg2Adj_R2</vt:lpstr>
      <vt:lpstr>tlInputLOB1Prod2Seg3Adj_R1</vt:lpstr>
      <vt:lpstr>tlInputLOB1Prod2Seg3Adj_R2</vt:lpstr>
      <vt:lpstr>tlInputLOB1SpecProg1_R1</vt:lpstr>
      <vt:lpstr>tlInputLOB1SpecProg1_R2</vt:lpstr>
      <vt:lpstr>tlInputLOB1SpecProg2_R1</vt:lpstr>
      <vt:lpstr>tlInputLOB1SpecProg2_R2</vt:lpstr>
      <vt:lpstr>tlInputLOB1SpecProg3_R1</vt:lpstr>
      <vt:lpstr>tlInputLOB1SpecProg3_R2</vt:lpstr>
      <vt:lpstr>tlInputLOB1SpecProg4_R1</vt:lpstr>
      <vt:lpstr>tlInputLOB1SpecProg4_R2</vt:lpstr>
      <vt:lpstr>tlInputLOB1StaffDecisionMade_R1</vt:lpstr>
      <vt:lpstr>tlInputLOB1StaffDecisionMade_R2</vt:lpstr>
      <vt:lpstr>tlInputLOB2Cln10Mtng_R1</vt:lpstr>
      <vt:lpstr>tlInputLOB2Cln10Mtng_R2</vt:lpstr>
      <vt:lpstr>tlInputLOB2Cln10Text_R1</vt:lpstr>
      <vt:lpstr>tlInputLOB2Cln10Text_R2</vt:lpstr>
      <vt:lpstr>tlInputLOB2Cln10WeekProdMod_R1</vt:lpstr>
      <vt:lpstr>tlInputLOB2Cln10WeekProdMod_R2</vt:lpstr>
      <vt:lpstr>tlInputLOB2Cln11Dis_R1</vt:lpstr>
      <vt:lpstr>tlInputLOB2Cln11Dis_R2</vt:lpstr>
      <vt:lpstr>tlInputLOB2Cln11Mtng_R1</vt:lpstr>
      <vt:lpstr>tlInputLOB2Cln11Mtng_R2</vt:lpstr>
      <vt:lpstr>tlInputLOB2Cln11Status_R1</vt:lpstr>
      <vt:lpstr>tlInputLOB2Cln11Status_R2</vt:lpstr>
      <vt:lpstr>tlInputLOB2Cln11Text_R1</vt:lpstr>
      <vt:lpstr>tlInputLOB2Cln11Text_R2</vt:lpstr>
      <vt:lpstr>tlInputLOB2Cln11WeekProdMod_R1</vt:lpstr>
      <vt:lpstr>tlInputLOB2Cln11WeekProdMod_R2</vt:lpstr>
      <vt:lpstr>tlInputLOB2Cln12Dis_R1</vt:lpstr>
      <vt:lpstr>tlInputLOB2Cln12Dis_R2</vt:lpstr>
      <vt:lpstr>tlInputLOB2Cln12Mtng_R1</vt:lpstr>
      <vt:lpstr>tlInputLOB2Cln12Mtng_R2</vt:lpstr>
      <vt:lpstr>tlInputLOB2Cln12Status_R1</vt:lpstr>
      <vt:lpstr>tlInputLOB2Cln12Status_R2</vt:lpstr>
      <vt:lpstr>tlInputLOB2Cln12Text_R1</vt:lpstr>
      <vt:lpstr>tlInputLOB2Cln12Text_R2</vt:lpstr>
      <vt:lpstr>tlInputLOB2Cln12WeekProdMod_R1</vt:lpstr>
      <vt:lpstr>tlInputLOB2Cln12WeekProdMod_R2</vt:lpstr>
      <vt:lpstr>tlInputLOB2Cln1Mtng_R1</vt:lpstr>
      <vt:lpstr>tlInputLOB2Cln1Mtng_R2</vt:lpstr>
      <vt:lpstr>tlInputLOB2Cln1Text_R1</vt:lpstr>
      <vt:lpstr>tlInputLOB2Cln1Text_R2</vt:lpstr>
      <vt:lpstr>tlInputLOB2Cln1WeekProdMod_R1</vt:lpstr>
      <vt:lpstr>tlInputLOB2Cln1WeekProdMod_R2</vt:lpstr>
      <vt:lpstr>tlInputLOB2Cln2Mtng_R1</vt:lpstr>
      <vt:lpstr>tlInputLOB2Cln2Mtng_R2</vt:lpstr>
      <vt:lpstr>tlInputLOB2Cln2Text_R1</vt:lpstr>
      <vt:lpstr>tlInputLOB2Cln2Text_R2</vt:lpstr>
      <vt:lpstr>tlInputLOB2Cln2WeekProdMod_R1</vt:lpstr>
      <vt:lpstr>tlInputLOB2Cln2WeekProdMod_R2</vt:lpstr>
      <vt:lpstr>tlInputLOB2Cln3Mtng_R1</vt:lpstr>
      <vt:lpstr>tlInputLOB2Cln3Mtng_R2</vt:lpstr>
      <vt:lpstr>tlInputLOB2Cln3Text_R1</vt:lpstr>
      <vt:lpstr>tlInputLOB2Cln3Text_R2</vt:lpstr>
      <vt:lpstr>tlInputLOB2Cln3WeekProdMod_R1</vt:lpstr>
      <vt:lpstr>tlInputLOB2Cln3WeekProdMod_R2</vt:lpstr>
      <vt:lpstr>tlInputLOB2Cln4Mtng_R1</vt:lpstr>
      <vt:lpstr>tlInputLOB2Cln4Mtng_R2</vt:lpstr>
      <vt:lpstr>tlInputLOB2Cln4Text_R1</vt:lpstr>
      <vt:lpstr>tlInputLOB2Cln4Text_R2</vt:lpstr>
      <vt:lpstr>tlInputLOB2Cln4WeekProdMod_R1</vt:lpstr>
      <vt:lpstr>tlInputLOB2Cln4WeekProdMod_R2</vt:lpstr>
      <vt:lpstr>tlInputLOB2Cln5Mtng_R1</vt:lpstr>
      <vt:lpstr>tlInputLOB2Cln5Mtng_R2</vt:lpstr>
      <vt:lpstr>tlInputLOB2Cln5Text_R1</vt:lpstr>
      <vt:lpstr>tlInputLOB2Cln5Text_R2</vt:lpstr>
      <vt:lpstr>tlInputLOB2Cln5WeekProdMod_R1</vt:lpstr>
      <vt:lpstr>tlInputLOB2Cln5WeekProdMod_R2</vt:lpstr>
      <vt:lpstr>tlInputLOB2Cln6Mtng_R1</vt:lpstr>
      <vt:lpstr>tlInputLOB2Cln6Mtng_R2</vt:lpstr>
      <vt:lpstr>tlInputLOB2Cln6Text_R1</vt:lpstr>
      <vt:lpstr>tlInputLOB2Cln6Text_R2</vt:lpstr>
      <vt:lpstr>tlInputLOB2Cln6WeekProdMod_R1</vt:lpstr>
      <vt:lpstr>tlInputLOB2Cln6WeekProdMod_R2</vt:lpstr>
      <vt:lpstr>tlInputLOB2Cln7Mtng_R1</vt:lpstr>
      <vt:lpstr>tlInputLOB2Cln7Mtng_R2</vt:lpstr>
      <vt:lpstr>tlInputLOB2Cln7Text_R1</vt:lpstr>
      <vt:lpstr>tlInputLOB2Cln7Text_R2</vt:lpstr>
      <vt:lpstr>tlInputLOB2Cln7WeekProdMod_R1</vt:lpstr>
      <vt:lpstr>tlInputLOB2Cln7WeekProdMod_R2</vt:lpstr>
      <vt:lpstr>tlInputLOB2Cln8Mtng_R1</vt:lpstr>
      <vt:lpstr>tlInputLOB2Cln8Mtng_R2</vt:lpstr>
      <vt:lpstr>tlInputLOB2Cln8Text_R1</vt:lpstr>
      <vt:lpstr>tlInputLOB2Cln8Text_R2</vt:lpstr>
      <vt:lpstr>tlInputLOB2Cln8WeekProdMod_R1</vt:lpstr>
      <vt:lpstr>tlInputLOB2Cln8WeekProdMod_R2</vt:lpstr>
      <vt:lpstr>tlInputLOB2Cln9Mtng_R1</vt:lpstr>
      <vt:lpstr>tlInputLOB2Cln9Mtng_R2</vt:lpstr>
      <vt:lpstr>tlInputLOB2Cln9Text_R1</vt:lpstr>
      <vt:lpstr>tlInputLOB2Cln9Text_R2</vt:lpstr>
      <vt:lpstr>tlInputLOB2Cln9WeekProdMod_R1</vt:lpstr>
      <vt:lpstr>tlInputLOB2Cln9WeekProdMod_R2</vt:lpstr>
      <vt:lpstr>tlInputLOB2DOOAdjTime1_R1</vt:lpstr>
      <vt:lpstr>tlInputLOB2DOOAdjTime1_R2</vt:lpstr>
      <vt:lpstr>tlInputLOB2DOOAdjTime2_R1</vt:lpstr>
      <vt:lpstr>tlInputLOB2DOOAdjTime2_R2</vt:lpstr>
      <vt:lpstr>tlInputLOB2DOOAdjTime3_R1</vt:lpstr>
      <vt:lpstr>tlInputLOB2DOOAdjTime3_R2</vt:lpstr>
      <vt:lpstr>tlInputLOB2DOOAdjTime4_R1</vt:lpstr>
      <vt:lpstr>tlInputLOB2DOOAdjTime4_R2</vt:lpstr>
      <vt:lpstr>tlInputLOB2DOOAdjTime5_R1</vt:lpstr>
      <vt:lpstr>tlInputLOB2DOOAdjTime5_R2</vt:lpstr>
      <vt:lpstr>tlInputLOB2DOOAdjTime6_R1</vt:lpstr>
      <vt:lpstr>tlInputLOB2DOOAdjTime6_R2</vt:lpstr>
      <vt:lpstr>tlInputLOB2DOOFocusDecisionMade_R1</vt:lpstr>
      <vt:lpstr>tlInputLOB2DOOFocusDecisionMade_R2</vt:lpstr>
      <vt:lpstr>tlInputLOB2ForecastDecisionMade_R1</vt:lpstr>
      <vt:lpstr>tlInputLOB2ForecastDecisionMade_R2</vt:lpstr>
      <vt:lpstr>tlInputLOB2MaxSpecProg_R1</vt:lpstr>
      <vt:lpstr>tlInputLOB2MaxSpecProg_R2</vt:lpstr>
      <vt:lpstr>tlInputLOB2Prod1Seg1Adj_R1</vt:lpstr>
      <vt:lpstr>tlInputLOB2Prod1Seg1Adj_R2</vt:lpstr>
      <vt:lpstr>tlInputLOB2Prod1Seg2Adj_R1</vt:lpstr>
      <vt:lpstr>tlInputLOB2Prod1Seg2Adj_R2</vt:lpstr>
      <vt:lpstr>tlInputLOB2Prod1Seg3Adj_R1</vt:lpstr>
      <vt:lpstr>tlInputLOB2Prod1Seg3Adj_R2</vt:lpstr>
      <vt:lpstr>tlInputLOB2Prod2Seg1Adj_R1</vt:lpstr>
      <vt:lpstr>tlInputLOB2Prod2Seg1Adj_R2</vt:lpstr>
      <vt:lpstr>tlInputLOB2Prod2Seg2Adj_R1</vt:lpstr>
      <vt:lpstr>tlInputLOB2Prod2Seg2Adj_R2</vt:lpstr>
      <vt:lpstr>tlInputLOB2Prod2Seg3Adj_R1</vt:lpstr>
      <vt:lpstr>tlInputLOB2Prod2Seg3Adj_R2</vt:lpstr>
      <vt:lpstr>tlInputLOB2SpecProg1_R1</vt:lpstr>
      <vt:lpstr>tlInputLOB2SpecProg1_R2</vt:lpstr>
      <vt:lpstr>tlInputLOB2SpecProg2_R1</vt:lpstr>
      <vt:lpstr>tlInputLOB2SpecProg2_R2</vt:lpstr>
      <vt:lpstr>tlInputLOB2SpecProg3_R1</vt:lpstr>
      <vt:lpstr>tlInputLOB2SpecProg3_R2</vt:lpstr>
      <vt:lpstr>tlInputLOB2SpecProg4_R1</vt:lpstr>
      <vt:lpstr>tlInputLOB2SpecProg4_R2</vt:lpstr>
      <vt:lpstr>tlInputLOB2StaffDecisionMade_R1</vt:lpstr>
      <vt:lpstr>tlInputLOB2StaffDecisionMade_R2</vt:lpstr>
      <vt:lpstr>tlInputOpportunities</vt:lpstr>
      <vt:lpstr>tlInputR1Event1</vt:lpstr>
      <vt:lpstr>tlInputR1Event1Status</vt:lpstr>
      <vt:lpstr>tlInputR1Event2</vt:lpstr>
      <vt:lpstr>tlInputR1Event2Status</vt:lpstr>
      <vt:lpstr>tlInputR1Event3</vt:lpstr>
      <vt:lpstr>tlInputR1Event3Status</vt:lpstr>
      <vt:lpstr>tlInputR1Event4</vt:lpstr>
      <vt:lpstr>tlInputR1Event4Status</vt:lpstr>
      <vt:lpstr>tlInputR2Event1</vt:lpstr>
      <vt:lpstr>tlInputR2Event1Status</vt:lpstr>
      <vt:lpstr>tlInputR2Event2</vt:lpstr>
      <vt:lpstr>tlInputR2Event2Status</vt:lpstr>
      <vt:lpstr>tlInputR2Event3</vt:lpstr>
      <vt:lpstr>tlInputR2Event3Status</vt:lpstr>
      <vt:lpstr>tlInputR2Event4</vt:lpstr>
      <vt:lpstr>tlInputR2Event4Status</vt:lpstr>
      <vt:lpstr>tlInputR2Event5</vt:lpstr>
      <vt:lpstr>tlInputR2Event5Status</vt:lpstr>
      <vt:lpstr>tlInputReadR1Event1</vt:lpstr>
      <vt:lpstr>tlInputReadR1Event2</vt:lpstr>
      <vt:lpstr>tlInputReadR1Event3</vt:lpstr>
      <vt:lpstr>tlInputReadR1Event4</vt:lpstr>
      <vt:lpstr>tlInputReadR1Message1</vt:lpstr>
      <vt:lpstr>tlInputReadR2Event1</vt:lpstr>
      <vt:lpstr>tlInputReadR2Event2</vt:lpstr>
      <vt:lpstr>tlInputReadR2Event3</vt:lpstr>
      <vt:lpstr>tlInputReadR2Event4</vt:lpstr>
      <vt:lpstr>tlInputReadR2Event5</vt:lpstr>
      <vt:lpstr>tlInputReadR2Message1</vt:lpstr>
      <vt:lpstr>tlInputStrategyVision</vt:lpstr>
      <vt:lpstr>tlInputStrengths</vt:lpstr>
      <vt:lpstr>tlInputSubmitted_R1</vt:lpstr>
      <vt:lpstr>tlInputSubmitted_R2</vt:lpstr>
      <vt:lpstr>tlInputTeamName</vt:lpstr>
      <vt:lpstr>tlInputTeamNumber</vt:lpstr>
      <vt:lpstr>tlInputTeamYear</vt:lpstr>
      <vt:lpstr>tlInputThreats</vt:lpstr>
      <vt:lpstr>tlInputWeaknesses</vt:lpstr>
      <vt:lpstr>tlOutputComp1FBAdmintPerc_R1</vt:lpstr>
      <vt:lpstr>tlOutputComp1FBAdmintPerc_R2</vt:lpstr>
      <vt:lpstr>tlOutputComp1FBCapacityPerc_R1</vt:lpstr>
      <vt:lpstr>tlOutputComp1FBCapacityPerc_R2</vt:lpstr>
      <vt:lpstr>tlOutputComp1FBCSAT_R1</vt:lpstr>
      <vt:lpstr>tlOutputComp1FBCSAT_R2</vt:lpstr>
      <vt:lpstr>tlOutputComp1FBCSATImpact1_R1</vt:lpstr>
      <vt:lpstr>tlOutputComp1FBCSATImpact1_R2</vt:lpstr>
      <vt:lpstr>tlOutputComp1FBCSATImpact2_R1</vt:lpstr>
      <vt:lpstr>tlOutputComp1FBCSATImpact2_R2</vt:lpstr>
      <vt:lpstr>tlOutputComp1FBCSATImpact3_R1</vt:lpstr>
      <vt:lpstr>tlOutputComp1FBCSATImpact3_R2</vt:lpstr>
      <vt:lpstr>tlOutputComp1FBCSATImpact4_R1</vt:lpstr>
      <vt:lpstr>tlOutputComp1FBCSATImpact4_R2</vt:lpstr>
      <vt:lpstr>tlOutputComp1FBEmp1Capacity_R1</vt:lpstr>
      <vt:lpstr>tlOutputComp1FBEmp1Capacity_R2</vt:lpstr>
      <vt:lpstr>tlOutputComp1FBEmp1Cost_R1</vt:lpstr>
      <vt:lpstr>tlOutputComp1FBEmp1Cost_R2</vt:lpstr>
      <vt:lpstr>tlOutputComp1FBEmp1Visits_R1</vt:lpstr>
      <vt:lpstr>tlOutputComp1FBEmp1Visits_R2</vt:lpstr>
      <vt:lpstr>tlOutputComp1FBEmp2Capacity_R1</vt:lpstr>
      <vt:lpstr>tlOutputComp1FBEmp2Capacity_R2</vt:lpstr>
      <vt:lpstr>tlOutputComp1FBEmp2Cost_R1</vt:lpstr>
      <vt:lpstr>tlOutputComp1FBEmp2Cost_R2</vt:lpstr>
      <vt:lpstr>tlOutputComp1FBEmp2Visits_R1</vt:lpstr>
      <vt:lpstr>tlOutputComp1FBEmp2Visits_R2</vt:lpstr>
      <vt:lpstr>tlOutputComp1FBEmp3Capacity_R1</vt:lpstr>
      <vt:lpstr>tlOutputComp1FBEmp3Capacity_R2</vt:lpstr>
      <vt:lpstr>tlOutputComp1FBEmp3Cost_R1</vt:lpstr>
      <vt:lpstr>tlOutputComp1FBEmp3Cost_R2</vt:lpstr>
      <vt:lpstr>tlOutputComp1FBEmp3Visits_R1</vt:lpstr>
      <vt:lpstr>tlOutputComp1FBEmp3Visits_R2</vt:lpstr>
      <vt:lpstr>tlOutputComp1FBEmpOverhead_R1</vt:lpstr>
      <vt:lpstr>tlOutputComp1FBEmpOverhead_R2</vt:lpstr>
      <vt:lpstr>tlOutputComp1FBESAT_R1</vt:lpstr>
      <vt:lpstr>tlOutputComp1FBESAT_R2</vt:lpstr>
      <vt:lpstr>tlOutputComp1FBESATImpact1_R1</vt:lpstr>
      <vt:lpstr>tlOutputComp1FBESATImpact1_R2</vt:lpstr>
      <vt:lpstr>tlOutputComp1FBESATImpact2_R1</vt:lpstr>
      <vt:lpstr>tlOutputComp1FBESATImpact2_R2</vt:lpstr>
      <vt:lpstr>tlOutputComp1FBESATImpact3_R1</vt:lpstr>
      <vt:lpstr>tlOutputComp1FBESATImpact3_R2</vt:lpstr>
      <vt:lpstr>tlOutputComp1FBESATImpact4_R1</vt:lpstr>
      <vt:lpstr>tlOutputComp1FBESATImpact4_R2</vt:lpstr>
      <vt:lpstr>tlOutputComp1FBGrossMargin_R1</vt:lpstr>
      <vt:lpstr>tlOutputComp1FBGrossMargin_R2</vt:lpstr>
      <vt:lpstr>tlOutputComp1FBGrossProfit_R1</vt:lpstr>
      <vt:lpstr>tlOutputComp1FBGrossProfit_R2</vt:lpstr>
      <vt:lpstr>tlOutputComp1FBLOB1CSAT_R2</vt:lpstr>
      <vt:lpstr>tlOutputComp1FBLOB1CSATImpact1_R2</vt:lpstr>
      <vt:lpstr>tlOutputComp1FBLOB1CSATImpact2_R2</vt:lpstr>
      <vt:lpstr>tlOutputComp1FBLOB1CSATImpact3_R2</vt:lpstr>
      <vt:lpstr>tlOutputComp1FBLOB1CSATImpact4_R2</vt:lpstr>
      <vt:lpstr>tlOutputComp1FBLOB1ESAT_R2</vt:lpstr>
      <vt:lpstr>tlOutputComp1FBLOB1ESATImpact1_R2</vt:lpstr>
      <vt:lpstr>tlOutputComp1FBLOB1ESATImpact2_R2</vt:lpstr>
      <vt:lpstr>tlOutputComp1FBLOB1ESATImpact3_R2</vt:lpstr>
      <vt:lpstr>tlOutputComp1FBLOB1Stars_R2</vt:lpstr>
      <vt:lpstr>tlOutputComp1FBLOB1StarsImpact1_R2</vt:lpstr>
      <vt:lpstr>tlOutputComp1FBLOB1StarsImpact2_R2</vt:lpstr>
      <vt:lpstr>tlOutputComp1FBLOB1StarsImpact3_R2</vt:lpstr>
      <vt:lpstr>tlOutputComp1FBLOB1StarsImpact4_R2</vt:lpstr>
      <vt:lpstr>tlOutputComp1FBLOB1StarsImpact5_R2</vt:lpstr>
      <vt:lpstr>tlOutputComp1FBLOB2CSAT_R2</vt:lpstr>
      <vt:lpstr>tlOutputComp1FBLOB2CSATImpact1_R2</vt:lpstr>
      <vt:lpstr>tlOutputComp1FBLOB2CSATImpact2_R2</vt:lpstr>
      <vt:lpstr>tlOutputComp1FBLOB2CSATImpact3_R2</vt:lpstr>
      <vt:lpstr>tlOutputComp1FBLOB2CSATImpact4_R2</vt:lpstr>
      <vt:lpstr>tlOutputComp1FBLOB2ESAT_R2</vt:lpstr>
      <vt:lpstr>tlOutputComp1FBLOB2ESATImpact1_R2</vt:lpstr>
      <vt:lpstr>tlOutputComp1FBLOB2ESATImpact2_R2</vt:lpstr>
      <vt:lpstr>tlOutputComp1FBLOB2ESATImpact3_R2</vt:lpstr>
      <vt:lpstr>tlOutputComp1FBLOB2Stars_R2</vt:lpstr>
      <vt:lpstr>tlOutputComp1FBLOB2StarsImpact1_R2</vt:lpstr>
      <vt:lpstr>tlOutputComp1FBLOB2StarsImpact2_R2</vt:lpstr>
      <vt:lpstr>tlOutputComp1FBLOB2StarsImpact3_R2</vt:lpstr>
      <vt:lpstr>tlOutputComp1FBLOB2StarsImpact4_R2</vt:lpstr>
      <vt:lpstr>tlOutputComp1FBLOB2StarsImpact5_R2</vt:lpstr>
      <vt:lpstr>tlOutputComp1FBOpMargin_R1</vt:lpstr>
      <vt:lpstr>tlOutputComp1FBOpMargin_R2</vt:lpstr>
      <vt:lpstr>tlOutputComp1FBOpProfit_R1</vt:lpstr>
      <vt:lpstr>tlOutputComp1FBOpProfit_R2</vt:lpstr>
      <vt:lpstr>tlOutputComp1FBProd1Seg1Patients_R1</vt:lpstr>
      <vt:lpstr>tlOutputComp1FBProd1Seg1Patients_R2</vt:lpstr>
      <vt:lpstr>tlOutputComp1FBProd1Seg2Patients_R1</vt:lpstr>
      <vt:lpstr>tlOutputComp1FBProd1Seg2Patients_R2</vt:lpstr>
      <vt:lpstr>tlOutputComp1FBProd1Seg3Patients_R1</vt:lpstr>
      <vt:lpstr>tlOutputComp1FBProd1Seg3Patients_R2</vt:lpstr>
      <vt:lpstr>tlOutputComp1FBProd2Seg1Patients_R1</vt:lpstr>
      <vt:lpstr>tlOutputComp1FBProd2Seg1Patients_R2</vt:lpstr>
      <vt:lpstr>tlOutputComp1FBProd2Seg2Patients_R1</vt:lpstr>
      <vt:lpstr>tlOutputComp1FBProd2Seg2Patients_R2</vt:lpstr>
      <vt:lpstr>tlOutputComp1FBProd2Seg3Patients_R1</vt:lpstr>
      <vt:lpstr>tlOutputComp1FBProd2Seg3Patients_R2</vt:lpstr>
      <vt:lpstr>tlOutputComp1FBRevGrowth_R1</vt:lpstr>
      <vt:lpstr>tlOutputComp1FBRevGrowth_R2</vt:lpstr>
      <vt:lpstr>tlOutputComp1FBSeg1Rev_R1</vt:lpstr>
      <vt:lpstr>tlOutputComp1FBSeg1Rev_R2</vt:lpstr>
      <vt:lpstr>tlOutputComp1FBSeg2Rev_R1</vt:lpstr>
      <vt:lpstr>tlOutputComp1FBSeg2Rev_R2</vt:lpstr>
      <vt:lpstr>tlOutputComp1FBSeg3Rev_R1</vt:lpstr>
      <vt:lpstr>tlOutputComp1FBSeg3Rev_R2</vt:lpstr>
      <vt:lpstr>tlOutputComp1FBServiceCost_R1</vt:lpstr>
      <vt:lpstr>tlOutputComp1FBServiceCost_R2</vt:lpstr>
      <vt:lpstr>tlOutputComp1FBStars_R1</vt:lpstr>
      <vt:lpstr>tlOutputComp1FBStars_R2</vt:lpstr>
      <vt:lpstr>tlOutputComp1FBStarsImpact1_R1</vt:lpstr>
      <vt:lpstr>tlOutputComp1FBStarsImpact1_R2</vt:lpstr>
      <vt:lpstr>tlOutputComp1FBStarsImpact2_R1</vt:lpstr>
      <vt:lpstr>tlOutputComp1FBStarsImpact2_R2</vt:lpstr>
      <vt:lpstr>tlOutputComp1FBStarsImpact3_R1</vt:lpstr>
      <vt:lpstr>tlOutputComp1FBStarsImpact3_R2</vt:lpstr>
      <vt:lpstr>tlOutputComp1FBStarsImpact4_R1</vt:lpstr>
      <vt:lpstr>tlOutputComp1FBStarsImpact4_R2</vt:lpstr>
      <vt:lpstr>tlOutputComp1FBStarsImpact5_R1</vt:lpstr>
      <vt:lpstr>tlOutputComp1FBStarsImpact5_R2</vt:lpstr>
      <vt:lpstr>tlOutputComp1FBTeamName_R1</vt:lpstr>
      <vt:lpstr>tlOutputComp1FBTeamName_R2</vt:lpstr>
      <vt:lpstr>tlOutputComp1LOB1MSR_1</vt:lpstr>
      <vt:lpstr>tlOutputComp1LOB1MSR_2</vt:lpstr>
      <vt:lpstr>tlOutputComp1LOB1MSR0</vt:lpstr>
      <vt:lpstr>tlOutputComp1LOB2MSR_1</vt:lpstr>
      <vt:lpstr>tlOutputComp1LOB2MSR_2</vt:lpstr>
      <vt:lpstr>tlOutputComp1LOB2MSR0</vt:lpstr>
      <vt:lpstr>tlOutputComp2FBAdmintPerc_R1</vt:lpstr>
      <vt:lpstr>tlOutputComp2FBAdmintPerc_R2</vt:lpstr>
      <vt:lpstr>tlOutputComp2FBCapacityPerc_R1</vt:lpstr>
      <vt:lpstr>tlOutputComp2FBCapacityPerc_R2</vt:lpstr>
      <vt:lpstr>tlOutputComp2FBCSAT_R1</vt:lpstr>
      <vt:lpstr>tlOutputComp2FBCSAT_R2</vt:lpstr>
      <vt:lpstr>tlOutputComp2FBCSATImpact1_R1</vt:lpstr>
      <vt:lpstr>tlOutputComp2FBCSATImpact1_R2</vt:lpstr>
      <vt:lpstr>tlOutputComp2FBCSATImpact2_R1</vt:lpstr>
      <vt:lpstr>tlOutputComp2FBCSATImpact2_R2</vt:lpstr>
      <vt:lpstr>tlOutputComp2FBCSATImpact3_R1</vt:lpstr>
      <vt:lpstr>tlOutputComp2FBCSATImpact3_R2</vt:lpstr>
      <vt:lpstr>tlOutputComp2FBCSATImpact4_R1</vt:lpstr>
      <vt:lpstr>tlOutputComp2FBCSATImpact4_R2</vt:lpstr>
      <vt:lpstr>tlOutputComp2FBEmp1Capacity_R1</vt:lpstr>
      <vt:lpstr>tlOutputComp2FBEmp1Capacity_R2</vt:lpstr>
      <vt:lpstr>tlOutputComp2FBEmp1Cost_R1</vt:lpstr>
      <vt:lpstr>tlOutputComp2FBEmp1Cost_R2</vt:lpstr>
      <vt:lpstr>tlOutputComp2FBEmp1Visits_R1</vt:lpstr>
      <vt:lpstr>tlOutputComp2FBEmp1Visits_R2</vt:lpstr>
      <vt:lpstr>tlOutputComp2FBEmp2Capacity_R1</vt:lpstr>
      <vt:lpstr>tlOutputComp2FBEmp2Capacity_R2</vt:lpstr>
      <vt:lpstr>tlOutputComp2FBEmp2Cost_R1</vt:lpstr>
      <vt:lpstr>tlOutputComp2FBEmp2Cost_R2</vt:lpstr>
      <vt:lpstr>tlOutputComp2FBEmp2Visits_R1</vt:lpstr>
      <vt:lpstr>tlOutputComp2FBEmp2Visits_R2</vt:lpstr>
      <vt:lpstr>tlOutputComp2FBEmp3Capacity_R1</vt:lpstr>
      <vt:lpstr>tlOutputComp2FBEmp3Capacity_R2</vt:lpstr>
      <vt:lpstr>tlOutputComp2FBEmp3Cost_R1</vt:lpstr>
      <vt:lpstr>tlOutputComp2FBEmp3Cost_R2</vt:lpstr>
      <vt:lpstr>tlOutputComp2FBEmp3Visits_R1</vt:lpstr>
      <vt:lpstr>tlOutputComp2FBEmp3Visits_R2</vt:lpstr>
      <vt:lpstr>tlOutputComp2FBEmpOverhead_R1</vt:lpstr>
      <vt:lpstr>tlOutputComp2FBEmpOverhead_R2</vt:lpstr>
      <vt:lpstr>tlOutputComp2FBESAT_R1</vt:lpstr>
      <vt:lpstr>tlOutputComp2FBESAT_R2</vt:lpstr>
      <vt:lpstr>tlOutputComp2FBESATImpact1_R1</vt:lpstr>
      <vt:lpstr>tlOutputComp2FBESATImpact1_R2</vt:lpstr>
      <vt:lpstr>tlOutputComp2FBESATImpact2_R1</vt:lpstr>
      <vt:lpstr>tlOutputComp2FBESATImpact2_R2</vt:lpstr>
      <vt:lpstr>tlOutputComp2FBESATImpact3_R1</vt:lpstr>
      <vt:lpstr>tlOutputComp2FBESATImpact3_R2</vt:lpstr>
      <vt:lpstr>tlOutputComp2FBESATImpact4_R1</vt:lpstr>
      <vt:lpstr>tlOutputComp2FBESATImpact4_R2</vt:lpstr>
      <vt:lpstr>tlOutputComp2FBGrossMargin_R1</vt:lpstr>
      <vt:lpstr>tlOutputComp2FBGrossMargin_R2</vt:lpstr>
      <vt:lpstr>tlOutputComp2FBGrossProfit_R1</vt:lpstr>
      <vt:lpstr>tlOutputComp2FBGrossProfit_R2</vt:lpstr>
      <vt:lpstr>tlOutputComp2FBLOB1CSAT_R2</vt:lpstr>
      <vt:lpstr>tlOutputComp2FBLOB1CSATImpact1_R2</vt:lpstr>
      <vt:lpstr>tlOutputComp2FBLOB1CSATImpact2_R2</vt:lpstr>
      <vt:lpstr>tlOutputComp2FBLOB1CSATImpact3_R2</vt:lpstr>
      <vt:lpstr>tlOutputComp2FBLOB1CSATImpact4_R2</vt:lpstr>
      <vt:lpstr>tlOutputComp2FBLOB1ESAT_R2</vt:lpstr>
      <vt:lpstr>tlOutputComp2FBLOB1ESATImpact1_R2</vt:lpstr>
      <vt:lpstr>tlOutputComp2FBLOB1ESATImpact2_R2</vt:lpstr>
      <vt:lpstr>tlOutputComp2FBLOB1ESATImpact3_R2</vt:lpstr>
      <vt:lpstr>tlOutputComp2FBLOB1Stars_R2</vt:lpstr>
      <vt:lpstr>tlOutputComp2FBLOB1StarsImpact1_R2</vt:lpstr>
      <vt:lpstr>tlOutputComp2FBLOB1StarsImpact2_R2</vt:lpstr>
      <vt:lpstr>tlOutputComp2FBLOB1StarsImpact3_R2</vt:lpstr>
      <vt:lpstr>tlOutputComp2FBLOB1StarsImpact4_R2</vt:lpstr>
      <vt:lpstr>tlOutputComp2FBLOB1StarsImpact5_R2</vt:lpstr>
      <vt:lpstr>tlOutputComp2FBLOB2CSAT_R2</vt:lpstr>
      <vt:lpstr>tlOutputComp2FBLOB2CSATImpact1_R2</vt:lpstr>
      <vt:lpstr>tlOutputComp2FBLOB2CSATImpact2_R2</vt:lpstr>
      <vt:lpstr>tlOutputComp2FBLOB2CSATImpact3_R2</vt:lpstr>
      <vt:lpstr>tlOutputComp2FBLOB2CSATImpact4_R2</vt:lpstr>
      <vt:lpstr>tlOutputComp2FBLOB2ESAT_R2</vt:lpstr>
      <vt:lpstr>tlOutputComp2FBLOB2ESATImpact1_R2</vt:lpstr>
      <vt:lpstr>tlOutputComp2FBLOB2ESATImpact2_R2</vt:lpstr>
      <vt:lpstr>tlOutputComp2FBLOB2ESATImpact3_R2</vt:lpstr>
      <vt:lpstr>tlOutputComp2FBLOB2Stars_R2</vt:lpstr>
      <vt:lpstr>tlOutputComp2FBLOB2StarsImpact1_R2</vt:lpstr>
      <vt:lpstr>tlOutputComp2FBLOB2StarsImpact2_R2</vt:lpstr>
      <vt:lpstr>tlOutputComp2FBLOB2StarsImpact3_R2</vt:lpstr>
      <vt:lpstr>tlOutputComp2FBLOB2StarsImpact4_R2</vt:lpstr>
      <vt:lpstr>tlOutputComp2FBLOB2StarsImpact5_R2</vt:lpstr>
      <vt:lpstr>tlOutputComp2FBOpMargin_R1</vt:lpstr>
      <vt:lpstr>tlOutputComp2FBOpMargin_R2</vt:lpstr>
      <vt:lpstr>tlOutputComp2FBOpProfit_R1</vt:lpstr>
      <vt:lpstr>tlOutputComp2FBOpProfit_R2</vt:lpstr>
      <vt:lpstr>tlOutputComp2FBProd1Seg1Patients_R1</vt:lpstr>
      <vt:lpstr>tlOutputComp2FBProd1Seg1Patients_R2</vt:lpstr>
      <vt:lpstr>tlOutputComp2FBProd1Seg2Patients_R1</vt:lpstr>
      <vt:lpstr>tlOutputComp2FBProd1Seg2Patients_R2</vt:lpstr>
      <vt:lpstr>tlOutputComp2FBProd1Seg3Patients_R1</vt:lpstr>
      <vt:lpstr>tlOutputComp2FBProd1Seg3Patients_R2</vt:lpstr>
      <vt:lpstr>tlOutputComp2FBProd2Seg1Patients_R1</vt:lpstr>
      <vt:lpstr>tlOutputComp2FBProd2Seg1Patients_R2</vt:lpstr>
      <vt:lpstr>tlOutputComp2FBProd2Seg2Patients_R1</vt:lpstr>
      <vt:lpstr>tlOutputComp2FBProd2Seg2Patients_R2</vt:lpstr>
      <vt:lpstr>tlOutputComp2FBProd2Seg3Patients_R1</vt:lpstr>
      <vt:lpstr>tlOutputComp2FBProd2Seg3Patients_R2</vt:lpstr>
      <vt:lpstr>tlOutputComp2FBRevGrowth_R1</vt:lpstr>
      <vt:lpstr>tlOutputComp2FBRevGrowth_R2</vt:lpstr>
      <vt:lpstr>tlOutputComp2FBSeg1Rev_R1</vt:lpstr>
      <vt:lpstr>tlOutputComp2FBSeg1Rev_R2</vt:lpstr>
      <vt:lpstr>tlOutputComp2FBSeg2Rev_R1</vt:lpstr>
      <vt:lpstr>tlOutputComp2FBSeg2Rev_R2</vt:lpstr>
      <vt:lpstr>tlOutputComp2FBSeg3Rev_R1</vt:lpstr>
      <vt:lpstr>tlOutputComp2FBSeg3Rev_R2</vt:lpstr>
      <vt:lpstr>tlOutputComp2FBServiceCost_R1</vt:lpstr>
      <vt:lpstr>tlOutputComp2FBServiceCost_R2</vt:lpstr>
      <vt:lpstr>tlOutputComp2FBStars_R1</vt:lpstr>
      <vt:lpstr>tlOutputComp2FBStars_R2</vt:lpstr>
      <vt:lpstr>tlOutputComp2FBStarsImpact1_R1</vt:lpstr>
      <vt:lpstr>tlOutputComp2FBStarsImpact1_R2</vt:lpstr>
      <vt:lpstr>tlOutputComp2FBStarsImpact2_R1</vt:lpstr>
      <vt:lpstr>tlOutputComp2FBStarsImpact2_R2</vt:lpstr>
      <vt:lpstr>tlOutputComp2FBStarsImpact3_R1</vt:lpstr>
      <vt:lpstr>tlOutputComp2FBStarsImpact3_R2</vt:lpstr>
      <vt:lpstr>tlOutputComp2FBStarsImpact4_R1</vt:lpstr>
      <vt:lpstr>tlOutputComp2FBStarsImpact4_R2</vt:lpstr>
      <vt:lpstr>tlOutputComp2FBStarsImpact5_R1</vt:lpstr>
      <vt:lpstr>tlOutputComp2FBStarsImpact5_R2</vt:lpstr>
      <vt:lpstr>tlOutputComp2FBTeamName_R1</vt:lpstr>
      <vt:lpstr>tlOutputComp2FBTeamName_R2</vt:lpstr>
      <vt:lpstr>tlOutputComp2LOB1MSR_1</vt:lpstr>
      <vt:lpstr>tlOutputComp2LOB1MSR_2</vt:lpstr>
      <vt:lpstr>tlOutputComp2LOB1MSR0</vt:lpstr>
      <vt:lpstr>tlOutputComp2LOB2MSR_1</vt:lpstr>
      <vt:lpstr>tlOutputComp2LOB2MSR_2</vt:lpstr>
      <vt:lpstr>tlOutputComp2LOB2MSR0</vt:lpstr>
      <vt:lpstr>tlOutputDBCSAT_R0</vt:lpstr>
      <vt:lpstr>tlOutputDBCSAT_R1</vt:lpstr>
      <vt:lpstr>tlOutputDBCSAT_R2</vt:lpstr>
      <vt:lpstr>tlOutputDBESAT_R0</vt:lpstr>
      <vt:lpstr>tlOutputDBESAT_R1</vt:lpstr>
      <vt:lpstr>tlOutputDBESAT_R2</vt:lpstr>
      <vt:lpstr>tlOutputDBLOB1CSAT_R0</vt:lpstr>
      <vt:lpstr>tlOutputDBLOB1CSAT_R1</vt:lpstr>
      <vt:lpstr>tlOutputDBLOB1CSAT_R2</vt:lpstr>
      <vt:lpstr>tlOutputDBLOB1Emp1Util_R0</vt:lpstr>
      <vt:lpstr>tlOutputDBLOB1Emp1Util_R1</vt:lpstr>
      <vt:lpstr>tlOutputDBLOB1Emp1Util_R2</vt:lpstr>
      <vt:lpstr>tlOutputDBLOB1ESAT_R0</vt:lpstr>
      <vt:lpstr>tlOutputDBLOB1ESAT_R1</vt:lpstr>
      <vt:lpstr>tlOutputDBLOB1ESAT_R2</vt:lpstr>
      <vt:lpstr>tlOutputDBLOB1NIFO_R0</vt:lpstr>
      <vt:lpstr>tlOutputDBLOB1NIFO_R1</vt:lpstr>
      <vt:lpstr>tlOutputDBLOB1NIFO_R2</vt:lpstr>
      <vt:lpstr>tlOutputDBLOB1OpMargin_R0</vt:lpstr>
      <vt:lpstr>tlOutputDBLOB1OpMargin_R1</vt:lpstr>
      <vt:lpstr>tlOutputDBLOB1OpMargin_R2</vt:lpstr>
      <vt:lpstr>tlOutputDBLOB1RevGrowth_R0</vt:lpstr>
      <vt:lpstr>tlOutputDBLOB1RevGrowth_R1</vt:lpstr>
      <vt:lpstr>tlOutputDBLOB1RevGrowth_R2</vt:lpstr>
      <vt:lpstr>tlOutputDBLOB1Stars_R0</vt:lpstr>
      <vt:lpstr>tlOutputDBLOB1Stars_R1</vt:lpstr>
      <vt:lpstr>tlOutputDBLOB1Stars_R2</vt:lpstr>
      <vt:lpstr>tlOutputDBLOB2CSAT_R0</vt:lpstr>
      <vt:lpstr>tlOutputDBLOB2CSAT_R1</vt:lpstr>
      <vt:lpstr>tlOutputDBLOB2CSAT_R2</vt:lpstr>
      <vt:lpstr>tlOutputDBLOB2Emp1Util_R0</vt:lpstr>
      <vt:lpstr>tlOutputDBLOB2Emp1Util_R1</vt:lpstr>
      <vt:lpstr>tlOutputDBLOB2Emp1Util_R2</vt:lpstr>
      <vt:lpstr>tlOutputDBLOB2ESAT_R0</vt:lpstr>
      <vt:lpstr>tlOutputDBLOB2ESAT_R1</vt:lpstr>
      <vt:lpstr>tlOutputDBLOB2ESAT_R2</vt:lpstr>
      <vt:lpstr>tlOutputDBLOB2NIFO_R0</vt:lpstr>
      <vt:lpstr>tlOutputDBLOB2NIFO_R1</vt:lpstr>
      <vt:lpstr>tlOutputDBLOB2NIFO_R2</vt:lpstr>
      <vt:lpstr>tlOutputDBLOB2OpMargin_R0</vt:lpstr>
      <vt:lpstr>tlOutputDBLOB2OpMargin_R1</vt:lpstr>
      <vt:lpstr>tlOutputDBLOB2OpMargin_R2</vt:lpstr>
      <vt:lpstr>tlOutputDBLOB2RevGrowth_R0</vt:lpstr>
      <vt:lpstr>tlOutputDBLOB2RevGrowth_R1</vt:lpstr>
      <vt:lpstr>tlOutputDBLOB2RevGrowth_R2</vt:lpstr>
      <vt:lpstr>tlOutputDBLOB2Stars_R0</vt:lpstr>
      <vt:lpstr>tlOutputDBLOB2Stars_R1</vt:lpstr>
      <vt:lpstr>tlOutputDBLOB2Stars_R2</vt:lpstr>
      <vt:lpstr>tlOutputDBNIFO_R0</vt:lpstr>
      <vt:lpstr>tlOutputDBNIFO_R1</vt:lpstr>
      <vt:lpstr>tlOutputDBNIFO_R2</vt:lpstr>
      <vt:lpstr>tlOutputDBOpMargin_R0</vt:lpstr>
      <vt:lpstr>tlOutputDBOpMargin_R1</vt:lpstr>
      <vt:lpstr>tlOutputDBOpMargin_R2</vt:lpstr>
      <vt:lpstr>tlOutputDBRevGrowth_R0</vt:lpstr>
      <vt:lpstr>tlOutputDBRevGrowth_R1</vt:lpstr>
      <vt:lpstr>tlOutputDBRevGrowth_R2</vt:lpstr>
      <vt:lpstr>tlOutputDBStars_R0</vt:lpstr>
      <vt:lpstr>tlOutputDBStars_R1</vt:lpstr>
      <vt:lpstr>tlOutputDBStars_R2</vt:lpstr>
      <vt:lpstr>tlOutputFBAdmintPerc_R1</vt:lpstr>
      <vt:lpstr>tlOutputFBAdmintPerc_R2</vt:lpstr>
      <vt:lpstr>tlOutputFBCapacityPerc_R1</vt:lpstr>
      <vt:lpstr>tlOutputFBCapacityPerc_R2</vt:lpstr>
      <vt:lpstr>tlOutputFBCSAT_R1</vt:lpstr>
      <vt:lpstr>tlOutputFBCSAT_R2</vt:lpstr>
      <vt:lpstr>tlOutputFBCSATImpact1_R1</vt:lpstr>
      <vt:lpstr>tlOutputFBCSATImpact1_R2</vt:lpstr>
      <vt:lpstr>tlOutputFBCSATImpact2_R1</vt:lpstr>
      <vt:lpstr>tlOutputFBCSATImpact2_R2</vt:lpstr>
      <vt:lpstr>tlOutputFBCSATImpact3_R1</vt:lpstr>
      <vt:lpstr>tlOutputFBCSATImpact3_R2</vt:lpstr>
      <vt:lpstr>tlOutputFBCSATImpact4_R1</vt:lpstr>
      <vt:lpstr>tlOutputFBCSATImpact4_R2</vt:lpstr>
      <vt:lpstr>tlOutputFBEmp1Capacity_R1</vt:lpstr>
      <vt:lpstr>tlOutputFBEmp1Capacity_R2</vt:lpstr>
      <vt:lpstr>tlOutputFBEmp1Cost_R1</vt:lpstr>
      <vt:lpstr>tlOutputFBEmp1Cost_R2</vt:lpstr>
      <vt:lpstr>tlOutputFBEmp1Visits_R1</vt:lpstr>
      <vt:lpstr>tlOutputFBEmp1Visits_R2</vt:lpstr>
      <vt:lpstr>tlOutputFBEmp2Capacity_R1</vt:lpstr>
      <vt:lpstr>tlOutputFBEmp2Capacity_R2</vt:lpstr>
      <vt:lpstr>tlOutputFBEmp2Cost_R1</vt:lpstr>
      <vt:lpstr>tlOutputFBEmp2Cost_R2</vt:lpstr>
      <vt:lpstr>tlOutputFBEmp2Visits_R1</vt:lpstr>
      <vt:lpstr>tlOutputFBEmp2Visits_R2</vt:lpstr>
      <vt:lpstr>tlOutputFBEmp3Capacity_R1</vt:lpstr>
      <vt:lpstr>tlOutputFBEmp3Capacity_R2</vt:lpstr>
      <vt:lpstr>tlOutputFBEmp3Cost_R1</vt:lpstr>
      <vt:lpstr>tlOutputFBEmp3Cost_R2</vt:lpstr>
      <vt:lpstr>tlOutputFBEmp3Visits_R1</vt:lpstr>
      <vt:lpstr>tlOutputFBEmp3Visits_R2</vt:lpstr>
      <vt:lpstr>tlOutputFBEmpOverhead_R1</vt:lpstr>
      <vt:lpstr>tlOutputFBEmpOverhead_R2</vt:lpstr>
      <vt:lpstr>tlOutputFBESAT_R1</vt:lpstr>
      <vt:lpstr>tlOutputFBESAT_R2</vt:lpstr>
      <vt:lpstr>tlOutputFBESATImpact1_R1</vt:lpstr>
      <vt:lpstr>tlOutputFBESATImpact1_R2</vt:lpstr>
      <vt:lpstr>tlOutputFBESATImpact2_R1</vt:lpstr>
      <vt:lpstr>tlOutputFBESATImpact2_R2</vt:lpstr>
      <vt:lpstr>tlOutputFBESATImpact3_R1</vt:lpstr>
      <vt:lpstr>tlOutputFBESATImpact3_R2</vt:lpstr>
      <vt:lpstr>tlOutputFBESATImpact4_R1</vt:lpstr>
      <vt:lpstr>tlOutputFBESATImpact4_R2</vt:lpstr>
      <vt:lpstr>tlOutputFBGrossMargin_R1</vt:lpstr>
      <vt:lpstr>tlOutputFBGrossMargin_R2</vt:lpstr>
      <vt:lpstr>tlOutputFBGrossProfit_R1</vt:lpstr>
      <vt:lpstr>tlOutputFBGrossProfit_R2</vt:lpstr>
      <vt:lpstr>tlOutputFBLOB1AdmintPerc_R1</vt:lpstr>
      <vt:lpstr>tlOutputFBLOB1AdmintPerc_R2</vt:lpstr>
      <vt:lpstr>tlOutputFBLOB1CapacityPerc_R1</vt:lpstr>
      <vt:lpstr>tlOutputFBLOB1CapacityPerc_R2</vt:lpstr>
      <vt:lpstr>tlOutputFBLOB1CSAT_R1</vt:lpstr>
      <vt:lpstr>tlOutputFBLOB1CSAT_R2</vt:lpstr>
      <vt:lpstr>tlOutputFBLOB1CSATImpact1_R1</vt:lpstr>
      <vt:lpstr>tlOutputFBLOB1CSATImpact1_R2</vt:lpstr>
      <vt:lpstr>tlOutputFBLOB1CSATImpact2_R1</vt:lpstr>
      <vt:lpstr>tlOutputFBLOB1CSATImpact2_R2</vt:lpstr>
      <vt:lpstr>tlOutputFBLOB1CSATImpact3_R1</vt:lpstr>
      <vt:lpstr>tlOutputFBLOB1CSATImpact3_R2</vt:lpstr>
      <vt:lpstr>tlOutputFBLOB1CSATImpact4_R1</vt:lpstr>
      <vt:lpstr>tlOutputFBLOB1CSATImpact4_R2</vt:lpstr>
      <vt:lpstr>tlOutputFBLOB1Emp1Capacity_R1</vt:lpstr>
      <vt:lpstr>tlOutputFBLOB1Emp1Capacity_R2</vt:lpstr>
      <vt:lpstr>tlOutputFBLOB1Emp1Cost_R1</vt:lpstr>
      <vt:lpstr>tlOutputFBLOB1Emp1Cost_R2</vt:lpstr>
      <vt:lpstr>tlOutputFBLOB1Emp1Visits_R1</vt:lpstr>
      <vt:lpstr>tlOutputFBLOB1Emp1Visits_R2</vt:lpstr>
      <vt:lpstr>tlOutputFBLOB1Emp2Capacity_R1</vt:lpstr>
      <vt:lpstr>tlOutputFBLOB1Emp2Capacity_R2</vt:lpstr>
      <vt:lpstr>tlOutputFBLOB1Emp2Cost_R1</vt:lpstr>
      <vt:lpstr>tlOutputFBLOB1Emp2Cost_R2</vt:lpstr>
      <vt:lpstr>tlOutputFBLOB1Emp2Visits_R1</vt:lpstr>
      <vt:lpstr>tlOutputFBLOB1Emp2Visits_R2</vt:lpstr>
      <vt:lpstr>tlOutputFBLOB1Emp3Capacity_R1</vt:lpstr>
      <vt:lpstr>tlOutputFBLOB1Emp3Capacity_R2</vt:lpstr>
      <vt:lpstr>tlOutputFBLOB1Emp3Cost_R1</vt:lpstr>
      <vt:lpstr>tlOutputFBLOB1Emp3Cost_R2</vt:lpstr>
      <vt:lpstr>tlOutputFBLOB1Emp3Visits_R1</vt:lpstr>
      <vt:lpstr>tlOutputFBLOB1Emp3Visits_R2</vt:lpstr>
      <vt:lpstr>tlOutputFBLOB1EmpOverhead_R1</vt:lpstr>
      <vt:lpstr>tlOutputFBLOB1EmpOverhead_R2</vt:lpstr>
      <vt:lpstr>tlOutputFBLOB1ESAT_R1</vt:lpstr>
      <vt:lpstr>tlOutputFBLOB1ESAT_R2</vt:lpstr>
      <vt:lpstr>tlOutputFBLOB1ESATImpact1_R1</vt:lpstr>
      <vt:lpstr>tlOutputFBLOB1ESATImpact1_R2</vt:lpstr>
      <vt:lpstr>tlOutputFBLOB1ESATImpact2_R1</vt:lpstr>
      <vt:lpstr>tlOutputFBLOB1ESATImpact2_R2</vt:lpstr>
      <vt:lpstr>tlOutputFBLOB1ESATImpact3_R1</vt:lpstr>
      <vt:lpstr>tlOutputFBLOB1ESATImpact3_R2</vt:lpstr>
      <vt:lpstr>tlOutputFBLOB1ESATImpact4_R1</vt:lpstr>
      <vt:lpstr>tlOutputFBLOB1ESATImpact4_R2</vt:lpstr>
      <vt:lpstr>tlOutputFBLOB1GrossMargin_R1</vt:lpstr>
      <vt:lpstr>tlOutputFBLOB1GrossMargin_R2</vt:lpstr>
      <vt:lpstr>tlOutputFBLOB1GrossProfit_R1</vt:lpstr>
      <vt:lpstr>tlOutputFBLOB1GrossProfit_R2</vt:lpstr>
      <vt:lpstr>tlOutputFBLOB1OpMargin_R1</vt:lpstr>
      <vt:lpstr>tlOutputFBLOB1OpMargin_R2</vt:lpstr>
      <vt:lpstr>tlOutputFBLOB1OpProfit_R1</vt:lpstr>
      <vt:lpstr>tlOutputFBLOB1OpProfit_R2</vt:lpstr>
      <vt:lpstr>tlOutputFBLOB1Prod1Seg1Patients_R1</vt:lpstr>
      <vt:lpstr>tlOutputFBLOB1Prod1Seg1Patients_R2</vt:lpstr>
      <vt:lpstr>tlOutputFBLOB1Prod1Seg2Patients_R1</vt:lpstr>
      <vt:lpstr>tlOutputFBLOB1Prod1Seg2Patients_R2</vt:lpstr>
      <vt:lpstr>tlOutputFBLOB1Prod1Seg3Patients_R1</vt:lpstr>
      <vt:lpstr>tlOutputFBLOB1Prod1Seg3Patients_R2</vt:lpstr>
      <vt:lpstr>tlOutputFBLOB1Prod2Seg1Patients_R1</vt:lpstr>
      <vt:lpstr>tlOutputFBLOB1Prod2Seg1Patients_R2</vt:lpstr>
      <vt:lpstr>tlOutputFBLOB1Prod2Seg2Patients_R1</vt:lpstr>
      <vt:lpstr>tlOutputFBLOB1Prod2Seg2Patients_R2</vt:lpstr>
      <vt:lpstr>tlOutputFBLOB1Prod2Seg3Patients_R1</vt:lpstr>
      <vt:lpstr>tlOutputFBLOB1Prod2Seg3Patients_R2</vt:lpstr>
      <vt:lpstr>tlOutputFBLOB1RevGrowth_R1</vt:lpstr>
      <vt:lpstr>tlOutputFBLOB1RevGrowth_R2</vt:lpstr>
      <vt:lpstr>tlOutputFBLOB1Seg1Rev_R1</vt:lpstr>
      <vt:lpstr>tlOutputFBLOB1Seg1Rev_R2</vt:lpstr>
      <vt:lpstr>tlOutputFBLOB1Seg2Rev_R1</vt:lpstr>
      <vt:lpstr>tlOutputFBLOB1Seg2Rev_R2</vt:lpstr>
      <vt:lpstr>tlOutputFBLOB1Seg3Rev_R1</vt:lpstr>
      <vt:lpstr>tlOutputFBLOB1Seg3Rev_R2</vt:lpstr>
      <vt:lpstr>tlOutputFBLOB1ServiceCost_R1</vt:lpstr>
      <vt:lpstr>tlOutputFBLOB1ServiceCost_R2</vt:lpstr>
      <vt:lpstr>tlOutputFBLOB1Stars_R1</vt:lpstr>
      <vt:lpstr>tlOutputFBLOB1Stars_R2</vt:lpstr>
      <vt:lpstr>tlOutputFBLOB1StarsImpact1_R1</vt:lpstr>
      <vt:lpstr>tlOutputFBLOB1StarsImpact1_R2</vt:lpstr>
      <vt:lpstr>tlOutputFBLOB1StarsImpact2_R1</vt:lpstr>
      <vt:lpstr>tlOutputFBLOB1StarsImpact2_R2</vt:lpstr>
      <vt:lpstr>tlOutputFBLOB1StarsImpact3_R1</vt:lpstr>
      <vt:lpstr>tlOutputFBLOB1StarsImpact3_R2</vt:lpstr>
      <vt:lpstr>tlOutputFBLOB1StarsImpact4_R1</vt:lpstr>
      <vt:lpstr>tlOutputFBLOB1StarsImpact4_R2</vt:lpstr>
      <vt:lpstr>tlOutputFBLOB1StarsImpact5_R1</vt:lpstr>
      <vt:lpstr>tlOutputFBLOB1StarsImpact5_R2</vt:lpstr>
      <vt:lpstr>tlOutputFBLOB2AdmintPerc_R1</vt:lpstr>
      <vt:lpstr>tlOutputFBLOB2AdmintPerc_R2</vt:lpstr>
      <vt:lpstr>tlOutputFBLOB2CapacityPerc_R1</vt:lpstr>
      <vt:lpstr>tlOutputFBLOB2CapacityPerc_R2</vt:lpstr>
      <vt:lpstr>tlOutputFBLOB2CSAT_R1</vt:lpstr>
      <vt:lpstr>tlOutputFBLOB2CSAT_R2</vt:lpstr>
      <vt:lpstr>tlOutputFBLOB2CSATImpact1_R1</vt:lpstr>
      <vt:lpstr>tlOutputFBLOB2CSATImpact1_R2</vt:lpstr>
      <vt:lpstr>tlOutputFBLOB2CSATImpact2_R1</vt:lpstr>
      <vt:lpstr>tlOutputFBLOB2CSATImpact2_R2</vt:lpstr>
      <vt:lpstr>tlOutputFBLOB2CSATImpact3_R1</vt:lpstr>
      <vt:lpstr>tlOutputFBLOB2CSATImpact3_R2</vt:lpstr>
      <vt:lpstr>tlOutputFBLOB2CSATImpact4_R1</vt:lpstr>
      <vt:lpstr>tlOutputFBLOB2CSATImpact4_R2</vt:lpstr>
      <vt:lpstr>tlOutputFBLOB2Emp1Capacity_R1</vt:lpstr>
      <vt:lpstr>tlOutputFBLOB2Emp1Capacity_R2</vt:lpstr>
      <vt:lpstr>tlOutputFBLOB2Emp1Cost_R1</vt:lpstr>
      <vt:lpstr>tlOutputFBLOB2Emp1Cost_R2</vt:lpstr>
      <vt:lpstr>tlOutputFBLOB2Emp1Visits_R1</vt:lpstr>
      <vt:lpstr>tlOutputFBLOB2Emp1Visits_R2</vt:lpstr>
      <vt:lpstr>tlOutputFBLOB2Emp2Capacity_R1</vt:lpstr>
      <vt:lpstr>tlOutputFBLOB2Emp2Capacity_R2</vt:lpstr>
      <vt:lpstr>tlOutputFBLOB2Emp2Cost_R1</vt:lpstr>
      <vt:lpstr>tlOutputFBLOB2Emp2Cost_R2</vt:lpstr>
      <vt:lpstr>tlOutputFBLOB2Emp2Visits_R1</vt:lpstr>
      <vt:lpstr>tlOutputFBLOB2Emp2Visits_R2</vt:lpstr>
      <vt:lpstr>tlOutputFBLOB2Emp3Capacity_R1</vt:lpstr>
      <vt:lpstr>tlOutputFBLOB2Emp3Capacity_R2</vt:lpstr>
      <vt:lpstr>tlOutputFBLOB2Emp3Cost_R1</vt:lpstr>
      <vt:lpstr>tlOutputFBLOB2Emp3Cost_R2</vt:lpstr>
      <vt:lpstr>tlOutputFBLOB2Emp3Visits_R1</vt:lpstr>
      <vt:lpstr>tlOutputFBLOB2Emp3Visits_R2</vt:lpstr>
      <vt:lpstr>tlOutputFBLOB2EmpOverhead_R1</vt:lpstr>
      <vt:lpstr>tlOutputFBLOB2EmpOverhead_R2</vt:lpstr>
      <vt:lpstr>tlOutputFBLOB2ESAT_R1</vt:lpstr>
      <vt:lpstr>tlOutputFBLOB2ESAT_R2</vt:lpstr>
      <vt:lpstr>tlOutputFBLOB2ESATImpact1_R1</vt:lpstr>
      <vt:lpstr>tlOutputFBLOB2ESATImpact1_R2</vt:lpstr>
      <vt:lpstr>tlOutputFBLOB2ESATImpact2_R1</vt:lpstr>
      <vt:lpstr>tlOutputFBLOB2ESATImpact2_R2</vt:lpstr>
      <vt:lpstr>tlOutputFBLOB2ESATImpact3_R1</vt:lpstr>
      <vt:lpstr>tlOutputFBLOB2ESATImpact3_R2</vt:lpstr>
      <vt:lpstr>tlOutputFBLOB2ESATImpact4_R1</vt:lpstr>
      <vt:lpstr>tlOutputFBLOB2ESATImpact4_R2</vt:lpstr>
      <vt:lpstr>tlOutputFBLOB2GrossMargin_R1</vt:lpstr>
      <vt:lpstr>tlOutputFBLOB2GrossMargin_R2</vt:lpstr>
      <vt:lpstr>tlOutputFBLOB2GrossProfit_R1</vt:lpstr>
      <vt:lpstr>tlOutputFBLOB2GrossProfit_R2</vt:lpstr>
      <vt:lpstr>tlOutputFBLOB2OpMargin_R1</vt:lpstr>
      <vt:lpstr>tlOutputFBLOB2OpMargin_R2</vt:lpstr>
      <vt:lpstr>tlOutputFBLOB2OpProfit_R1</vt:lpstr>
      <vt:lpstr>tlOutputFBLOB2OpProfit_R2</vt:lpstr>
      <vt:lpstr>tlOutputFBLOB2Prod1Seg1Patients_R1</vt:lpstr>
      <vt:lpstr>tlOutputFBLOB2Prod1Seg1Patients_R2</vt:lpstr>
      <vt:lpstr>tlOutputFBLOB2Prod1Seg2Patients_R1</vt:lpstr>
      <vt:lpstr>tlOutputFBLOB2Prod1Seg2Patients_R2</vt:lpstr>
      <vt:lpstr>tlOutputFBLOB2Prod1Seg3Patients_R1</vt:lpstr>
      <vt:lpstr>tlOutputFBLOB2Prod1Seg3Patients_R2</vt:lpstr>
      <vt:lpstr>tlOutputFBLOB2Prod2Seg1Patients_R1</vt:lpstr>
      <vt:lpstr>tlOutputFBLOB2Prod2Seg1Patients_R2</vt:lpstr>
      <vt:lpstr>tlOutputFBLOB2Prod2Seg2Patients_R1</vt:lpstr>
      <vt:lpstr>tlOutputFBLOB2Prod2Seg2Patients_R2</vt:lpstr>
      <vt:lpstr>tlOutputFBLOB2Prod2Seg3Patients_R1</vt:lpstr>
      <vt:lpstr>tlOutputFBLOB2Prod2Seg3Patients_R2</vt:lpstr>
      <vt:lpstr>tlOutputFBLOB2RevGrowth_R1</vt:lpstr>
      <vt:lpstr>tlOutputFBLOB2RevGrowth_R2</vt:lpstr>
      <vt:lpstr>tlOutputFBLOB2Seg1Rev_R1</vt:lpstr>
      <vt:lpstr>tlOutputFBLOB2Seg1Rev_R2</vt:lpstr>
      <vt:lpstr>tlOutputFBLOB2Seg2Rev_R1</vt:lpstr>
      <vt:lpstr>tlOutputFBLOB2Seg2Rev_R2</vt:lpstr>
      <vt:lpstr>tlOutputFBLOB2Seg3Rev_R1</vt:lpstr>
      <vt:lpstr>tlOutputFBLOB2Seg3Rev_R2</vt:lpstr>
      <vt:lpstr>tlOutputFBLOB2ServiceCost_R1</vt:lpstr>
      <vt:lpstr>tlOutputFBLOB2ServiceCost_R2</vt:lpstr>
      <vt:lpstr>tlOutputFBLOB2Stars_R1</vt:lpstr>
      <vt:lpstr>tlOutputFBLOB2Stars_R2</vt:lpstr>
      <vt:lpstr>tlOutputFBLOB2StarsImpact1_R1</vt:lpstr>
      <vt:lpstr>tlOutputFBLOB2StarsImpact1_R2</vt:lpstr>
      <vt:lpstr>tlOutputFBLOB2StarsImpact2_R1</vt:lpstr>
      <vt:lpstr>tlOutputFBLOB2StarsImpact2_R2</vt:lpstr>
      <vt:lpstr>tlOutputFBLOB2StarsImpact3_R1</vt:lpstr>
      <vt:lpstr>tlOutputFBLOB2StarsImpact3_R2</vt:lpstr>
      <vt:lpstr>tlOutputFBLOB2StarsImpact4_R1</vt:lpstr>
      <vt:lpstr>tlOutputFBLOB2StarsImpact4_R2</vt:lpstr>
      <vt:lpstr>tlOutputFBLOB2StarsImpact5_R1</vt:lpstr>
      <vt:lpstr>tlOutputFBLOB2StarsImpact5_R2</vt:lpstr>
      <vt:lpstr>tlOutputFBOpMargin_R1</vt:lpstr>
      <vt:lpstr>tlOutputFBOpMargin_R2</vt:lpstr>
      <vt:lpstr>tlOutputFBOpProfit_R1</vt:lpstr>
      <vt:lpstr>tlOutputFBOpProfit_R2</vt:lpstr>
      <vt:lpstr>tlOutputFBProd1Seg1Patients_R1</vt:lpstr>
      <vt:lpstr>tlOutputFBProd1Seg1Patients_R2</vt:lpstr>
      <vt:lpstr>tlOutputFBProd1Seg2Patients_R1</vt:lpstr>
      <vt:lpstr>tlOutputFBProd1Seg2Patients_R2</vt:lpstr>
      <vt:lpstr>tlOutputFBProd1Seg3Patients_R1</vt:lpstr>
      <vt:lpstr>tlOutputFBProd1Seg3Patients_R2</vt:lpstr>
      <vt:lpstr>tlOutputFBProd2Seg1Patients_R1</vt:lpstr>
      <vt:lpstr>tlOutputFBProd2Seg1Patients_R2</vt:lpstr>
      <vt:lpstr>tlOutputFBProd2Seg2Patients_R1</vt:lpstr>
      <vt:lpstr>tlOutputFBProd2Seg2Patients_R2</vt:lpstr>
      <vt:lpstr>tlOutputFBProd2Seg3Patients_R1</vt:lpstr>
      <vt:lpstr>tlOutputFBProd2Seg3Patients_R2</vt:lpstr>
      <vt:lpstr>tlOutputFBRevGrowth_R1</vt:lpstr>
      <vt:lpstr>tlOutputFBRevGrowth_R2</vt:lpstr>
      <vt:lpstr>tlOutputFBSeg1Rev_R1</vt:lpstr>
      <vt:lpstr>tlOutputFBSeg1Rev_R2</vt:lpstr>
      <vt:lpstr>tlOutputFBSeg2Rev_R1</vt:lpstr>
      <vt:lpstr>tlOutputFBSeg2Rev_R2</vt:lpstr>
      <vt:lpstr>tlOutputFBSeg3Rev_R1</vt:lpstr>
      <vt:lpstr>tlOutputFBSeg3Rev_R2</vt:lpstr>
      <vt:lpstr>tlOutputFBServiceCost_R1</vt:lpstr>
      <vt:lpstr>tlOutputFBServiceCost_R2</vt:lpstr>
      <vt:lpstr>tlOutputFBStars_R1</vt:lpstr>
      <vt:lpstr>tlOutputFBStars_R2</vt:lpstr>
      <vt:lpstr>tlOutputFBStarsImpact1_R1</vt:lpstr>
      <vt:lpstr>tlOutputFBStarsImpact1_R2</vt:lpstr>
      <vt:lpstr>tlOutputFBStarsImpact2_R1</vt:lpstr>
      <vt:lpstr>tlOutputFBStarsImpact2_R2</vt:lpstr>
      <vt:lpstr>tlOutputFBStarsImpact3_R1</vt:lpstr>
      <vt:lpstr>tlOutputFBStarsImpact3_R2</vt:lpstr>
      <vt:lpstr>tlOutputFBStarsImpact4_R1</vt:lpstr>
      <vt:lpstr>tlOutputFBStarsImpact4_R2</vt:lpstr>
      <vt:lpstr>tlOutputFBStarsImpact5_R1</vt:lpstr>
      <vt:lpstr>tlOutputFBStarsImpact5_R2</vt:lpstr>
      <vt:lpstr>tlOutputFBTeamName_R1</vt:lpstr>
      <vt:lpstr>tlOutputFBTeamName_R2</vt:lpstr>
      <vt:lpstr>tlOutputfinEmpOverhead_R0</vt:lpstr>
      <vt:lpstr>tlOutputfinEmpOverhead_R1</vt:lpstr>
      <vt:lpstr>tlOutputfinEmpOverhead_R2</vt:lpstr>
      <vt:lpstr>tlOutputfinGrossMargin_R0</vt:lpstr>
      <vt:lpstr>tlOutputfinGrossMargin_R1</vt:lpstr>
      <vt:lpstr>tlOutputfinGrossMargin_R2</vt:lpstr>
      <vt:lpstr>tlOutputfinLOB1EmpOverhead_R0</vt:lpstr>
      <vt:lpstr>tlOutputfinLOB1EmpOverhead_R1</vt:lpstr>
      <vt:lpstr>tlOutputfinLOB1EmpOverhead_R2</vt:lpstr>
      <vt:lpstr>tlOutputfinLOB1GrossMargin_R0</vt:lpstr>
      <vt:lpstr>tlOutputfinLOB1GrossMargin_R1</vt:lpstr>
      <vt:lpstr>tlOutputfinLOB1GrossMargin_R2</vt:lpstr>
      <vt:lpstr>tlOutputfinLOB1OpMargin_R0</vt:lpstr>
      <vt:lpstr>tlOutputfinLOB1OpMargin_R1</vt:lpstr>
      <vt:lpstr>tlOutputfinLOB1OpMargin_R2</vt:lpstr>
      <vt:lpstr>tlOutputfinLOB1OpProfit_R0</vt:lpstr>
      <vt:lpstr>tlOutputfinLOB1OpProfit_R1</vt:lpstr>
      <vt:lpstr>tlOutputfinLOB1OpProfit_R2</vt:lpstr>
      <vt:lpstr>tlOutputfinLOB1Rev_R0</vt:lpstr>
      <vt:lpstr>tlOutputfinLOB1Rev_R1</vt:lpstr>
      <vt:lpstr>tlOutputfinLOB1Rev_R2</vt:lpstr>
      <vt:lpstr>tlOutputfinLOB1Seg1Rev_R0</vt:lpstr>
      <vt:lpstr>tlOutputfinLOB1Seg1Rev_R1</vt:lpstr>
      <vt:lpstr>tlOutputfinLOB1Seg1Rev_R2</vt:lpstr>
      <vt:lpstr>tlOutputfinLOB1Seg2Rev_R0</vt:lpstr>
      <vt:lpstr>tlOutputfinLOB1Seg2Rev_R1</vt:lpstr>
      <vt:lpstr>tlOutputfinLOB1Seg2Rev_R2</vt:lpstr>
      <vt:lpstr>tlOutputfinLOB1Seg3Rev_R0</vt:lpstr>
      <vt:lpstr>tlOutputfinLOB1Seg3Rev_R1</vt:lpstr>
      <vt:lpstr>tlOutputfinLOB1Seg3Rev_R2</vt:lpstr>
      <vt:lpstr>tlOutputfinLOB1ServiceCost_R0</vt:lpstr>
      <vt:lpstr>tlOutputfinLOB1ServiceCost_R1</vt:lpstr>
      <vt:lpstr>tlOutputfinLOB1ServiceCost_R2</vt:lpstr>
      <vt:lpstr>tlOutputfinLOB1TotalExp_R0</vt:lpstr>
      <vt:lpstr>tlOutputfinLOB1TotalExp_R1</vt:lpstr>
      <vt:lpstr>tlOutputfinLOB1TotalExp_R2</vt:lpstr>
      <vt:lpstr>tlOutputfinLOB2EmpOverhead_R0</vt:lpstr>
      <vt:lpstr>tlOutputfinLOB2EmpOverhead_R1</vt:lpstr>
      <vt:lpstr>tlOutputfinLOB2EmpOverhead_R2</vt:lpstr>
      <vt:lpstr>tlOutputfinLOB2GrossMargin_R0</vt:lpstr>
      <vt:lpstr>tlOutputfinLOB2GrossMargin_R1</vt:lpstr>
      <vt:lpstr>tlOutputfinLOB2GrossMargin_R2</vt:lpstr>
      <vt:lpstr>tlOutputfinLOB2OpMargin_R0</vt:lpstr>
      <vt:lpstr>tlOutputfinLOB2OpMargin_R1</vt:lpstr>
      <vt:lpstr>tlOutputfinLOB2OpMargin_R2</vt:lpstr>
      <vt:lpstr>tlOutputfinLOB2OpProfit_R0</vt:lpstr>
      <vt:lpstr>tlOutputfinLOB2OpProfit_R1</vt:lpstr>
      <vt:lpstr>tlOutputfinLOB2OpProfit_R2</vt:lpstr>
      <vt:lpstr>tlOutputfinLOB2Rev_R0</vt:lpstr>
      <vt:lpstr>tlOutputfinLOB2Rev_R1</vt:lpstr>
      <vt:lpstr>tlOutputfinLOB2Rev_R2</vt:lpstr>
      <vt:lpstr>tlOutputfinLOB2Seg1Rev_R0</vt:lpstr>
      <vt:lpstr>tlOutputfinLOB2Seg1Rev_R1</vt:lpstr>
      <vt:lpstr>tlOutputfinLOB2Seg1Rev_R2</vt:lpstr>
      <vt:lpstr>tlOutputfinLOB2Seg2Rev_R0</vt:lpstr>
      <vt:lpstr>tlOutputfinLOB2Seg2Rev_R1</vt:lpstr>
      <vt:lpstr>tlOutputfinLOB2Seg2Rev_R2</vt:lpstr>
      <vt:lpstr>tlOutputfinLOB2Seg3Rev_R0</vt:lpstr>
      <vt:lpstr>tlOutputfinLOB2Seg3Rev_R1</vt:lpstr>
      <vt:lpstr>tlOutputfinLOB2Seg3Rev_R2</vt:lpstr>
      <vt:lpstr>tlOutputfinLOB2ServiceCost_R0</vt:lpstr>
      <vt:lpstr>tlOutputfinLOB2ServiceCost_R1</vt:lpstr>
      <vt:lpstr>tlOutputfinLOB2ServiceCost_R2</vt:lpstr>
      <vt:lpstr>tlOutputfinLOB2TotalExp_R0</vt:lpstr>
      <vt:lpstr>tlOutputfinLOB2TotalExp_R1</vt:lpstr>
      <vt:lpstr>tlOutputfinLOB2TotalExp_R2</vt:lpstr>
      <vt:lpstr>tlOutputfinOpMargin_R0</vt:lpstr>
      <vt:lpstr>tlOutputfinOpMargin_R1</vt:lpstr>
      <vt:lpstr>tlOutputfinOpMargin_R2</vt:lpstr>
      <vt:lpstr>tlOutputfinOpProfit_R0</vt:lpstr>
      <vt:lpstr>tlOutputfinOpProfit_R1</vt:lpstr>
      <vt:lpstr>tlOutputfinOpProfit_R2</vt:lpstr>
      <vt:lpstr>tlOutputfinRev_R0</vt:lpstr>
      <vt:lpstr>tlOutputfinRev_R1</vt:lpstr>
      <vt:lpstr>tlOutputfinRev_R2</vt:lpstr>
      <vt:lpstr>tlOutputfinSeg1Rev_R0</vt:lpstr>
      <vt:lpstr>tlOutputfinSeg1Rev_R1</vt:lpstr>
      <vt:lpstr>tlOutputfinSeg1Rev_R2</vt:lpstr>
      <vt:lpstr>tlOutputfinSeg2Rev_R0</vt:lpstr>
      <vt:lpstr>tlOutputfinSeg2Rev_R1</vt:lpstr>
      <vt:lpstr>tlOutputfinSeg2Rev_R2</vt:lpstr>
      <vt:lpstr>tlOutputfinSeg3Rev_R0</vt:lpstr>
      <vt:lpstr>tlOutputfinSeg3Rev_R1</vt:lpstr>
      <vt:lpstr>tlOutputfinSeg3Rev_R2</vt:lpstr>
      <vt:lpstr>tlOutputfinServiceCost_R0</vt:lpstr>
      <vt:lpstr>tlOutputfinServiceCost_R1</vt:lpstr>
      <vt:lpstr>tlOutputfinServiceCost_R2</vt:lpstr>
      <vt:lpstr>tlOutputfinTotalExp_R0</vt:lpstr>
      <vt:lpstr>tlOutputfinTotalExp_R1</vt:lpstr>
      <vt:lpstr>tlOutputfinTotalExp_R2</vt:lpstr>
      <vt:lpstr>tlOutputLOB1Cln10AlloWeekProd_R1</vt:lpstr>
      <vt:lpstr>tlOutputLOB1Cln10AlloWeekProd_R2</vt:lpstr>
      <vt:lpstr>tlOutputLOB1Cln10Dis_R1</vt:lpstr>
      <vt:lpstr>tlOutputLOB1Cln10Dis_R2</vt:lpstr>
      <vt:lpstr>tlOutputLOB1Cln10Name_R1</vt:lpstr>
      <vt:lpstr>tlOutputLOB1Cln10Name_R2</vt:lpstr>
      <vt:lpstr>tlOutputLOB1Cln10PayMethod_R1</vt:lpstr>
      <vt:lpstr>tlOutputLOB1Cln10PayMethod_R2</vt:lpstr>
      <vt:lpstr>tlOutputLOB1Cln10Status_R1</vt:lpstr>
      <vt:lpstr>tlOutputLOB1Cln10Status_R2</vt:lpstr>
      <vt:lpstr>tlOutputLOB1Cln10WeekAdmin_R1</vt:lpstr>
      <vt:lpstr>tlOutputLOB1Cln10WeekAdmin_R2</vt:lpstr>
      <vt:lpstr>tlOutputLOB1Cln10WeekMile_R1</vt:lpstr>
      <vt:lpstr>tlOutputLOB1Cln10WeekMile_R2</vt:lpstr>
      <vt:lpstr>tlOutputLOB1Cln10WeekMiss_R1</vt:lpstr>
      <vt:lpstr>tlOutputLOB1Cln10WeekMiss_R2</vt:lpstr>
      <vt:lpstr>tlOutputLOB1Cln10WeekOT_R1</vt:lpstr>
      <vt:lpstr>tlOutputLOB1Cln10WeekOT_R2</vt:lpstr>
      <vt:lpstr>tlOutputLOB1Cln10WeekProd_R1</vt:lpstr>
      <vt:lpstr>tlOutputLOB1Cln10WeekProd_R2</vt:lpstr>
      <vt:lpstr>tlOutputLOB1Cln10WeekProdProj_R1</vt:lpstr>
      <vt:lpstr>tlOutputLOB1Cln10WeekProdProj_R2</vt:lpstr>
      <vt:lpstr>tlOutputLOB1Cln11AlloWeekProd_R1</vt:lpstr>
      <vt:lpstr>tlOutputLOB1Cln11AlloWeekProd_R2</vt:lpstr>
      <vt:lpstr>tlOutputLOB1Cln11Experienced_R1</vt:lpstr>
      <vt:lpstr>tlOutputLOB1Cln11Experienced_R2</vt:lpstr>
      <vt:lpstr>tlOutputLOB1Cln11Name_R1</vt:lpstr>
      <vt:lpstr>tlOutputLOB1Cln11Name_R2</vt:lpstr>
      <vt:lpstr>tlOutputLOB1Cln11NonExperienced_R1</vt:lpstr>
      <vt:lpstr>tlOutputLOB1Cln11NonExperienced_R2</vt:lpstr>
      <vt:lpstr>tlOutputLOB1Cln11PayMethod_R1</vt:lpstr>
      <vt:lpstr>tlOutputLOB1Cln11PayMethod_R2</vt:lpstr>
      <vt:lpstr>tlOutputLOB1Cln11WeekAdmin_R1</vt:lpstr>
      <vt:lpstr>tlOutputLOB1Cln11WeekAdmin_R2</vt:lpstr>
      <vt:lpstr>tlOutputLOB1Cln11WeekMile_R1</vt:lpstr>
      <vt:lpstr>tlOutputLOB1Cln11WeekMile_R2</vt:lpstr>
      <vt:lpstr>tlOutputLOB1Cln11WeekMiss_R1</vt:lpstr>
      <vt:lpstr>tlOutputLOB1Cln11WeekMiss_R2</vt:lpstr>
      <vt:lpstr>tlOutputLOB1Cln11WeekOT_R1</vt:lpstr>
      <vt:lpstr>tlOutputLOB1Cln11WeekOT_R2</vt:lpstr>
      <vt:lpstr>tlOutputLOB1Cln11WeekProd_R1</vt:lpstr>
      <vt:lpstr>tlOutputLOB1Cln11WeekProd_R2</vt:lpstr>
      <vt:lpstr>tlOutputLOB1Cln11WeekProdProj_R1</vt:lpstr>
      <vt:lpstr>tlOutputLOB1Cln11WeekProdProj_R2</vt:lpstr>
      <vt:lpstr>tlOutputLOB1Cln12AlloWeekProd_R1</vt:lpstr>
      <vt:lpstr>tlOutputLOB1Cln12AlloWeekProd_R2</vt:lpstr>
      <vt:lpstr>tlOutputLOB1Cln12Name_R1</vt:lpstr>
      <vt:lpstr>tlOutputLOB1Cln12Name_R2</vt:lpstr>
      <vt:lpstr>tlOutputLOB1Cln12PayMethod_R1</vt:lpstr>
      <vt:lpstr>tlOutputLOB1Cln12PayMethod_R2</vt:lpstr>
      <vt:lpstr>tlOutputLOB1Cln12WeekAdmin_R1</vt:lpstr>
      <vt:lpstr>tlOutputLOB1Cln12WeekAdmin_R2</vt:lpstr>
      <vt:lpstr>tlOutputLOB1Cln12WeekMile_R1</vt:lpstr>
      <vt:lpstr>tlOutputLOB1Cln12WeekMile_R2</vt:lpstr>
      <vt:lpstr>tlOutputLOB1Cln12WeekMiss_R1</vt:lpstr>
      <vt:lpstr>tlOutputLOB1Cln12WeekMiss_R2</vt:lpstr>
      <vt:lpstr>tlOutputLOB1Cln12WeekOT_R1</vt:lpstr>
      <vt:lpstr>tlOutputLOB1Cln12WeekOT_R2</vt:lpstr>
      <vt:lpstr>tlOutputLOB1Cln12WeekProd_R1</vt:lpstr>
      <vt:lpstr>tlOutputLOB1Cln12WeekProd_R2</vt:lpstr>
      <vt:lpstr>tlOutputLOB1Cln12WeekProdProj_R1</vt:lpstr>
      <vt:lpstr>tlOutputLOB1Cln12WeekProdProj_R2</vt:lpstr>
      <vt:lpstr>tlOutputLOB1Cln1AlloWeekProd_R1</vt:lpstr>
      <vt:lpstr>tlOutputLOB1Cln1AlloWeekProd_R2</vt:lpstr>
      <vt:lpstr>tlOutputLOB1Cln1Dis_R1</vt:lpstr>
      <vt:lpstr>tlOutputLOB1Cln1Dis_R2</vt:lpstr>
      <vt:lpstr>tlOutputLOB1Cln1Name_R1</vt:lpstr>
      <vt:lpstr>tlOutputLOB1Cln1Name_R2</vt:lpstr>
      <vt:lpstr>tlOutputLOB1Cln1PayMethod_R1</vt:lpstr>
      <vt:lpstr>tlOutputLOB1Cln1PayMethod_R2</vt:lpstr>
      <vt:lpstr>tlOutputLOB1Cln1Status_R1</vt:lpstr>
      <vt:lpstr>tlOutputLOB1Cln1Status_R2</vt:lpstr>
      <vt:lpstr>tlOutputLOB1Cln1WeekAdmin_R1</vt:lpstr>
      <vt:lpstr>tlOutputLOB1Cln1WeekAdmin_R2</vt:lpstr>
      <vt:lpstr>tlOutputLOB1Cln1WeekMile_R1</vt:lpstr>
      <vt:lpstr>tlOutputLOB1Cln1WeekMile_R2</vt:lpstr>
      <vt:lpstr>tlOutputLOB1Cln1WeekMiss_R1</vt:lpstr>
      <vt:lpstr>tlOutputLOB1Cln1WeekMiss_R2</vt:lpstr>
      <vt:lpstr>tlOutputLOB1Cln1WeekOT_R1</vt:lpstr>
      <vt:lpstr>tlOutputLOB1Cln1WeekOT_R2</vt:lpstr>
      <vt:lpstr>tlOutputLOB1Cln1WeekProd_R1</vt:lpstr>
      <vt:lpstr>tlOutputLOB1Cln1WeekProd_R2</vt:lpstr>
      <vt:lpstr>tlOutputLOB1Cln1WeekProdProj_R1</vt:lpstr>
      <vt:lpstr>tlOutputLOB1Cln1WeekProdProj_R2</vt:lpstr>
      <vt:lpstr>tlOutputLOB1Cln2AlloWeekProd_R1</vt:lpstr>
      <vt:lpstr>tlOutputLOB1Cln2AlloWeekProd_R2</vt:lpstr>
      <vt:lpstr>tlOutputLOB1Cln2Dis_R1</vt:lpstr>
      <vt:lpstr>tlOutputLOB1Cln2Dis_R2</vt:lpstr>
      <vt:lpstr>tlOutputLOB1Cln2Name_R1</vt:lpstr>
      <vt:lpstr>tlOutputLOB1Cln2Name_R2</vt:lpstr>
      <vt:lpstr>tlOutputLOB1Cln2PayMethod_R1</vt:lpstr>
      <vt:lpstr>tlOutputLOB1Cln2PayMethod_R2</vt:lpstr>
      <vt:lpstr>tlOutputLOB1Cln2Status_R1</vt:lpstr>
      <vt:lpstr>tlOutputLOB1Cln2Status_R2</vt:lpstr>
      <vt:lpstr>tlOutputLOB1Cln2WeekAdmin_R1</vt:lpstr>
      <vt:lpstr>tlOutputLOB1Cln2WeekAdmin_R2</vt:lpstr>
      <vt:lpstr>tlOutputLOB1Cln2WeekMile_R1</vt:lpstr>
      <vt:lpstr>tlOutputLOB1Cln2WeekMile_R2</vt:lpstr>
      <vt:lpstr>tlOutputLOB1Cln2WeekMiss_R1</vt:lpstr>
      <vt:lpstr>tlOutputLOB1Cln2WeekMiss_R2</vt:lpstr>
      <vt:lpstr>tlOutputLOB1Cln2WeekOT_R1</vt:lpstr>
      <vt:lpstr>tlOutputLOB1Cln2WeekOT_R2</vt:lpstr>
      <vt:lpstr>tlOutputLOB1Cln2WeekProd_R1</vt:lpstr>
      <vt:lpstr>tlOutputLOB1Cln2WeekProd_R2</vt:lpstr>
      <vt:lpstr>tlOutputLOB1Cln2WeekProdProj_R1</vt:lpstr>
      <vt:lpstr>tlOutputLOB1Cln2WeekProdProj_R2</vt:lpstr>
      <vt:lpstr>tlOutputLOB1Cln3AlloWeekProd_R1</vt:lpstr>
      <vt:lpstr>tlOutputLOB1Cln3AlloWeekProd_R2</vt:lpstr>
      <vt:lpstr>tlOutputLOB1Cln3Dis_R1</vt:lpstr>
      <vt:lpstr>tlOutputLOB1Cln3Dis_R2</vt:lpstr>
      <vt:lpstr>tlOutputLOB1Cln3Name_R1</vt:lpstr>
      <vt:lpstr>tlOutputLOB1Cln3Name_R2</vt:lpstr>
      <vt:lpstr>tlOutputLOB1Cln3PayMethod_R1</vt:lpstr>
      <vt:lpstr>tlOutputLOB1Cln3PayMethod_R2</vt:lpstr>
      <vt:lpstr>tlOutputLOB1Cln3Status_R1</vt:lpstr>
      <vt:lpstr>tlOutputLOB1Cln3Status_R2</vt:lpstr>
      <vt:lpstr>tlOutputLOB1Cln3WeekAdmin_R1</vt:lpstr>
      <vt:lpstr>tlOutputLOB1Cln3WeekAdmin_R2</vt:lpstr>
      <vt:lpstr>tlOutputLOB1Cln3WeekMile_R1</vt:lpstr>
      <vt:lpstr>tlOutputLOB1Cln3WeekMile_R2</vt:lpstr>
      <vt:lpstr>tlOutputLOB1Cln3WeekMiss_R1</vt:lpstr>
      <vt:lpstr>tlOutputLOB1Cln3WeekMiss_R2</vt:lpstr>
      <vt:lpstr>tlOutputLOB1Cln3WeekOT_R1</vt:lpstr>
      <vt:lpstr>tlOutputLOB1Cln3WeekOT_R2</vt:lpstr>
      <vt:lpstr>tlOutputLOB1Cln3WeekProd_R1</vt:lpstr>
      <vt:lpstr>tlOutputLOB1Cln3WeekProd_R2</vt:lpstr>
      <vt:lpstr>tlOutputLOB1Cln3WeekProdProj_R1</vt:lpstr>
      <vt:lpstr>tlOutputLOB1Cln3WeekProdProj_R2</vt:lpstr>
      <vt:lpstr>tlOutputLOB1Cln4AlloWeekProd_R1</vt:lpstr>
      <vt:lpstr>tlOutputLOB1Cln4AlloWeekProd_R2</vt:lpstr>
      <vt:lpstr>tlOutputLOB1Cln4Dis_R1</vt:lpstr>
      <vt:lpstr>tlOutputLOB1Cln4Dis_R2</vt:lpstr>
      <vt:lpstr>tlOutputLOB1Cln4Name_R1</vt:lpstr>
      <vt:lpstr>tlOutputLOB1Cln4Name_R2</vt:lpstr>
      <vt:lpstr>tlOutputLOB1Cln4PayMethod_R1</vt:lpstr>
      <vt:lpstr>tlOutputLOB1Cln4PayMethod_R2</vt:lpstr>
      <vt:lpstr>tlOutputLOB1Cln4Status_R1</vt:lpstr>
      <vt:lpstr>tlOutputLOB1Cln4Status_R2</vt:lpstr>
      <vt:lpstr>tlOutputLOB1Cln4WeekAdmin_R1</vt:lpstr>
      <vt:lpstr>tlOutputLOB1Cln4WeekAdmin_R2</vt:lpstr>
      <vt:lpstr>tlOutputLOB1Cln4WeekMile_R1</vt:lpstr>
      <vt:lpstr>tlOutputLOB1Cln4WeekMile_R2</vt:lpstr>
      <vt:lpstr>tlOutputLOB1Cln4WeekMiss_R1</vt:lpstr>
      <vt:lpstr>tlOutputLOB1Cln4WeekMiss_R2</vt:lpstr>
      <vt:lpstr>tlOutputLOB1Cln4WeekOT_R1</vt:lpstr>
      <vt:lpstr>tlOutputLOB1Cln4WeekOT_R2</vt:lpstr>
      <vt:lpstr>tlOutputLOB1Cln4WeekProd_R1</vt:lpstr>
      <vt:lpstr>tlOutputLOB1Cln4WeekProd_R2</vt:lpstr>
      <vt:lpstr>tlOutputLOB1Cln4WeekProdProj_R1</vt:lpstr>
      <vt:lpstr>tlOutputLOB1Cln4WeekProdProj_R2</vt:lpstr>
      <vt:lpstr>tlOutputLOB1Cln5AlloWeekProd_R1</vt:lpstr>
      <vt:lpstr>tlOutputLOB1Cln5AlloWeekProd_R2</vt:lpstr>
      <vt:lpstr>tlOutputLOB1Cln5Dis_R1</vt:lpstr>
      <vt:lpstr>tlOutputLOB1Cln5Dis_R2</vt:lpstr>
      <vt:lpstr>tlOutputLOB1Cln5Name_R1</vt:lpstr>
      <vt:lpstr>tlOutputLOB1Cln5Name_R2</vt:lpstr>
      <vt:lpstr>tlOutputLOB1Cln5PayMethod_R1</vt:lpstr>
      <vt:lpstr>tlOutputLOB1Cln5PayMethod_R2</vt:lpstr>
      <vt:lpstr>tlOutputLOB1Cln5Status_R1</vt:lpstr>
      <vt:lpstr>tlOutputLOB1Cln5Status_R2</vt:lpstr>
      <vt:lpstr>tlOutputLOB1Cln5WeekAdmin_R1</vt:lpstr>
      <vt:lpstr>tlOutputLOB1Cln5WeekAdmin_R2</vt:lpstr>
      <vt:lpstr>tlOutputLOB1Cln5WeekMile_R1</vt:lpstr>
      <vt:lpstr>tlOutputLOB1Cln5WeekMile_R2</vt:lpstr>
      <vt:lpstr>tlOutputLOB1Cln5WeekMiss_R1</vt:lpstr>
      <vt:lpstr>tlOutputLOB1Cln5WeekMiss_R2</vt:lpstr>
      <vt:lpstr>tlOutputLOB1Cln5WeekOT_R1</vt:lpstr>
      <vt:lpstr>tlOutputLOB1Cln5WeekOT_R2</vt:lpstr>
      <vt:lpstr>tlOutputLOB1Cln5WeekProd_R1</vt:lpstr>
      <vt:lpstr>tlOutputLOB1Cln5WeekProd_R2</vt:lpstr>
      <vt:lpstr>tlOutputLOB1Cln5WeekProdProj_R1</vt:lpstr>
      <vt:lpstr>tlOutputLOB1Cln5WeekProdProj_R2</vt:lpstr>
      <vt:lpstr>tlOutputLOB1Cln6AlloWeekProd_R1</vt:lpstr>
      <vt:lpstr>tlOutputLOB1Cln6AlloWeekProd_R2</vt:lpstr>
      <vt:lpstr>tlOutputLOB1Cln6Dis_R1</vt:lpstr>
      <vt:lpstr>tlOutputLOB1Cln6Dis_R2</vt:lpstr>
      <vt:lpstr>tlOutputLOB1Cln6Name_R1</vt:lpstr>
      <vt:lpstr>tlOutputLOB1Cln6Name_R2</vt:lpstr>
      <vt:lpstr>tlOutputLOB1Cln6PayMethod_R1</vt:lpstr>
      <vt:lpstr>tlOutputLOB1Cln6PayMethod_R2</vt:lpstr>
      <vt:lpstr>tlOutputLOB1Cln6Status_R1</vt:lpstr>
      <vt:lpstr>tlOutputLOB1Cln6Status_R2</vt:lpstr>
      <vt:lpstr>tlOutputLOB1Cln6WeekAdmin_R1</vt:lpstr>
      <vt:lpstr>tlOutputLOB1Cln6WeekAdmin_R2</vt:lpstr>
      <vt:lpstr>tlOutputLOB1Cln6WeekMile_R1</vt:lpstr>
      <vt:lpstr>tlOutputLOB1Cln6WeekMile_R2</vt:lpstr>
      <vt:lpstr>tlOutputLOB1Cln6WeekMiss_R1</vt:lpstr>
      <vt:lpstr>tlOutputLOB1Cln6WeekMiss_R2</vt:lpstr>
      <vt:lpstr>tlOutputLOB1Cln6WeekOT_R1</vt:lpstr>
      <vt:lpstr>tlOutputLOB1Cln6WeekOT_R2</vt:lpstr>
      <vt:lpstr>tlOutputLOB1Cln6WeekProd_R1</vt:lpstr>
      <vt:lpstr>tlOutputLOB1Cln6WeekProd_R2</vt:lpstr>
      <vt:lpstr>tlOutputLOB1Cln6WeekProdProj_R1</vt:lpstr>
      <vt:lpstr>tlOutputLOB1Cln6WeekProdProj_R2</vt:lpstr>
      <vt:lpstr>tlOutputLOB1Cln7AlloWeekProd_R1</vt:lpstr>
      <vt:lpstr>tlOutputLOB1Cln7AlloWeekProd_R2</vt:lpstr>
      <vt:lpstr>tlOutputLOB1Cln7Dis_R1</vt:lpstr>
      <vt:lpstr>tlOutputLOB1Cln7Dis_R2</vt:lpstr>
      <vt:lpstr>tlOutputLOB1Cln7Name_R1</vt:lpstr>
      <vt:lpstr>tlOutputLOB1Cln7Name_R2</vt:lpstr>
      <vt:lpstr>tlOutputLOB1Cln7PayMethod_R1</vt:lpstr>
      <vt:lpstr>tlOutputLOB1Cln7PayMethod_R2</vt:lpstr>
      <vt:lpstr>tlOutputLOB1Cln7Status_R1</vt:lpstr>
      <vt:lpstr>tlOutputLOB1Cln7Status_R2</vt:lpstr>
      <vt:lpstr>tlOutputLOB1Cln7WeekAdmin_R1</vt:lpstr>
      <vt:lpstr>tlOutputLOB1Cln7WeekAdmin_R2</vt:lpstr>
      <vt:lpstr>tlOutputLOB1Cln7WeekMile_R1</vt:lpstr>
      <vt:lpstr>tlOutputLOB1Cln7WeekMile_R2</vt:lpstr>
      <vt:lpstr>tlOutputLOB1Cln7WeekMiss_R1</vt:lpstr>
      <vt:lpstr>tlOutputLOB1Cln7WeekMiss_R2</vt:lpstr>
      <vt:lpstr>tlOutputLOB1Cln7WeekOT_R1</vt:lpstr>
      <vt:lpstr>tlOutputLOB1Cln7WeekOT_R2</vt:lpstr>
      <vt:lpstr>tlOutputLOB1Cln7WeekProd_R1</vt:lpstr>
      <vt:lpstr>tlOutputLOB1Cln7WeekProd_R2</vt:lpstr>
      <vt:lpstr>tlOutputLOB1Cln7WeekProdProj_R1</vt:lpstr>
      <vt:lpstr>tlOutputLOB1Cln7WeekProdProj_R2</vt:lpstr>
      <vt:lpstr>tlOutputLOB1Cln8AlloWeekProd_R1</vt:lpstr>
      <vt:lpstr>tlOutputLOB1Cln8AlloWeekProd_R2</vt:lpstr>
      <vt:lpstr>tlOutputLOB1Cln8Dis_R1</vt:lpstr>
      <vt:lpstr>tlOutputLOB1Cln8Dis_R2</vt:lpstr>
      <vt:lpstr>tlOutputLOB1Cln8Name_R1</vt:lpstr>
      <vt:lpstr>tlOutputLOB1Cln8Name_R2</vt:lpstr>
      <vt:lpstr>tlOutputLOB1Cln8PayMethod_R1</vt:lpstr>
      <vt:lpstr>tlOutputLOB1Cln8PayMethod_R2</vt:lpstr>
      <vt:lpstr>tlOutputLOB1Cln8Status_R1</vt:lpstr>
      <vt:lpstr>tlOutputLOB1Cln8Status_R2</vt:lpstr>
      <vt:lpstr>tlOutputLOB1Cln8WeekAdmin_R1</vt:lpstr>
      <vt:lpstr>tlOutputLOB1Cln8WeekAdmin_R2</vt:lpstr>
      <vt:lpstr>tlOutputLOB1Cln8WeekMile_R1</vt:lpstr>
      <vt:lpstr>tlOutputLOB1Cln8WeekMile_R2</vt:lpstr>
      <vt:lpstr>tlOutputLOB1Cln8WeekMiss_R1</vt:lpstr>
      <vt:lpstr>tlOutputLOB1Cln8WeekMiss_R2</vt:lpstr>
      <vt:lpstr>tlOutputLOB1Cln8WeekOT_R1</vt:lpstr>
      <vt:lpstr>tlOutputLOB1Cln8WeekOT_R2</vt:lpstr>
      <vt:lpstr>tlOutputLOB1Cln8WeekProd_R1</vt:lpstr>
      <vt:lpstr>tlOutputLOB1Cln8WeekProd_R2</vt:lpstr>
      <vt:lpstr>tlOutputLOB1Cln8WeekProdProj_R1</vt:lpstr>
      <vt:lpstr>tlOutputLOB1Cln8WeekProdProj_R2</vt:lpstr>
      <vt:lpstr>tlOutputLOB1Cln9AlloWeekProd_R1</vt:lpstr>
      <vt:lpstr>tlOutputLOB1Cln9AlloWeekProd_R2</vt:lpstr>
      <vt:lpstr>tlOutputLOB1Cln9Dis_R1</vt:lpstr>
      <vt:lpstr>tlOutputLOB1Cln9Dis_R2</vt:lpstr>
      <vt:lpstr>tlOutputLOB1Cln9Name_R1</vt:lpstr>
      <vt:lpstr>tlOutputLOB1Cln9Name_R2</vt:lpstr>
      <vt:lpstr>tlOutputLOB1Cln9PayMethod_R1</vt:lpstr>
      <vt:lpstr>tlOutputLOB1Cln9PayMethod_R2</vt:lpstr>
      <vt:lpstr>tlOutputLOB1Cln9Status_R1</vt:lpstr>
      <vt:lpstr>tlOutputLOB1Cln9Status_R2</vt:lpstr>
      <vt:lpstr>tlOutputLOB1Cln9WeekAdmin_R1</vt:lpstr>
      <vt:lpstr>tlOutputLOB1Cln9WeekAdmin_R2</vt:lpstr>
      <vt:lpstr>tlOutputLOB1Cln9WeekMile_R1</vt:lpstr>
      <vt:lpstr>tlOutputLOB1Cln9WeekMile_R2</vt:lpstr>
      <vt:lpstr>tlOutputLOB1Cln9WeekMiss_R1</vt:lpstr>
      <vt:lpstr>tlOutputLOB1Cln9WeekMiss_R2</vt:lpstr>
      <vt:lpstr>tlOutputLOB1Cln9WeekOT_R1</vt:lpstr>
      <vt:lpstr>tlOutputLOB1Cln9WeekOT_R2</vt:lpstr>
      <vt:lpstr>tlOutputLOB1Cln9WeekProd_R1</vt:lpstr>
      <vt:lpstr>tlOutputLOB1Cln9WeekProd_R2</vt:lpstr>
      <vt:lpstr>tlOutputLOB1Cln9WeekProdProj_R1</vt:lpstr>
      <vt:lpstr>tlOutputLOB1Cln9WeekProdProj_R2</vt:lpstr>
      <vt:lpstr>tlOutputLOB1Disc1TotalVisitsPerc_R1</vt:lpstr>
      <vt:lpstr>tlOutputLOB1Disc1TotalVisitsPerc_R2</vt:lpstr>
      <vt:lpstr>tlOutputLOB1Disc2BelowLicsenceVisits_R1</vt:lpstr>
      <vt:lpstr>tlOutputLOB1Disc2BelowLicsenceVisits_R2</vt:lpstr>
      <vt:lpstr>tlOutputLOB1Disc2TotalVisitsPerc_R1</vt:lpstr>
      <vt:lpstr>tlOutputLOB1Disc2TotalVisitsPerc_R2</vt:lpstr>
      <vt:lpstr>tlOutputLOB1DOOBaseTime1_R1</vt:lpstr>
      <vt:lpstr>tlOutputLOB1DOOBaseTime1_R2</vt:lpstr>
      <vt:lpstr>tlOutputLOB1DOOBaseTime2_R1</vt:lpstr>
      <vt:lpstr>tlOutputLOB1DOOBaseTime2_R2</vt:lpstr>
      <vt:lpstr>tlOutputLOB1DOOBaseTime3_R1</vt:lpstr>
      <vt:lpstr>tlOutputLOB1DOOBaseTime3_R2</vt:lpstr>
      <vt:lpstr>tlOutputLOB1DOOBaseTime4_R1</vt:lpstr>
      <vt:lpstr>tlOutputLOB1DOOBaseTime4_R2</vt:lpstr>
      <vt:lpstr>tlOutputLOB1DOOBaseTime5_R1</vt:lpstr>
      <vt:lpstr>tlOutputLOB1DOOBaseTime5_R2</vt:lpstr>
      <vt:lpstr>tlOutputLOB1DOOBaseTime6_R1</vt:lpstr>
      <vt:lpstr>tlOutputLOB1DOOBaseTime6_R2</vt:lpstr>
      <vt:lpstr>tlOutputLOB1DOOPlanTime1_R1</vt:lpstr>
      <vt:lpstr>tlOutputLOB1DOOPlanTime1_R2</vt:lpstr>
      <vt:lpstr>tlOutputLOB1DOOPlanTime2_R1</vt:lpstr>
      <vt:lpstr>tlOutputLOB1DOOPlanTime2_R2</vt:lpstr>
      <vt:lpstr>tlOutputLOB1DOOPlanTime3_R1</vt:lpstr>
      <vt:lpstr>tlOutputLOB1DOOPlanTime3_R2</vt:lpstr>
      <vt:lpstr>tlOutputLOB1DOOPlanTime4_R1</vt:lpstr>
      <vt:lpstr>tlOutputLOB1DOOPlanTime4_R2</vt:lpstr>
      <vt:lpstr>tlOutputLOB1DOOPlanTime5_R1</vt:lpstr>
      <vt:lpstr>tlOutputLOB1DOOPlanTime5_R2</vt:lpstr>
      <vt:lpstr>tlOutputLOB1DOOPlanTime6_R1</vt:lpstr>
      <vt:lpstr>tlOutputLOB1DOOPlanTime6_R2</vt:lpstr>
      <vt:lpstr>tlOutputLOB1DOOTotalBaseTime_R1</vt:lpstr>
      <vt:lpstr>tlOutputLOB1DOOTotalBaseTime_R2</vt:lpstr>
      <vt:lpstr>tlOutputLOB1DOOTotalPlanTime_R1</vt:lpstr>
      <vt:lpstr>tlOutputLOB1DOOTotalPlanTime_R2</vt:lpstr>
      <vt:lpstr>tlOutputLOB1Emp1AvgAlloMeet_R1</vt:lpstr>
      <vt:lpstr>tlOutputLOB1Emp1AvgAlloMeet_R2</vt:lpstr>
      <vt:lpstr>tlOutputLOB1Emp1AvgCapacity_R1</vt:lpstr>
      <vt:lpstr>tlOutputLOB1Emp1AvgCapacity_R2</vt:lpstr>
      <vt:lpstr>tlOutputLOB1Emp1Total_R1</vt:lpstr>
      <vt:lpstr>tlOutputLOB1Emp1Total_R2</vt:lpstr>
      <vt:lpstr>tlOutputLOB1Emp1Utilization_R1</vt:lpstr>
      <vt:lpstr>tlOutputLOB1Emp1Utilization_R2</vt:lpstr>
      <vt:lpstr>tlOutputLOB1Emp2AvgAlloMeet_R1</vt:lpstr>
      <vt:lpstr>tlOutputLOB1Emp2AvgAlloMeet_R2</vt:lpstr>
      <vt:lpstr>tlOutputLOB1Emp2AvgCapacity_R1</vt:lpstr>
      <vt:lpstr>tlOutputLOB1Emp2AvgCapacity_R2</vt:lpstr>
      <vt:lpstr>tlOutputLOB1Emp2Total_R1</vt:lpstr>
      <vt:lpstr>tlOutputLOB1Emp2Total_R2</vt:lpstr>
      <vt:lpstr>tlOutputLOB1Emp2Utilization_R1</vt:lpstr>
      <vt:lpstr>tlOutputLOB1Emp2Utilization_R2</vt:lpstr>
      <vt:lpstr>tlOutputLOB1Emp3AvgAlloMeet_R1</vt:lpstr>
      <vt:lpstr>tlOutputLOB1Emp3AvgAlloMeet_R2</vt:lpstr>
      <vt:lpstr>tlOutputLOB1Emp3AvgCapacity_R1</vt:lpstr>
      <vt:lpstr>tlOutputLOB1Emp3AvgCapacity_R2</vt:lpstr>
      <vt:lpstr>tlOutputLOB1Emp3Total_R1</vt:lpstr>
      <vt:lpstr>tlOutputLOB1Emp3Total_R2</vt:lpstr>
      <vt:lpstr>tlOutputLOB1Emp3Utilization_R1</vt:lpstr>
      <vt:lpstr>tlOutputLOB1Emp3Utilization_R2</vt:lpstr>
      <vt:lpstr>tlOutputLOB1MeetingCount_R1</vt:lpstr>
      <vt:lpstr>tlOutputLOB1MeetingCount_R2</vt:lpstr>
      <vt:lpstr>tlOutputLOB1MeetingCountRemaining_R1</vt:lpstr>
      <vt:lpstr>tlOutputLOB1MeetingCountRemaining_R2</vt:lpstr>
      <vt:lpstr>tlOutputLOB1MonthP1_R1</vt:lpstr>
      <vt:lpstr>tlOutputLOB1MonthP1_R2</vt:lpstr>
      <vt:lpstr>tlOutputLOB1MonthP2_R1</vt:lpstr>
      <vt:lpstr>tlOutputLOB1MonthP2_R2</vt:lpstr>
      <vt:lpstr>tlOutputLOB1MonthP3_R1</vt:lpstr>
      <vt:lpstr>tlOutputLOB1MonthP3_R2</vt:lpstr>
      <vt:lpstr>tlOutputLOB1Prod1Seg1AdjMax_R1</vt:lpstr>
      <vt:lpstr>tlOutputLOB1Prod1Seg1AdjMax_R2</vt:lpstr>
      <vt:lpstr>tlOutputLOB1Prod1Seg1Base_R1</vt:lpstr>
      <vt:lpstr>tlOutputLOB1Prod1Seg1Base_R2</vt:lpstr>
      <vt:lpstr>tlOutputLOB1Prod1Seg1Budget_R1</vt:lpstr>
      <vt:lpstr>tlOutputLOB1Prod1Seg1Budget_R2</vt:lpstr>
      <vt:lpstr>tlOutputLOB1Prod1Seg1Fcst_R1</vt:lpstr>
      <vt:lpstr>tlOutputLOB1Prod1Seg1Fcst_R2</vt:lpstr>
      <vt:lpstr>tlOutputLOB1Prod1Seg1P1_R1</vt:lpstr>
      <vt:lpstr>tlOutputLOB1Prod1Seg1P1_R2</vt:lpstr>
      <vt:lpstr>tlOutputLOB1Prod1Seg1P2_R1</vt:lpstr>
      <vt:lpstr>tlOutputLOB1Prod1Seg1P2_R2</vt:lpstr>
      <vt:lpstr>tlOutputLOB1Prod1Seg1P3_R1</vt:lpstr>
      <vt:lpstr>tlOutputLOB1Prod1Seg1P3_R2</vt:lpstr>
      <vt:lpstr>tlOutputLOB1Prod1Seg2AdjMax_R1</vt:lpstr>
      <vt:lpstr>tlOutputLOB1Prod1Seg2AdjMax_R2</vt:lpstr>
      <vt:lpstr>tlOutputLOB1Prod1Seg2Base_R1</vt:lpstr>
      <vt:lpstr>tlOutputLOB1Prod1Seg2Base_R2</vt:lpstr>
      <vt:lpstr>tlOutputLOB1Prod1Seg2Budget_R1</vt:lpstr>
      <vt:lpstr>tlOutputLOB1Prod1Seg2Budget_R2</vt:lpstr>
      <vt:lpstr>tlOutputLOB1Prod1Seg2Fcst_R1</vt:lpstr>
      <vt:lpstr>tlOutputLOB1Prod1Seg2Fcst_R2</vt:lpstr>
      <vt:lpstr>tlOutputLOB1Prod1Seg2P1_R1</vt:lpstr>
      <vt:lpstr>tlOutputLOB1Prod1Seg2P1_R2</vt:lpstr>
      <vt:lpstr>tlOutputLOB1Prod1Seg2P2_R1</vt:lpstr>
      <vt:lpstr>tlOutputLOB1Prod1Seg2P2_R2</vt:lpstr>
      <vt:lpstr>tlOutputLOB1Prod1Seg2P3_R1</vt:lpstr>
      <vt:lpstr>tlOutputLOB1Prod1Seg2P3_R2</vt:lpstr>
      <vt:lpstr>tlOutputLOB1Prod1Seg3AdjMax_R1</vt:lpstr>
      <vt:lpstr>tlOutputLOB1Prod1Seg3AdjMax_R2</vt:lpstr>
      <vt:lpstr>tlOutputLOB1Prod1Seg3Base_R1</vt:lpstr>
      <vt:lpstr>tlOutputLOB1Prod1Seg3Base_R2</vt:lpstr>
      <vt:lpstr>tlOutputLOB1Prod1Seg3Budget_R1</vt:lpstr>
      <vt:lpstr>tlOutputLOB1Prod1Seg3Budget_R2</vt:lpstr>
      <vt:lpstr>tlOutputLOB1Prod1Seg3Fcst_R1</vt:lpstr>
      <vt:lpstr>tlOutputLOB1Prod1Seg3Fcst_R2</vt:lpstr>
      <vt:lpstr>tlOutputLOB1Prod1Seg3P1_R1</vt:lpstr>
      <vt:lpstr>tlOutputLOB1Prod1Seg3P1_R2</vt:lpstr>
      <vt:lpstr>tlOutputLOB1Prod1Seg3P2_R1</vt:lpstr>
      <vt:lpstr>tlOutputLOB1Prod1Seg3P2_R2</vt:lpstr>
      <vt:lpstr>tlOutputLOB1Prod1Seg3P3_R1</vt:lpstr>
      <vt:lpstr>tlOutputLOB1Prod1Seg3P3_R2</vt:lpstr>
      <vt:lpstr>tlOutputLOB1Prod2Seg1AdjMax_R1</vt:lpstr>
      <vt:lpstr>tlOutputLOB1Prod2Seg1AdjMax_R2</vt:lpstr>
      <vt:lpstr>tlOutputLOB1Prod2Seg1Base_R1</vt:lpstr>
      <vt:lpstr>tlOutputLOB1Prod2Seg1Base_R2</vt:lpstr>
      <vt:lpstr>tlOutputLOB1Prod2Seg1Budget_R1</vt:lpstr>
      <vt:lpstr>tlOutputLOB1Prod2Seg1Budget_R2</vt:lpstr>
      <vt:lpstr>tlOutputLOB1Prod2Seg1Fcst_R1</vt:lpstr>
      <vt:lpstr>tlOutputLOB1Prod2Seg1Fcst_R2</vt:lpstr>
      <vt:lpstr>tlOutputLOB1Prod2Seg1P1_R1</vt:lpstr>
      <vt:lpstr>tlOutputLOB1Prod2Seg1P1_R2</vt:lpstr>
      <vt:lpstr>tlOutputLOB1Prod2Seg1P2_R1</vt:lpstr>
      <vt:lpstr>tlOutputLOB1Prod2Seg1P2_R2</vt:lpstr>
      <vt:lpstr>tlOutputLOB1Prod2Seg1P3_R1</vt:lpstr>
      <vt:lpstr>tlOutputLOB1Prod2Seg1P3_R2</vt:lpstr>
      <vt:lpstr>tlOutputLOB1Prod2Seg2AdjMax_R1</vt:lpstr>
      <vt:lpstr>tlOutputLOB1Prod2Seg2AdjMax_R2</vt:lpstr>
      <vt:lpstr>tlOutputLOB1Prod2Seg2Base_R1</vt:lpstr>
      <vt:lpstr>tlOutputLOB1Prod2Seg2Base_R2</vt:lpstr>
      <vt:lpstr>tlOutputLOB1Prod2Seg2Budget_R1</vt:lpstr>
      <vt:lpstr>tlOutputLOB1Prod2Seg2Budget_R2</vt:lpstr>
      <vt:lpstr>tlOutputLOB1Prod2Seg2Fcst_R1</vt:lpstr>
      <vt:lpstr>tlOutputLOB1Prod2Seg2Fcst_R2</vt:lpstr>
      <vt:lpstr>tlOutputLOB1Prod2Seg2P1_R1</vt:lpstr>
      <vt:lpstr>tlOutputLOB1Prod2Seg2P1_R2</vt:lpstr>
      <vt:lpstr>tlOutputLOB1Prod2Seg2P2_R1</vt:lpstr>
      <vt:lpstr>tlOutputLOB1Prod2Seg2P2_R2</vt:lpstr>
      <vt:lpstr>tlOutputLOB1Prod2Seg2P3_R1</vt:lpstr>
      <vt:lpstr>tlOutputLOB1Prod2Seg2P3_R2</vt:lpstr>
      <vt:lpstr>tlOutputLOB1Prod2Seg3AdjMax_R1</vt:lpstr>
      <vt:lpstr>tlOutputLOB1Prod2Seg3AdjMax_R2</vt:lpstr>
      <vt:lpstr>tlOutputLOB1Prod2Seg3Base_R1</vt:lpstr>
      <vt:lpstr>tlOutputLOB1Prod2Seg3Base_R2</vt:lpstr>
      <vt:lpstr>tlOutputLOB1Prod2Seg3Budget_R1</vt:lpstr>
      <vt:lpstr>tlOutputLOB1Prod2Seg3Budget_R2</vt:lpstr>
      <vt:lpstr>tlOutputLOB1Prod2Seg3Fcst_R1</vt:lpstr>
      <vt:lpstr>tlOutputLOB1Prod2Seg3Fcst_R2</vt:lpstr>
      <vt:lpstr>tlOutputLOB1Prod2Seg3P1_R1</vt:lpstr>
      <vt:lpstr>tlOutputLOB1Prod2Seg3P1_R2</vt:lpstr>
      <vt:lpstr>tlOutputLOB1Prod2Seg3P2_R1</vt:lpstr>
      <vt:lpstr>tlOutputLOB1Prod2Seg3P2_R2</vt:lpstr>
      <vt:lpstr>tlOutputLOB1Prod2Seg3P3_R1</vt:lpstr>
      <vt:lpstr>tlOutputLOB1Prod2Seg3P3_R2</vt:lpstr>
      <vt:lpstr>tlOutputLOB1ProjectionAdj_R1</vt:lpstr>
      <vt:lpstr>tlOutputLOB1ProjectionAdj_R2</vt:lpstr>
      <vt:lpstr>tlOutputLOB1ProjectionBase_R1</vt:lpstr>
      <vt:lpstr>tlOutputLOB1ProjectionBase_R2</vt:lpstr>
      <vt:lpstr>tlOutputLOB1ProjectionBudget_R1</vt:lpstr>
      <vt:lpstr>tlOutputLOB1ProjectionBudget_R2</vt:lpstr>
      <vt:lpstr>tlOutputLOB1ProjectionFcst_R1</vt:lpstr>
      <vt:lpstr>tlOutputLOB1ProjectionFcst_R2</vt:lpstr>
      <vt:lpstr>tlOutputLOB1ProjectionP1_R1</vt:lpstr>
      <vt:lpstr>tlOutputLOB1ProjectionP1_R2</vt:lpstr>
      <vt:lpstr>tlOutputLOB1ProjectionP2_R1</vt:lpstr>
      <vt:lpstr>tlOutputLOB1ProjectionP2_R2</vt:lpstr>
      <vt:lpstr>tlOutputLOB1ProjectionP3_R1</vt:lpstr>
      <vt:lpstr>tlOutputLOB1ProjectionP3_R2</vt:lpstr>
      <vt:lpstr>tlOutputLOB1SpecProgRemaining_R1</vt:lpstr>
      <vt:lpstr>tlOutputLOB1SpecProgRemaining_R2</vt:lpstr>
      <vt:lpstr>tlOutputLOB2Cln10AlloWeekProd_R1</vt:lpstr>
      <vt:lpstr>tlOutputLOB2Cln10AlloWeekProd_R2</vt:lpstr>
      <vt:lpstr>tlOutputLOB2Cln10Dis_R1</vt:lpstr>
      <vt:lpstr>tlOutputLOB2Cln10Dis_R2</vt:lpstr>
      <vt:lpstr>tlOutputLOB2Cln10Name_R1</vt:lpstr>
      <vt:lpstr>tlOutputLOB2Cln10Name_R2</vt:lpstr>
      <vt:lpstr>tlOutputLOB2Cln10PayMethod_R1</vt:lpstr>
      <vt:lpstr>tlOutputLOB2Cln10PayMethod_R2</vt:lpstr>
      <vt:lpstr>tlOutputLOB2Cln10Status_R1</vt:lpstr>
      <vt:lpstr>tlOutputLOB2Cln10Status_R2</vt:lpstr>
      <vt:lpstr>tlOutputLOB2Cln10WeekAdmin_R1</vt:lpstr>
      <vt:lpstr>tlOutputLOB2Cln10WeekAdmin_R2</vt:lpstr>
      <vt:lpstr>tlOutputLOB2Cln10WeekMile_R1</vt:lpstr>
      <vt:lpstr>tlOutputLOB2Cln10WeekMile_R2</vt:lpstr>
      <vt:lpstr>tlOutputLOB2Cln10WeekMiss_R1</vt:lpstr>
      <vt:lpstr>tlOutputLOB2Cln10WeekMiss_R2</vt:lpstr>
      <vt:lpstr>tlOutputLOB2Cln10WeekOT_R1</vt:lpstr>
      <vt:lpstr>tlOutputLOB2Cln10WeekOT_R2</vt:lpstr>
      <vt:lpstr>tlOutputLOB2Cln10WeekProd_R1</vt:lpstr>
      <vt:lpstr>tlOutputLOB2Cln10WeekProd_R2</vt:lpstr>
      <vt:lpstr>tlOutputLOB2Cln10WeekProdProj_R1</vt:lpstr>
      <vt:lpstr>tlOutputLOB2Cln10WeekProdProj_R2</vt:lpstr>
      <vt:lpstr>tlOutputLOB2Cln11AlloWeekProd_R1</vt:lpstr>
      <vt:lpstr>tlOutputLOB2Cln11AlloWeekProd_R2</vt:lpstr>
      <vt:lpstr>tlOutputLOB2Cln11Experienced_R1</vt:lpstr>
      <vt:lpstr>tlOutputLOB2Cln11Experienced_R2</vt:lpstr>
      <vt:lpstr>tlOutputLOB2Cln11Name_R1</vt:lpstr>
      <vt:lpstr>tlOutputLOB2Cln11Name_R2</vt:lpstr>
      <vt:lpstr>tlOutputLOB2Cln11NonExperienced_R1</vt:lpstr>
      <vt:lpstr>tlOutputLOB2Cln11NonExperienced_R2</vt:lpstr>
      <vt:lpstr>tlOutputLOB2Cln11PayMethod_R1</vt:lpstr>
      <vt:lpstr>tlOutputLOB2Cln11PayMethod_R2</vt:lpstr>
      <vt:lpstr>tlOutputLOB2Cln11WeekAdmin_R1</vt:lpstr>
      <vt:lpstr>tlOutputLOB2Cln11WeekAdmin_R2</vt:lpstr>
      <vt:lpstr>tlOutputLOB2Cln11WeekMile_R1</vt:lpstr>
      <vt:lpstr>tlOutputLOB2Cln11WeekMile_R2</vt:lpstr>
      <vt:lpstr>tlOutputLOB2Cln11WeekMiss_R1</vt:lpstr>
      <vt:lpstr>tlOutputLOB2Cln11WeekMiss_R2</vt:lpstr>
      <vt:lpstr>tlOutputLOB2Cln11WeekOT_R1</vt:lpstr>
      <vt:lpstr>tlOutputLOB2Cln11WeekOT_R2</vt:lpstr>
      <vt:lpstr>tlOutputLOB2Cln11WeekProd_R1</vt:lpstr>
      <vt:lpstr>tlOutputLOB2Cln11WeekProd_R2</vt:lpstr>
      <vt:lpstr>tlOutputLOB2Cln11WeekProdProj_R1</vt:lpstr>
      <vt:lpstr>tlOutputLOB2Cln11WeekProdProj_R2</vt:lpstr>
      <vt:lpstr>tlOutputLOB2Cln12AlloWeekProd_R1</vt:lpstr>
      <vt:lpstr>tlOutputLOB2Cln12AlloWeekProd_R2</vt:lpstr>
      <vt:lpstr>tlOutputLOB2Cln12Name_R1</vt:lpstr>
      <vt:lpstr>tlOutputLOB2Cln12Name_R2</vt:lpstr>
      <vt:lpstr>tlOutputLOB2Cln12PayMethod_R1</vt:lpstr>
      <vt:lpstr>tlOutputLOB2Cln12PayMethod_R2</vt:lpstr>
      <vt:lpstr>tlOutputLOB2Cln12WeekAdmin_R1</vt:lpstr>
      <vt:lpstr>tlOutputLOB2Cln12WeekAdmin_R2</vt:lpstr>
      <vt:lpstr>tlOutputLOB2Cln12WeekMile_R1</vt:lpstr>
      <vt:lpstr>tlOutputLOB2Cln12WeekMile_R2</vt:lpstr>
      <vt:lpstr>tlOutputLOB2Cln12WeekMiss_R1</vt:lpstr>
      <vt:lpstr>tlOutputLOB2Cln12WeekMiss_R2</vt:lpstr>
      <vt:lpstr>tlOutputLOB2Cln12WeekOT_R1</vt:lpstr>
      <vt:lpstr>tlOutputLOB2Cln12WeekOT_R2</vt:lpstr>
      <vt:lpstr>tlOutputLOB2Cln12WeekProd_R1</vt:lpstr>
      <vt:lpstr>tlOutputLOB2Cln12WeekProd_R2</vt:lpstr>
      <vt:lpstr>tlOutputLOB2Cln12WeekProdProj_R1</vt:lpstr>
      <vt:lpstr>tlOutputLOB2Cln12WeekProdProj_R2</vt:lpstr>
      <vt:lpstr>tlOutputLOB2Cln1AlloWeekProd_R1</vt:lpstr>
      <vt:lpstr>tlOutputLOB2Cln1AlloWeekProd_R2</vt:lpstr>
      <vt:lpstr>tlOutputLOB2Cln1Dis_R1</vt:lpstr>
      <vt:lpstr>tlOutputLOB2Cln1Dis_R2</vt:lpstr>
      <vt:lpstr>tlOutputLOB2Cln1Name_R1</vt:lpstr>
      <vt:lpstr>tlOutputLOB2Cln1Name_R2</vt:lpstr>
      <vt:lpstr>tlOutputLOB2Cln1PayMethod_R1</vt:lpstr>
      <vt:lpstr>tlOutputLOB2Cln1PayMethod_R2</vt:lpstr>
      <vt:lpstr>tlOutputLOB2Cln1Status_R1</vt:lpstr>
      <vt:lpstr>tlOutputLOB2Cln1Status_R2</vt:lpstr>
      <vt:lpstr>tlOutputLOB2Cln1WeekAdmin_R1</vt:lpstr>
      <vt:lpstr>tlOutputLOB2Cln1WeekAdmin_R2</vt:lpstr>
      <vt:lpstr>tlOutputLOB2Cln1WeekMile_R1</vt:lpstr>
      <vt:lpstr>tlOutputLOB2Cln1WeekMile_R2</vt:lpstr>
      <vt:lpstr>tlOutputLOB2Cln1WeekMiss_R1</vt:lpstr>
      <vt:lpstr>tlOutputLOB2Cln1WeekMiss_R2</vt:lpstr>
      <vt:lpstr>tlOutputLOB2Cln1WeekOT_R1</vt:lpstr>
      <vt:lpstr>tlOutputLOB2Cln1WeekOT_R2</vt:lpstr>
      <vt:lpstr>tlOutputLOB2Cln1WeekProd_R1</vt:lpstr>
      <vt:lpstr>tlOutputLOB2Cln1WeekProd_R2</vt:lpstr>
      <vt:lpstr>tlOutputLOB2Cln1WeekProdProj_R1</vt:lpstr>
      <vt:lpstr>tlOutputLOB2Cln1WeekProdProj_R2</vt:lpstr>
      <vt:lpstr>tlOutputLOB2Cln2AlloWeekProd_R1</vt:lpstr>
      <vt:lpstr>tlOutputLOB2Cln2AlloWeekProd_R2</vt:lpstr>
      <vt:lpstr>tlOutputLOB2Cln2Dis_R1</vt:lpstr>
      <vt:lpstr>tlOutputLOB2Cln2Dis_R2</vt:lpstr>
      <vt:lpstr>tlOutputLOB2Cln2Name_R1</vt:lpstr>
      <vt:lpstr>tlOutputLOB2Cln2Name_R2</vt:lpstr>
      <vt:lpstr>tlOutputLOB2Cln2PayMethod_R1</vt:lpstr>
      <vt:lpstr>tlOutputLOB2Cln2PayMethod_R2</vt:lpstr>
      <vt:lpstr>tlOutputLOB2Cln2Status_R1</vt:lpstr>
      <vt:lpstr>tlOutputLOB2Cln2Status_R2</vt:lpstr>
      <vt:lpstr>tlOutputLOB2Cln2WeekAdmin_R1</vt:lpstr>
      <vt:lpstr>tlOutputLOB2Cln2WeekAdmin_R2</vt:lpstr>
      <vt:lpstr>tlOutputLOB2Cln2WeekMile_R1</vt:lpstr>
      <vt:lpstr>tlOutputLOB2Cln2WeekMile_R2</vt:lpstr>
      <vt:lpstr>tlOutputLOB2Cln2WeekMiss_R1</vt:lpstr>
      <vt:lpstr>tlOutputLOB2Cln2WeekMiss_R2</vt:lpstr>
      <vt:lpstr>tlOutputLOB2Cln2WeekOT_R1</vt:lpstr>
      <vt:lpstr>tlOutputLOB2Cln2WeekOT_R2</vt:lpstr>
      <vt:lpstr>tlOutputLOB2Cln2WeekProd_R1</vt:lpstr>
      <vt:lpstr>tlOutputLOB2Cln2WeekProd_R2</vt:lpstr>
      <vt:lpstr>tlOutputLOB2Cln2WeekProdProj_R1</vt:lpstr>
      <vt:lpstr>tlOutputLOB2Cln2WeekProdProj_R2</vt:lpstr>
      <vt:lpstr>tlOutputLOB2Cln3AlloWeekProd_R1</vt:lpstr>
      <vt:lpstr>tlOutputLOB2Cln3AlloWeekProd_R2</vt:lpstr>
      <vt:lpstr>tlOutputLOB2Cln3Dis_R1</vt:lpstr>
      <vt:lpstr>tlOutputLOB2Cln3Dis_R2</vt:lpstr>
      <vt:lpstr>tlOutputLOB2Cln3Name_R1</vt:lpstr>
      <vt:lpstr>tlOutputLOB2Cln3Name_R2</vt:lpstr>
      <vt:lpstr>tlOutputLOB2Cln3PayMethod_R1</vt:lpstr>
      <vt:lpstr>tlOutputLOB2Cln3PayMethod_R2</vt:lpstr>
      <vt:lpstr>tlOutputLOB2Cln3Status_R1</vt:lpstr>
      <vt:lpstr>tlOutputLOB2Cln3Status_R2</vt:lpstr>
      <vt:lpstr>tlOutputLOB2Cln3WeekAdmin_R1</vt:lpstr>
      <vt:lpstr>tlOutputLOB2Cln3WeekAdmin_R2</vt:lpstr>
      <vt:lpstr>tlOutputLOB2Cln3WeekMile_R1</vt:lpstr>
      <vt:lpstr>tlOutputLOB2Cln3WeekMile_R2</vt:lpstr>
      <vt:lpstr>tlOutputLOB2Cln3WeekMiss_R1</vt:lpstr>
      <vt:lpstr>tlOutputLOB2Cln3WeekMiss_R2</vt:lpstr>
      <vt:lpstr>tlOutputLOB2Cln3WeekOT_R1</vt:lpstr>
      <vt:lpstr>tlOutputLOB2Cln3WeekOT_R2</vt:lpstr>
      <vt:lpstr>tlOutputLOB2Cln3WeekProd_R1</vt:lpstr>
      <vt:lpstr>tlOutputLOB2Cln3WeekProd_R2</vt:lpstr>
      <vt:lpstr>tlOutputLOB2Cln3WeekProdProj_R1</vt:lpstr>
      <vt:lpstr>tlOutputLOB2Cln3WeekProdProj_R2</vt:lpstr>
      <vt:lpstr>tlOutputLOB2Cln4AlloWeekProd_R1</vt:lpstr>
      <vt:lpstr>tlOutputLOB2Cln4AlloWeekProd_R2</vt:lpstr>
      <vt:lpstr>tlOutputLOB2Cln4Dis_R1</vt:lpstr>
      <vt:lpstr>tlOutputLOB2Cln4Dis_R2</vt:lpstr>
      <vt:lpstr>tlOutputLOB2Cln4Name_R1</vt:lpstr>
      <vt:lpstr>tlOutputLOB2Cln4Name_R2</vt:lpstr>
      <vt:lpstr>tlOutputLOB2Cln4PayMethod_R1</vt:lpstr>
      <vt:lpstr>tlOutputLOB2Cln4PayMethod_R2</vt:lpstr>
      <vt:lpstr>tlOutputLOB2Cln4Status_R1</vt:lpstr>
      <vt:lpstr>tlOutputLOB2Cln4Status_R2</vt:lpstr>
      <vt:lpstr>tlOutputLOB2Cln4WeekAdmin_R1</vt:lpstr>
      <vt:lpstr>tlOutputLOB2Cln4WeekAdmin_R2</vt:lpstr>
      <vt:lpstr>tlOutputLOB2Cln4WeekMile_R1</vt:lpstr>
      <vt:lpstr>tlOutputLOB2Cln4WeekMile_R2</vt:lpstr>
      <vt:lpstr>tlOutputLOB2Cln4WeekMiss_R1</vt:lpstr>
      <vt:lpstr>tlOutputLOB2Cln4WeekMiss_R2</vt:lpstr>
      <vt:lpstr>tlOutputLOB2Cln4WeekOT_R1</vt:lpstr>
      <vt:lpstr>tlOutputLOB2Cln4WeekOT_R2</vt:lpstr>
      <vt:lpstr>tlOutputLOB2Cln4WeekProd_R1</vt:lpstr>
      <vt:lpstr>tlOutputLOB2Cln4WeekProd_R2</vt:lpstr>
      <vt:lpstr>tlOutputLOB2Cln4WeekProdProj_R1</vt:lpstr>
      <vt:lpstr>tlOutputLOB2Cln4WeekProdProj_R2</vt:lpstr>
      <vt:lpstr>tlOutputLOB2Cln5AlloWeekProd_R1</vt:lpstr>
      <vt:lpstr>tlOutputLOB2Cln5AlloWeekProd_R2</vt:lpstr>
      <vt:lpstr>tlOutputLOB2Cln5Dis_R1</vt:lpstr>
      <vt:lpstr>tlOutputLOB2Cln5Dis_R2</vt:lpstr>
      <vt:lpstr>tlOutputLOB2Cln5Name_R1</vt:lpstr>
      <vt:lpstr>tlOutputLOB2Cln5Name_R2</vt:lpstr>
      <vt:lpstr>tlOutputLOB2Cln5PayMethod_R1</vt:lpstr>
      <vt:lpstr>tlOutputLOB2Cln5PayMethod_R2</vt:lpstr>
      <vt:lpstr>tlOutputLOB2Cln5Status_R1</vt:lpstr>
      <vt:lpstr>tlOutputLOB2Cln5Status_R2</vt:lpstr>
      <vt:lpstr>tlOutputLOB2Cln5WeekAdmin_R1</vt:lpstr>
      <vt:lpstr>tlOutputLOB2Cln5WeekAdmin_R2</vt:lpstr>
      <vt:lpstr>tlOutputLOB2Cln5WeekMile_R1</vt:lpstr>
      <vt:lpstr>tlOutputLOB2Cln5WeekMile_R2</vt:lpstr>
      <vt:lpstr>tlOutputLOB2Cln5WeekMiss_R1</vt:lpstr>
      <vt:lpstr>tlOutputLOB2Cln5WeekMiss_R2</vt:lpstr>
      <vt:lpstr>tlOutputLOB2Cln5WeekOT_R1</vt:lpstr>
      <vt:lpstr>tlOutputLOB2Cln5WeekOT_R2</vt:lpstr>
      <vt:lpstr>tlOutputLOB2Cln5WeekProd_R1</vt:lpstr>
      <vt:lpstr>tlOutputLOB2Cln5WeekProd_R2</vt:lpstr>
      <vt:lpstr>tlOutputLOB2Cln5WeekProdProj_R1</vt:lpstr>
      <vt:lpstr>tlOutputLOB2Cln5WeekProdProj_R2</vt:lpstr>
      <vt:lpstr>tlOutputLOB2Cln6AlloWeekProd_R1</vt:lpstr>
      <vt:lpstr>tlOutputLOB2Cln6AlloWeekProd_R2</vt:lpstr>
      <vt:lpstr>tlOutputLOB2Cln6Dis_R1</vt:lpstr>
      <vt:lpstr>tlOutputLOB2Cln6Dis_R2</vt:lpstr>
      <vt:lpstr>tlOutputLOB2Cln6Name_R1</vt:lpstr>
      <vt:lpstr>tlOutputLOB2Cln6Name_R2</vt:lpstr>
      <vt:lpstr>tlOutputLOB2Cln6PayMethod_R1</vt:lpstr>
      <vt:lpstr>tlOutputLOB2Cln6PayMethod_R2</vt:lpstr>
      <vt:lpstr>tlOutputLOB2Cln6Status_R1</vt:lpstr>
      <vt:lpstr>tlOutputLOB2Cln6Status_R2</vt:lpstr>
      <vt:lpstr>tlOutputLOB2Cln6WeekAdmin_R1</vt:lpstr>
      <vt:lpstr>tlOutputLOB2Cln6WeekAdmin_R2</vt:lpstr>
      <vt:lpstr>tlOutputLOB2Cln6WeekMile_R1</vt:lpstr>
      <vt:lpstr>tlOutputLOB2Cln6WeekMile_R2</vt:lpstr>
      <vt:lpstr>tlOutputLOB2Cln6WeekMiss_R1</vt:lpstr>
      <vt:lpstr>tlOutputLOB2Cln6WeekMiss_R2</vt:lpstr>
      <vt:lpstr>tlOutputLOB2Cln6WeekOT_R1</vt:lpstr>
      <vt:lpstr>tlOutputLOB2Cln6WeekOT_R2</vt:lpstr>
      <vt:lpstr>tlOutputLOB2Cln6WeekProd_R1</vt:lpstr>
      <vt:lpstr>tlOutputLOB2Cln6WeekProd_R2</vt:lpstr>
      <vt:lpstr>tlOutputLOB2Cln6WeekProdProj_R1</vt:lpstr>
      <vt:lpstr>tlOutputLOB2Cln6WeekProdProj_R2</vt:lpstr>
      <vt:lpstr>tlOutputLOB2Cln7AlloWeekProd_R1</vt:lpstr>
      <vt:lpstr>tlOutputLOB2Cln7AlloWeekProd_R2</vt:lpstr>
      <vt:lpstr>tlOutputLOB2Cln7Dis_R1</vt:lpstr>
      <vt:lpstr>tlOutputLOB2Cln7Dis_R2</vt:lpstr>
      <vt:lpstr>tlOutputLOB2Cln7Name_R1</vt:lpstr>
      <vt:lpstr>tlOutputLOB2Cln7Name_R2</vt:lpstr>
      <vt:lpstr>tlOutputLOB2Cln7PayMethod_R1</vt:lpstr>
      <vt:lpstr>tlOutputLOB2Cln7PayMethod_R2</vt:lpstr>
      <vt:lpstr>tlOutputLOB2Cln7Status_R1</vt:lpstr>
      <vt:lpstr>tlOutputLOB2Cln7Status_R2</vt:lpstr>
      <vt:lpstr>tlOutputLOB2Cln7WeekAdmin_R1</vt:lpstr>
      <vt:lpstr>tlOutputLOB2Cln7WeekAdmin_R2</vt:lpstr>
      <vt:lpstr>tlOutputLOB2Cln7WeekMile_R1</vt:lpstr>
      <vt:lpstr>tlOutputLOB2Cln7WeekMile_R2</vt:lpstr>
      <vt:lpstr>tlOutputLOB2Cln7WeekMiss_R1</vt:lpstr>
      <vt:lpstr>tlOutputLOB2Cln7WeekMiss_R2</vt:lpstr>
      <vt:lpstr>tlOutputLOB2Cln7WeekOT_R1</vt:lpstr>
      <vt:lpstr>tlOutputLOB2Cln7WeekOT_R2</vt:lpstr>
      <vt:lpstr>tlOutputLOB2Cln7WeekProd_R1</vt:lpstr>
      <vt:lpstr>tlOutputLOB2Cln7WeekProd_R2</vt:lpstr>
      <vt:lpstr>tlOutputLOB2Cln7WeekProdProj_R1</vt:lpstr>
      <vt:lpstr>tlOutputLOB2Cln7WeekProdProj_R2</vt:lpstr>
      <vt:lpstr>tlOutputLOB2Cln8AlloWeekProd_R1</vt:lpstr>
      <vt:lpstr>tlOutputLOB2Cln8AlloWeekProd_R2</vt:lpstr>
      <vt:lpstr>tlOutputLOB2Cln8Dis_R1</vt:lpstr>
      <vt:lpstr>tlOutputLOB2Cln8Dis_R2</vt:lpstr>
      <vt:lpstr>tlOutputLOB2Cln8Name_R1</vt:lpstr>
      <vt:lpstr>tlOutputLOB2Cln8Name_R2</vt:lpstr>
      <vt:lpstr>tlOutputLOB2Cln8PayMethod_R1</vt:lpstr>
      <vt:lpstr>tlOutputLOB2Cln8PayMethod_R2</vt:lpstr>
      <vt:lpstr>tlOutputLOB2Cln8Status_R1</vt:lpstr>
      <vt:lpstr>tlOutputLOB2Cln8Status_R2</vt:lpstr>
      <vt:lpstr>tlOutputLOB2Cln8WeekAdmin_R1</vt:lpstr>
      <vt:lpstr>tlOutputLOB2Cln8WeekAdmin_R2</vt:lpstr>
      <vt:lpstr>tlOutputLOB2Cln8WeekMile_R1</vt:lpstr>
      <vt:lpstr>tlOutputLOB2Cln8WeekMile_R2</vt:lpstr>
      <vt:lpstr>tlOutputLOB2Cln8WeekMiss_R1</vt:lpstr>
      <vt:lpstr>tlOutputLOB2Cln8WeekMiss_R2</vt:lpstr>
      <vt:lpstr>tlOutputLOB2Cln8WeekOT_R1</vt:lpstr>
      <vt:lpstr>tlOutputLOB2Cln8WeekOT_R2</vt:lpstr>
      <vt:lpstr>tlOutputLOB2Cln8WeekProd_R1</vt:lpstr>
      <vt:lpstr>tlOutputLOB2Cln8WeekProd_R2</vt:lpstr>
      <vt:lpstr>tlOutputLOB2Cln8WeekProdProj_R1</vt:lpstr>
      <vt:lpstr>tlOutputLOB2Cln8WeekProdProj_R2</vt:lpstr>
      <vt:lpstr>tlOutputLOB2Cln9AlloWeekProd_R1</vt:lpstr>
      <vt:lpstr>tlOutputLOB2Cln9AlloWeekProd_R2</vt:lpstr>
      <vt:lpstr>tlOutputLOB2Cln9Dis_R1</vt:lpstr>
      <vt:lpstr>tlOutputLOB2Cln9Dis_R2</vt:lpstr>
      <vt:lpstr>tlOutputLOB2Cln9Name_R1</vt:lpstr>
      <vt:lpstr>tlOutputLOB2Cln9Name_R2</vt:lpstr>
      <vt:lpstr>tlOutputLOB2Cln9PayMethod_R1</vt:lpstr>
      <vt:lpstr>tlOutputLOB2Cln9PayMethod_R2</vt:lpstr>
      <vt:lpstr>tlOutputLOB2Cln9Status_R1</vt:lpstr>
      <vt:lpstr>tlOutputLOB2Cln9Status_R2</vt:lpstr>
      <vt:lpstr>tlOutputLOB2Cln9WeekAdmin_R1</vt:lpstr>
      <vt:lpstr>tlOutputLOB2Cln9WeekAdmin_R2</vt:lpstr>
      <vt:lpstr>tlOutputLOB2Cln9WeekMile_R1</vt:lpstr>
      <vt:lpstr>tlOutputLOB2Cln9WeekMile_R2</vt:lpstr>
      <vt:lpstr>tlOutputLOB2Cln9WeekMiss_R1</vt:lpstr>
      <vt:lpstr>tlOutputLOB2Cln9WeekMiss_R2</vt:lpstr>
      <vt:lpstr>tlOutputLOB2Cln9WeekOT_R1</vt:lpstr>
      <vt:lpstr>tlOutputLOB2Cln9WeekOT_R2</vt:lpstr>
      <vt:lpstr>tlOutputLOB2Cln9WeekProd_R1</vt:lpstr>
      <vt:lpstr>tlOutputLOB2Cln9WeekProd_R2</vt:lpstr>
      <vt:lpstr>tlOutputLOB2Cln9WeekProdProj_R1</vt:lpstr>
      <vt:lpstr>tlOutputLOB2Cln9WeekProdProj_R2</vt:lpstr>
      <vt:lpstr>tlOutputLOB2Disc1TotalVisitsPerc_R1</vt:lpstr>
      <vt:lpstr>tlOutputLOB2Disc1TotalVisitsPerc_R2</vt:lpstr>
      <vt:lpstr>tlOutputLOB2Disc2BelowLicsenceVisits_R1</vt:lpstr>
      <vt:lpstr>tlOutputLOB2Disc2BelowLicsenceVisits_R2</vt:lpstr>
      <vt:lpstr>tlOutputLOB2Disc2TotalVisitsPerc_R1</vt:lpstr>
      <vt:lpstr>tlOutputLOB2Disc2TotalVisitsPerc_R2</vt:lpstr>
      <vt:lpstr>tlOutputLOB2DOOBaseTime1_R1</vt:lpstr>
      <vt:lpstr>tlOutputLOB2DOOBaseTime1_R2</vt:lpstr>
      <vt:lpstr>tlOutputLOB2DOOBaseTime2_R1</vt:lpstr>
      <vt:lpstr>tlOutputLOB2DOOBaseTime2_R2</vt:lpstr>
      <vt:lpstr>tlOutputLOB2DOOBaseTime3_R1</vt:lpstr>
      <vt:lpstr>tlOutputLOB2DOOBaseTime3_R2</vt:lpstr>
      <vt:lpstr>tlOutputLOB2DOOBaseTime4_R1</vt:lpstr>
      <vt:lpstr>tlOutputLOB2DOOBaseTime4_R2</vt:lpstr>
      <vt:lpstr>tlOutputLOB2DOOBaseTime5_R1</vt:lpstr>
      <vt:lpstr>tlOutputLOB2DOOBaseTime5_R2</vt:lpstr>
      <vt:lpstr>tlOutputLOB2DOOBaseTime6_R1</vt:lpstr>
      <vt:lpstr>tlOutputLOB2DOOBaseTime6_R2</vt:lpstr>
      <vt:lpstr>tlOutputLOB2DOOPlanTime1_R1</vt:lpstr>
      <vt:lpstr>tlOutputLOB2DOOPlanTime1_R2</vt:lpstr>
      <vt:lpstr>tlOutputLOB2DOOPlanTime2_R1</vt:lpstr>
      <vt:lpstr>tlOutputLOB2DOOPlanTime2_R2</vt:lpstr>
      <vt:lpstr>tlOutputLOB2DOOPlanTime3_R1</vt:lpstr>
      <vt:lpstr>tlOutputLOB2DOOPlanTime3_R2</vt:lpstr>
      <vt:lpstr>tlOutputLOB2DOOPlanTime4_R1</vt:lpstr>
      <vt:lpstr>tlOutputLOB2DOOPlanTime4_R2</vt:lpstr>
      <vt:lpstr>tlOutputLOB2DOOPlanTime5_R1</vt:lpstr>
      <vt:lpstr>tlOutputLOB2DOOPlanTime5_R2</vt:lpstr>
      <vt:lpstr>tlOutputLOB2DOOPlanTime6_R1</vt:lpstr>
      <vt:lpstr>tlOutputLOB2DOOPlanTime6_R2</vt:lpstr>
      <vt:lpstr>tlOutputLOB2DOOTotalBaseTime_R1</vt:lpstr>
      <vt:lpstr>tlOutputLOB2DOOTotalBaseTime_R2</vt:lpstr>
      <vt:lpstr>tlOutputLOB2DOOTotalPlanTime_R1</vt:lpstr>
      <vt:lpstr>tlOutputLOB2DOOTotalPlanTime_R2</vt:lpstr>
      <vt:lpstr>tlOutputLOB2Emp1AvgAlloMeet_R1</vt:lpstr>
      <vt:lpstr>tlOutputLOB2Emp1AvgAlloMeet_R2</vt:lpstr>
      <vt:lpstr>tlOutputLOB2Emp1AvgCapacity_R1</vt:lpstr>
      <vt:lpstr>tlOutputLOB2Emp1AvgCapacity_R2</vt:lpstr>
      <vt:lpstr>tlOutputLOB2Emp1Total_R1</vt:lpstr>
      <vt:lpstr>tlOutputLOB2Emp1Total_R2</vt:lpstr>
      <vt:lpstr>tlOutputLOB2Emp1Utilization_R1</vt:lpstr>
      <vt:lpstr>tlOutputLOB2Emp1Utilization_R2</vt:lpstr>
      <vt:lpstr>tlOutputLOB2Emp2AvgAlloMeet_R1</vt:lpstr>
      <vt:lpstr>tlOutputLOB2Emp2AvgAlloMeet_R2</vt:lpstr>
      <vt:lpstr>tlOutputLOB2Emp2AvgCapacity_R1</vt:lpstr>
      <vt:lpstr>tlOutputLOB2Emp2AvgCapacity_R2</vt:lpstr>
      <vt:lpstr>tlOutputLOB2Emp2Total_R1</vt:lpstr>
      <vt:lpstr>tlOutputLOB2Emp2Total_R2</vt:lpstr>
      <vt:lpstr>tlOutputLOB2Emp2Utilization_R1</vt:lpstr>
      <vt:lpstr>tlOutputLOB2Emp2Utilization_R2</vt:lpstr>
      <vt:lpstr>tlOutputLOB2Emp3AvgAlloMeet_R1</vt:lpstr>
      <vt:lpstr>tlOutputLOB2Emp3AvgAlloMeet_R2</vt:lpstr>
      <vt:lpstr>tlOutputLOB2Emp3AvgCapacity_R1</vt:lpstr>
      <vt:lpstr>tlOutputLOB2Emp3AvgCapacity_R2</vt:lpstr>
      <vt:lpstr>tlOutputLOB2Emp3Total_R1</vt:lpstr>
      <vt:lpstr>tlOutputLOB2Emp3Total_R2</vt:lpstr>
      <vt:lpstr>tlOutputLOB2Emp3Utilization_R1</vt:lpstr>
      <vt:lpstr>tlOutputLOB2Emp3Utilization_R2</vt:lpstr>
      <vt:lpstr>tlOutputLOB2MeetingCount_R1</vt:lpstr>
      <vt:lpstr>tlOutputLOB2MeetingCount_R2</vt:lpstr>
      <vt:lpstr>tlOutputLOB2MeetingCountRemaining_R1</vt:lpstr>
      <vt:lpstr>tlOutputLOB2MeetingCountRemaining_R2</vt:lpstr>
      <vt:lpstr>tlOutputLOB2MonthP1_R1</vt:lpstr>
      <vt:lpstr>tlOutputLOB2MonthP1_R2</vt:lpstr>
      <vt:lpstr>tlOutputLOB2MonthP2_R1</vt:lpstr>
      <vt:lpstr>tlOutputLOB2MonthP2_R2</vt:lpstr>
      <vt:lpstr>tlOutputLOB2MonthP3_R1</vt:lpstr>
      <vt:lpstr>tlOutputLOB2MonthP3_R2</vt:lpstr>
      <vt:lpstr>tlOutputLOB2Prod1Seg1AdjMax_R1</vt:lpstr>
      <vt:lpstr>tlOutputLOB2Prod1Seg1AdjMax_R2</vt:lpstr>
      <vt:lpstr>tlOutputLOB2Prod1Seg1Base_R1</vt:lpstr>
      <vt:lpstr>tlOutputLOB2Prod1Seg1Base_R2</vt:lpstr>
      <vt:lpstr>tlOutputLOB2Prod1Seg1Budget_R1</vt:lpstr>
      <vt:lpstr>tlOutputLOB2Prod1Seg1Budget_R2</vt:lpstr>
      <vt:lpstr>tlOutputLOB2Prod1Seg1Fcst_R1</vt:lpstr>
      <vt:lpstr>tlOutputLOB2Prod1Seg1Fcst_R2</vt:lpstr>
      <vt:lpstr>tlOutputLOB2Prod1Seg1P1_R1</vt:lpstr>
      <vt:lpstr>tlOutputLOB2Prod1Seg1P1_R2</vt:lpstr>
      <vt:lpstr>tlOutputLOB2Prod1Seg1P2_R1</vt:lpstr>
      <vt:lpstr>tlOutputLOB2Prod1Seg1P2_R2</vt:lpstr>
      <vt:lpstr>tlOutputLOB2Prod1Seg1P3_R1</vt:lpstr>
      <vt:lpstr>tlOutputLOB2Prod1Seg1P3_R2</vt:lpstr>
      <vt:lpstr>tlOutputLOB2Prod1Seg2AdjMax_R1</vt:lpstr>
      <vt:lpstr>tlOutputLOB2Prod1Seg2AdjMax_R2</vt:lpstr>
      <vt:lpstr>tlOutputLOB2Prod1Seg2Base_R1</vt:lpstr>
      <vt:lpstr>tlOutputLOB2Prod1Seg2Base_R2</vt:lpstr>
      <vt:lpstr>tlOutputLOB2Prod1Seg2Budget_R1</vt:lpstr>
      <vt:lpstr>tlOutputLOB2Prod1Seg2Budget_R2</vt:lpstr>
      <vt:lpstr>tlOutputLOB2Prod1Seg2Fcst_R1</vt:lpstr>
      <vt:lpstr>tlOutputLOB2Prod1Seg2Fcst_R2</vt:lpstr>
      <vt:lpstr>tlOutputLOB2Prod1Seg2P1_R1</vt:lpstr>
      <vt:lpstr>tlOutputLOB2Prod1Seg2P1_R2</vt:lpstr>
      <vt:lpstr>tlOutputLOB2Prod1Seg2P2_R1</vt:lpstr>
      <vt:lpstr>tlOutputLOB2Prod1Seg2P2_R2</vt:lpstr>
      <vt:lpstr>tlOutputLOB2Prod1Seg2P3_R1</vt:lpstr>
      <vt:lpstr>tlOutputLOB2Prod1Seg2P3_R2</vt:lpstr>
      <vt:lpstr>tlOutputLOB2Prod1Seg3AdjMax_R1</vt:lpstr>
      <vt:lpstr>tlOutputLOB2Prod1Seg3AdjMax_R2</vt:lpstr>
      <vt:lpstr>tlOutputLOB2Prod1Seg3Base_R1</vt:lpstr>
      <vt:lpstr>tlOutputLOB2Prod1Seg3Base_R2</vt:lpstr>
      <vt:lpstr>tlOutputLOB2Prod1Seg3Budget_R1</vt:lpstr>
      <vt:lpstr>tlOutputLOB2Prod1Seg3Budget_R2</vt:lpstr>
      <vt:lpstr>tlOutputLOB2Prod1Seg3Fcst_R1</vt:lpstr>
      <vt:lpstr>tlOutputLOB2Prod1Seg3Fcst_R2</vt:lpstr>
      <vt:lpstr>tlOutputLOB2Prod1Seg3P1_R1</vt:lpstr>
      <vt:lpstr>tlOutputLOB2Prod1Seg3P1_R2</vt:lpstr>
      <vt:lpstr>tlOutputLOB2Prod1Seg3P2_R1</vt:lpstr>
      <vt:lpstr>tlOutputLOB2Prod1Seg3P2_R2</vt:lpstr>
      <vt:lpstr>tlOutputLOB2Prod1Seg3P3_R1</vt:lpstr>
      <vt:lpstr>tlOutputLOB2Prod1Seg3P3_R2</vt:lpstr>
      <vt:lpstr>tlOutputLOB2Prod2Seg1AdjMax_R1</vt:lpstr>
      <vt:lpstr>tlOutputLOB2Prod2Seg1AdjMax_R2</vt:lpstr>
      <vt:lpstr>tlOutputLOB2Prod2Seg1Base_R1</vt:lpstr>
      <vt:lpstr>tlOutputLOB2Prod2Seg1Base_R2</vt:lpstr>
      <vt:lpstr>tlOutputLOB2Prod2Seg1Budget_R1</vt:lpstr>
      <vt:lpstr>tlOutputLOB2Prod2Seg1Budget_R2</vt:lpstr>
      <vt:lpstr>tlOutputLOB2Prod2Seg1Fcst_R1</vt:lpstr>
      <vt:lpstr>tlOutputLOB2Prod2Seg1Fcst_R2</vt:lpstr>
      <vt:lpstr>tlOutputLOB2Prod2Seg1P1_R1</vt:lpstr>
      <vt:lpstr>tlOutputLOB2Prod2Seg1P1_R2</vt:lpstr>
      <vt:lpstr>tlOutputLOB2Prod2Seg1P2_R1</vt:lpstr>
      <vt:lpstr>tlOutputLOB2Prod2Seg1P2_R2</vt:lpstr>
      <vt:lpstr>tlOutputLOB2Prod2Seg1P3_R1</vt:lpstr>
      <vt:lpstr>tlOutputLOB2Prod2Seg1P3_R2</vt:lpstr>
      <vt:lpstr>tlOutputLOB2Prod2Seg2AdjMax_R1</vt:lpstr>
      <vt:lpstr>tlOutputLOB2Prod2Seg2AdjMax_R2</vt:lpstr>
      <vt:lpstr>tlOutputLOB2Prod2Seg2Base_R1</vt:lpstr>
      <vt:lpstr>tlOutputLOB2Prod2Seg2Base_R2</vt:lpstr>
      <vt:lpstr>tlOutputLOB2Prod2Seg2Budget_R1</vt:lpstr>
      <vt:lpstr>tlOutputLOB2Prod2Seg2Budget_R2</vt:lpstr>
      <vt:lpstr>tlOutputLOB2Prod2Seg2Fcst_R1</vt:lpstr>
      <vt:lpstr>tlOutputLOB2Prod2Seg2Fcst_R2</vt:lpstr>
      <vt:lpstr>tlOutputLOB2Prod2Seg2P1_R1</vt:lpstr>
      <vt:lpstr>tlOutputLOB2Prod2Seg2P1_R2</vt:lpstr>
      <vt:lpstr>tlOutputLOB2Prod2Seg2P2_R1</vt:lpstr>
      <vt:lpstr>tlOutputLOB2Prod2Seg2P2_R2</vt:lpstr>
      <vt:lpstr>tlOutputLOB2Prod2Seg2P3_R1</vt:lpstr>
      <vt:lpstr>tlOutputLOB2Prod2Seg2P3_R2</vt:lpstr>
      <vt:lpstr>tlOutputLOB2Prod2Seg3AdjMax_R1</vt:lpstr>
      <vt:lpstr>tlOutputLOB2Prod2Seg3AdjMax_R2</vt:lpstr>
      <vt:lpstr>tlOutputLOB2Prod2Seg3Base_R1</vt:lpstr>
      <vt:lpstr>tlOutputLOB2Prod2Seg3Base_R2</vt:lpstr>
      <vt:lpstr>tlOutputLOB2Prod2Seg3Budget_R1</vt:lpstr>
      <vt:lpstr>tlOutputLOB2Prod2Seg3Budget_R2</vt:lpstr>
      <vt:lpstr>tlOutputLOB2Prod2Seg3Fcst_R1</vt:lpstr>
      <vt:lpstr>tlOutputLOB2Prod2Seg3Fcst_R2</vt:lpstr>
      <vt:lpstr>tlOutputLOB2Prod2Seg3P1_R1</vt:lpstr>
      <vt:lpstr>tlOutputLOB2Prod2Seg3P1_R2</vt:lpstr>
      <vt:lpstr>tlOutputLOB2Prod2Seg3P2_R1</vt:lpstr>
      <vt:lpstr>tlOutputLOB2Prod2Seg3P2_R2</vt:lpstr>
      <vt:lpstr>tlOutputLOB2Prod2Seg3P3_R1</vt:lpstr>
      <vt:lpstr>tlOutputLOB2Prod2Seg3P3_R2</vt:lpstr>
      <vt:lpstr>tlOutputLOB2ProjectionAdj_R1</vt:lpstr>
      <vt:lpstr>tlOutputLOB2ProjectionAdj_R2</vt:lpstr>
      <vt:lpstr>tlOutputLOB2ProjectionBase_R1</vt:lpstr>
      <vt:lpstr>tlOutputLOB2ProjectionBase_R2</vt:lpstr>
      <vt:lpstr>tlOutputLOB2ProjectionBudget_R1</vt:lpstr>
      <vt:lpstr>tlOutputLOB2ProjectionBudget_R2</vt:lpstr>
      <vt:lpstr>tlOutputLOB2ProjectionFcst_R1</vt:lpstr>
      <vt:lpstr>tlOutputLOB2ProjectionFcst_R2</vt:lpstr>
      <vt:lpstr>tlOutputLOB2ProjectionP1_R1</vt:lpstr>
      <vt:lpstr>tlOutputLOB2ProjectionP1_R2</vt:lpstr>
      <vt:lpstr>tlOutputLOB2ProjectionP2_R1</vt:lpstr>
      <vt:lpstr>tlOutputLOB2ProjectionP2_R2</vt:lpstr>
      <vt:lpstr>tlOutputLOB2ProjectionP3_R1</vt:lpstr>
      <vt:lpstr>tlOutputLOB2ProjectionP3_R2</vt:lpstr>
      <vt:lpstr>tlOutputLOB2SpecProgRemaining_R1</vt:lpstr>
      <vt:lpstr>tlOutputLOB2SpecProgRemaining_R2</vt:lpstr>
      <vt:lpstr>tlOutputmmLOB1Driver1Explain</vt:lpstr>
      <vt:lpstr>tlOutputmmLOB1Driver2Explain</vt:lpstr>
      <vt:lpstr>tlOutputmmLOB1Driver3Explain</vt:lpstr>
      <vt:lpstr>tlOutputmmLOB1MarketShare</vt:lpstr>
      <vt:lpstr>tlOutputmmLOB2Driver1Explain</vt:lpstr>
      <vt:lpstr>tlOutputmmLOB2Driver2Explain</vt:lpstr>
      <vt:lpstr>tlOutputmmLOB2Driver3Explain</vt:lpstr>
      <vt:lpstr>tlOutputmmLOB2MarketShare</vt:lpstr>
      <vt:lpstr>tlOutputmmR2LOB1Driver1Explain</vt:lpstr>
      <vt:lpstr>tlOutputmmR2LOB1Driver2Explain</vt:lpstr>
      <vt:lpstr>tlOutputmmR2LOB1Driver3Explain</vt:lpstr>
      <vt:lpstr>tlOutputmmR2LOB1MarketShare</vt:lpstr>
      <vt:lpstr>tlOutputmmR2LOB2Driver1Explain</vt:lpstr>
      <vt:lpstr>tlOutputmmR2LOB2Driver2Explain</vt:lpstr>
      <vt:lpstr>tlOutputmmR2LOB2Driver3Explain</vt:lpstr>
      <vt:lpstr>tlOutputmmR2LOB2MarketShare</vt:lpstr>
      <vt:lpstr>tlOutputProcessTrigger_R1</vt:lpstr>
      <vt:lpstr>tlOutputProcessTrigger_R2</vt:lpstr>
      <vt:lpstr>tlOutputR1Event1</vt:lpstr>
      <vt:lpstr>tlOutputR1Event2</vt:lpstr>
      <vt:lpstr>tlOutputR1Event3</vt:lpstr>
      <vt:lpstr>tlOutputR1Event4</vt:lpstr>
      <vt:lpstr>tlOutputR2Event1</vt:lpstr>
      <vt:lpstr>tlOutputR2Event2</vt:lpstr>
      <vt:lpstr>tlOutputR2Event3</vt:lpstr>
      <vt:lpstr>tlOutputR2Event4</vt:lpstr>
      <vt:lpstr>tlOutputR2Event5</vt:lpstr>
      <vt:lpstr>tlOutputTriggerR1Event1</vt:lpstr>
      <vt:lpstr>tlOutputTriggerR1Event2</vt:lpstr>
      <vt:lpstr>tlOutputTriggerR1Event3</vt:lpstr>
      <vt:lpstr>tlOutputTriggerR1Event4</vt:lpstr>
      <vt:lpstr>tlOutputTriggerR1Message1</vt:lpstr>
      <vt:lpstr>tlOutputTriggerR2Event1</vt:lpstr>
      <vt:lpstr>tlOutputTriggerR2Event2</vt:lpstr>
      <vt:lpstr>tlOutputTriggerR2Event3</vt:lpstr>
      <vt:lpstr>tlOutputTriggerR2Event4</vt:lpstr>
      <vt:lpstr>tlOutputTriggerR2Event5</vt:lpstr>
      <vt:lpstr>tlOutputTriggerR2Message1</vt:lpstr>
      <vt:lpstr>tlTeamName</vt:lpstr>
      <vt:lpstr>tlTeamNumber</vt:lpstr>
      <vt:lpstr>vbaPopupMenu1ItemNumber</vt:lpstr>
      <vt:lpstr>vbaPopupMenu1ListFaceID</vt:lpstr>
      <vt:lpstr>vbaPopupMenu1ListLevel</vt:lpstr>
      <vt:lpstr>vbaPopupMenu1ListMacro</vt:lpstr>
      <vt:lpstr>vbaPopupMenu1ListTitle</vt:lpstr>
      <vt:lpstr>vbaPopupMenu1Lvl1ItemNumber</vt:lpstr>
      <vt:lpstr>vbaPopupMenu1Lvl2ItemNumber</vt:lpstr>
      <vt:lpstr>vbaPopupMenuActive</vt:lpstr>
      <vt:lpstr>vbaPopupMenuName</vt:lpstr>
      <vt:lpstr>xxIndexTeam</vt:lpstr>
      <vt:lpstr>xxLOB1BaseVolume</vt:lpstr>
      <vt:lpstr>xxLOB2BaseVolume</vt:lpstr>
      <vt:lpstr>xxNumOfTeams</vt:lpstr>
      <vt:lpstr>xxObalTeam2</vt:lpstr>
      <vt:lpstr>xxObalTeam5</vt:lpstr>
      <vt:lpstr>xxProgramName</vt:lpstr>
      <vt:lpstr>xxRound</vt:lpstr>
      <vt:lpstr>xxSim0Tool1</vt:lpstr>
      <vt:lpstr>xxToolPrefix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London IT</dc:creator>
  <cp:lastModifiedBy>Edward Kellogg</cp:lastModifiedBy>
  <cp:lastPrinted>2017-12-06T22:06:59Z</cp:lastPrinted>
  <dcterms:created xsi:type="dcterms:W3CDTF">2014-12-08T07:15:00Z</dcterms:created>
  <dcterms:modified xsi:type="dcterms:W3CDTF">2018-05-08T11:49:26Z</dcterms:modified>
</cp:coreProperties>
</file>